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CSU/"/>
    </mc:Choice>
  </mc:AlternateContent>
  <xr:revisionPtr revIDLastSave="41" documentId="8_{A7099873-EFFD-49AE-AC74-1EB0A67EEC8F}" xr6:coauthVersionLast="47" xr6:coauthVersionMax="47" xr10:uidLastSave="{D4EB8365-821F-4F4E-BFC0-989A6F22E200}"/>
  <bookViews>
    <workbookView xWindow="-28920" yWindow="-120" windowWidth="29040" windowHeight="15720" tabRatio="877" firstSheet="1" activeTab="1" xr2:uid="{00000000-000D-0000-FFFF-FFFF00000000}"/>
  </bookViews>
  <sheets>
    <sheet name="_CIQHiddenCacheSheet" sheetId="245" state="veryHidden" r:id="rId1"/>
    <sheet name="DCF" sheetId="248" r:id="rId2"/>
    <sheet name="Model" sheetId="43" r:id="rId3"/>
    <sheet name="Regression Analysis" sheetId="246" r:id="rId4"/>
    <sheet name="Multiple to IRR" sheetId="252" r:id="rId5"/>
  </sheets>
  <definedNames>
    <definedName name="_xlnm._FilterDatabase" localSheetId="1" hidden="1">DCF!$B$91</definedName>
    <definedName name="_xlnm._FilterDatabase" localSheetId="2" hidden="1">Model!#REF!</definedName>
    <definedName name="CIQWBGuid" localSheetId="1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4" hidden="1">"07/27/2022 18:40:21"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7" i="248" l="1"/>
  <c r="C80" i="248"/>
  <c r="C35" i="248" l="1"/>
  <c r="AI83" i="43" l="1"/>
  <c r="AJ83" i="43" s="1"/>
  <c r="AK83" i="43" s="1"/>
  <c r="AE86" i="43"/>
  <c r="AF86" i="43"/>
  <c r="AG86" i="43"/>
  <c r="AH86" i="43"/>
  <c r="AI86" i="43"/>
  <c r="AJ86" i="43"/>
  <c r="AK86" i="43"/>
  <c r="AL86" i="43"/>
  <c r="AM86" i="43"/>
  <c r="AN86" i="43"/>
  <c r="AD86" i="43"/>
  <c r="AE80" i="43"/>
  <c r="E67" i="252"/>
  <c r="I66" i="252"/>
  <c r="J66" i="252" s="1"/>
  <c r="K66" i="252" s="1"/>
  <c r="L66" i="252" s="1"/>
  <c r="M66" i="252" s="1"/>
  <c r="N66" i="252" s="1"/>
  <c r="O66" i="252" s="1"/>
  <c r="G66" i="252"/>
  <c r="H66" i="252" s="1"/>
  <c r="F66" i="252"/>
  <c r="E12" i="252"/>
  <c r="D12" i="252"/>
  <c r="K10" i="252"/>
  <c r="L10" i="252" s="1"/>
  <c r="M10" i="252" s="1"/>
  <c r="N10" i="252" s="1"/>
  <c r="O10" i="252" s="1"/>
  <c r="P10" i="252" s="1"/>
  <c r="Q10" i="252" s="1"/>
  <c r="R10" i="252" s="1"/>
  <c r="S10" i="252" s="1"/>
  <c r="T10" i="252" s="1"/>
  <c r="U10" i="252" s="1"/>
  <c r="V10" i="252" s="1"/>
  <c r="W10" i="252" s="1"/>
  <c r="X10" i="252" s="1"/>
  <c r="F10" i="252"/>
  <c r="G10" i="252" s="1"/>
  <c r="H10" i="252" s="1"/>
  <c r="I10" i="252" s="1"/>
  <c r="J10" i="252" s="1"/>
  <c r="E10" i="252"/>
  <c r="C5" i="252"/>
  <c r="C3" i="252"/>
  <c r="C8" i="252" s="1"/>
  <c r="D60" i="252" s="1"/>
  <c r="E57" i="252" s="1"/>
  <c r="AL83" i="43" l="1"/>
  <c r="AM83" i="43" s="1"/>
  <c r="AF80" i="43"/>
  <c r="AG80" i="43" s="1"/>
  <c r="AH80" i="43" s="1"/>
  <c r="AI80" i="43" s="1"/>
  <c r="AJ80" i="43" s="1"/>
  <c r="AK80" i="43" s="1"/>
  <c r="AL80" i="43" s="1"/>
  <c r="AM80" i="43" s="1"/>
  <c r="F67" i="252"/>
  <c r="C7" i="252"/>
  <c r="D27" i="252" s="1"/>
  <c r="E15" i="252"/>
  <c r="F12" i="252"/>
  <c r="E59" i="252"/>
  <c r="E60" i="252" s="1"/>
  <c r="D36" i="252"/>
  <c r="E34" i="252" s="1"/>
  <c r="D51" i="252"/>
  <c r="D43" i="252"/>
  <c r="AN83" i="43" l="1"/>
  <c r="D45" i="252"/>
  <c r="E45" i="252" s="1"/>
  <c r="E40" i="252"/>
  <c r="E42" i="252" s="1"/>
  <c r="E35" i="252"/>
  <c r="E17" i="252" s="1"/>
  <c r="D53" i="252"/>
  <c r="E53" i="252" s="1"/>
  <c r="E48" i="252"/>
  <c r="E50" i="252" s="1"/>
  <c r="F57" i="252"/>
  <c r="E63" i="252"/>
  <c r="E26" i="252"/>
  <c r="G12" i="252"/>
  <c r="F15" i="252"/>
  <c r="E36" i="252" l="1"/>
  <c r="F34" i="252" s="1"/>
  <c r="F35" i="252" s="1"/>
  <c r="F53" i="252"/>
  <c r="E51" i="252"/>
  <c r="E16" i="252"/>
  <c r="E18" i="252" s="1"/>
  <c r="F59" i="252"/>
  <c r="F60" i="252" s="1"/>
  <c r="H12" i="252"/>
  <c r="G15" i="252"/>
  <c r="F45" i="252"/>
  <c r="E43" i="252"/>
  <c r="E24" i="252" l="1"/>
  <c r="F17" i="252"/>
  <c r="F36" i="252"/>
  <c r="G34" i="252" s="1"/>
  <c r="G35" i="252" s="1"/>
  <c r="G17" i="252" s="1"/>
  <c r="F63" i="252"/>
  <c r="G57" i="252"/>
  <c r="F26" i="252"/>
  <c r="H15" i="252"/>
  <c r="I12" i="252"/>
  <c r="G53" i="252"/>
  <c r="F51" i="252"/>
  <c r="E41" i="252"/>
  <c r="E25" i="252" s="1"/>
  <c r="F40" i="252"/>
  <c r="F42" i="252" s="1"/>
  <c r="G45" i="252"/>
  <c r="F43" i="252"/>
  <c r="F48" i="252"/>
  <c r="F50" i="252" s="1"/>
  <c r="E49" i="252"/>
  <c r="E55" i="252"/>
  <c r="E19" i="252" s="1"/>
  <c r="E20" i="252" s="1"/>
  <c r="F16" i="252" l="1"/>
  <c r="F18" i="252" s="1"/>
  <c r="E22" i="252"/>
  <c r="E23" i="252" s="1"/>
  <c r="E27" i="252" s="1"/>
  <c r="H53" i="252"/>
  <c r="G51" i="252"/>
  <c r="G36" i="252"/>
  <c r="H34" i="252" s="1"/>
  <c r="G59" i="252"/>
  <c r="G60" i="252" s="1"/>
  <c r="H45" i="252"/>
  <c r="G43" i="252"/>
  <c r="I15" i="252"/>
  <c r="J12" i="252"/>
  <c r="G40" i="252"/>
  <c r="G42" i="252" s="1"/>
  <c r="F41" i="252"/>
  <c r="F25" i="252" s="1"/>
  <c r="F49" i="252"/>
  <c r="G48" i="252"/>
  <c r="G50" i="252" s="1"/>
  <c r="F55" i="252"/>
  <c r="F19" i="252" s="1"/>
  <c r="F24" i="252" l="1"/>
  <c r="F20" i="252"/>
  <c r="F22" i="252" s="1"/>
  <c r="J15" i="252"/>
  <c r="K12" i="252"/>
  <c r="I53" i="252"/>
  <c r="H51" i="252"/>
  <c r="G16" i="252"/>
  <c r="I45" i="252"/>
  <c r="H43" i="252"/>
  <c r="H35" i="252"/>
  <c r="H17" i="252" s="1"/>
  <c r="G55" i="252"/>
  <c r="G49" i="252"/>
  <c r="H48" i="252"/>
  <c r="H50" i="252" s="1"/>
  <c r="H40" i="252"/>
  <c r="H42" i="252" s="1"/>
  <c r="G41" i="252"/>
  <c r="G25" i="252" s="1"/>
  <c r="G63" i="252"/>
  <c r="H57" i="252"/>
  <c r="G26" i="252"/>
  <c r="H16" i="252" l="1"/>
  <c r="H18" i="252" s="1"/>
  <c r="F23" i="252"/>
  <c r="F27" i="252" s="1"/>
  <c r="J45" i="252"/>
  <c r="I43" i="252"/>
  <c r="G18" i="252"/>
  <c r="G24" i="252"/>
  <c r="L12" i="252"/>
  <c r="K15" i="252"/>
  <c r="H59" i="252"/>
  <c r="H60" i="252" s="1"/>
  <c r="H36" i="252"/>
  <c r="I34" i="252" s="1"/>
  <c r="H55" i="252"/>
  <c r="I48" i="252"/>
  <c r="I50" i="252" s="1"/>
  <c r="H49" i="252"/>
  <c r="G19" i="252"/>
  <c r="H41" i="252"/>
  <c r="H25" i="252" s="1"/>
  <c r="I40" i="252"/>
  <c r="I42" i="252" s="1"/>
  <c r="J53" i="252"/>
  <c r="I51" i="252"/>
  <c r="I16" i="252" l="1"/>
  <c r="H24" i="252"/>
  <c r="I57" i="252"/>
  <c r="H26" i="252"/>
  <c r="H63" i="252"/>
  <c r="H19" i="252" s="1"/>
  <c r="H20" i="252" s="1"/>
  <c r="I41" i="252"/>
  <c r="I25" i="252" s="1"/>
  <c r="J40" i="252"/>
  <c r="J42" i="252" s="1"/>
  <c r="J48" i="252"/>
  <c r="J50" i="252" s="1"/>
  <c r="I49" i="252"/>
  <c r="I55" i="252"/>
  <c r="K53" i="252"/>
  <c r="J51" i="252"/>
  <c r="I35" i="252"/>
  <c r="I17" i="252" s="1"/>
  <c r="I24" i="252" s="1"/>
  <c r="L15" i="252"/>
  <c r="M12" i="252"/>
  <c r="G20" i="252"/>
  <c r="K45" i="252"/>
  <c r="J43" i="252"/>
  <c r="I18" i="252" l="1"/>
  <c r="G22" i="252"/>
  <c r="G23" i="252" s="1"/>
  <c r="G27" i="252" s="1"/>
  <c r="L53" i="252"/>
  <c r="K51" i="252"/>
  <c r="J16" i="252"/>
  <c r="H22" i="252"/>
  <c r="H23" i="252" s="1"/>
  <c r="H27" i="252" s="1"/>
  <c r="L45" i="252"/>
  <c r="K43" i="252"/>
  <c r="J49" i="252"/>
  <c r="K48" i="252"/>
  <c r="K50" i="252" s="1"/>
  <c r="J55" i="252"/>
  <c r="N12" i="252"/>
  <c r="M15" i="252"/>
  <c r="K40" i="252"/>
  <c r="K42" i="252" s="1"/>
  <c r="J41" i="252"/>
  <c r="J25" i="252" s="1"/>
  <c r="I36" i="252"/>
  <c r="J34" i="252" s="1"/>
  <c r="I59" i="252"/>
  <c r="I60" i="252" s="1"/>
  <c r="K16" i="252" l="1"/>
  <c r="I63" i="252"/>
  <c r="I19" i="252" s="1"/>
  <c r="I20" i="252" s="1"/>
  <c r="J57" i="252"/>
  <c r="I26" i="252"/>
  <c r="M45" i="252"/>
  <c r="L43" i="252"/>
  <c r="K55" i="252"/>
  <c r="K49" i="252"/>
  <c r="L48" i="252"/>
  <c r="L50" i="252" s="1"/>
  <c r="N15" i="252"/>
  <c r="O12" i="252"/>
  <c r="M53" i="252"/>
  <c r="L51" i="252"/>
  <c r="J35" i="252"/>
  <c r="J17" i="252" s="1"/>
  <c r="J24" i="252" s="1"/>
  <c r="L40" i="252"/>
  <c r="L42" i="252" s="1"/>
  <c r="K41" i="252"/>
  <c r="K25" i="252" s="1"/>
  <c r="L16" i="252" l="1"/>
  <c r="J18" i="252"/>
  <c r="L55" i="252"/>
  <c r="M48" i="252"/>
  <c r="M50" i="252" s="1"/>
  <c r="L49" i="252"/>
  <c r="J59" i="252"/>
  <c r="J60" i="252" s="1"/>
  <c r="P12" i="252"/>
  <c r="O15" i="252"/>
  <c r="N45" i="252"/>
  <c r="M43" i="252"/>
  <c r="J36" i="252"/>
  <c r="K34" i="252" s="1"/>
  <c r="N53" i="252"/>
  <c r="M51" i="252"/>
  <c r="L41" i="252"/>
  <c r="L25" i="252" s="1"/>
  <c r="M40" i="252"/>
  <c r="M42" i="252" s="1"/>
  <c r="I22" i="252"/>
  <c r="I23" i="252" s="1"/>
  <c r="I27" i="252" s="1"/>
  <c r="M16" i="252" l="1"/>
  <c r="J63" i="252"/>
  <c r="J19" i="252" s="1"/>
  <c r="J20" i="252" s="1"/>
  <c r="K57" i="252"/>
  <c r="J26" i="252"/>
  <c r="K35" i="252"/>
  <c r="K17" i="252" s="1"/>
  <c r="M41" i="252"/>
  <c r="M25" i="252" s="1"/>
  <c r="N40" i="252"/>
  <c r="N42" i="252" s="1"/>
  <c r="O53" i="252"/>
  <c r="N51" i="252"/>
  <c r="P15" i="252"/>
  <c r="Q12" i="252"/>
  <c r="N48" i="252"/>
  <c r="N50" i="252" s="1"/>
  <c r="M49" i="252"/>
  <c r="M55" i="252"/>
  <c r="O45" i="252"/>
  <c r="N43" i="252"/>
  <c r="K36" i="252" l="1"/>
  <c r="L34" i="252" s="1"/>
  <c r="L35" i="252" s="1"/>
  <c r="L17" i="252" s="1"/>
  <c r="N16" i="252"/>
  <c r="P45" i="252"/>
  <c r="O43" i="252"/>
  <c r="R12" i="252"/>
  <c r="Q15" i="252"/>
  <c r="N49" i="252"/>
  <c r="O48" i="252"/>
  <c r="O50" i="252" s="1"/>
  <c r="N55" i="252"/>
  <c r="K59" i="252"/>
  <c r="K60" i="252" s="1"/>
  <c r="O40" i="252"/>
  <c r="O42" i="252" s="1"/>
  <c r="N41" i="252"/>
  <c r="N25" i="252" s="1"/>
  <c r="P53" i="252"/>
  <c r="O51" i="252"/>
  <c r="K24" i="252"/>
  <c r="K18" i="252"/>
  <c r="J22" i="252"/>
  <c r="J23" i="252" s="1"/>
  <c r="J27" i="252" s="1"/>
  <c r="O16" i="252" l="1"/>
  <c r="K63" i="252"/>
  <c r="K19" i="252" s="1"/>
  <c r="K20" i="252" s="1"/>
  <c r="L57" i="252"/>
  <c r="K26" i="252"/>
  <c r="P40" i="252"/>
  <c r="P42" i="252" s="1"/>
  <c r="O41" i="252"/>
  <c r="O25" i="252" s="1"/>
  <c r="O55" i="252"/>
  <c r="O49" i="252"/>
  <c r="P48" i="252"/>
  <c r="P50" i="252" s="1"/>
  <c r="S12" i="252"/>
  <c r="R15" i="252"/>
  <c r="Q45" i="252"/>
  <c r="P43" i="252"/>
  <c r="Q53" i="252"/>
  <c r="P51" i="252"/>
  <c r="L24" i="252"/>
  <c r="L18" i="252"/>
  <c r="L36" i="252"/>
  <c r="M34" i="252" s="1"/>
  <c r="P16" i="252" l="1"/>
  <c r="P41" i="252"/>
  <c r="P25" i="252" s="1"/>
  <c r="Q40" i="252"/>
  <c r="Q42" i="252" s="1"/>
  <c r="M35" i="252"/>
  <c r="M17" i="252" s="1"/>
  <c r="P55" i="252"/>
  <c r="Q48" i="252"/>
  <c r="Q50" i="252" s="1"/>
  <c r="P49" i="252"/>
  <c r="R45" i="252"/>
  <c r="Q43" i="252"/>
  <c r="L59" i="252"/>
  <c r="L60" i="252" s="1"/>
  <c r="T12" i="252"/>
  <c r="S15" i="252"/>
  <c r="K22" i="252"/>
  <c r="K23" i="252" s="1"/>
  <c r="K27" i="252" s="1"/>
  <c r="R53" i="252"/>
  <c r="Q51" i="252"/>
  <c r="M36" i="252" l="1"/>
  <c r="N34" i="252" s="1"/>
  <c r="N35" i="252" s="1"/>
  <c r="N17" i="252" s="1"/>
  <c r="L63" i="252"/>
  <c r="L19" i="252" s="1"/>
  <c r="L20" i="252" s="1"/>
  <c r="L26" i="252"/>
  <c r="M57" i="252"/>
  <c r="Q16" i="252"/>
  <c r="S53" i="252"/>
  <c r="R51" i="252"/>
  <c r="Q41" i="252"/>
  <c r="Q25" i="252" s="1"/>
  <c r="R40" i="252"/>
  <c r="R42" i="252" s="1"/>
  <c r="T15" i="252"/>
  <c r="U12" i="252"/>
  <c r="R48" i="252"/>
  <c r="R50" i="252" s="1"/>
  <c r="Q49" i="252"/>
  <c r="Q55" i="252"/>
  <c r="S45" i="252"/>
  <c r="R43" i="252"/>
  <c r="M24" i="252"/>
  <c r="M18" i="252"/>
  <c r="R16" i="252" l="1"/>
  <c r="N36" i="252"/>
  <c r="O34" i="252" s="1"/>
  <c r="O35" i="252" s="1"/>
  <c r="O17" i="252" s="1"/>
  <c r="S40" i="252"/>
  <c r="S42" i="252" s="1"/>
  <c r="R41" i="252"/>
  <c r="R25" i="252" s="1"/>
  <c r="T45" i="252"/>
  <c r="S43" i="252"/>
  <c r="M59" i="252"/>
  <c r="M60" i="252" s="1"/>
  <c r="R49" i="252"/>
  <c r="S48" i="252"/>
  <c r="S50" i="252" s="1"/>
  <c r="R55" i="252"/>
  <c r="U15" i="252"/>
  <c r="V12" i="252"/>
  <c r="N24" i="252"/>
  <c r="N18" i="252"/>
  <c r="T53" i="252"/>
  <c r="S51" i="252"/>
  <c r="L22" i="252"/>
  <c r="L23" i="252" s="1"/>
  <c r="L27" i="252" s="1"/>
  <c r="N57" i="252" l="1"/>
  <c r="M63" i="252"/>
  <c r="M19" i="252" s="1"/>
  <c r="M20" i="252" s="1"/>
  <c r="M26" i="252"/>
  <c r="S55" i="252"/>
  <c r="S49" i="252"/>
  <c r="T48" i="252"/>
  <c r="T50" i="252" s="1"/>
  <c r="O36" i="252"/>
  <c r="P34" i="252" s="1"/>
  <c r="O24" i="252"/>
  <c r="O18" i="252"/>
  <c r="W12" i="252"/>
  <c r="V15" i="252"/>
  <c r="U45" i="252"/>
  <c r="T43" i="252"/>
  <c r="U53" i="252"/>
  <c r="T51" i="252"/>
  <c r="T40" i="252"/>
  <c r="T42" i="252" s="1"/>
  <c r="S41" i="252"/>
  <c r="S25" i="252" s="1"/>
  <c r="S16" i="252"/>
  <c r="T16" i="252" l="1"/>
  <c r="X12" i="252"/>
  <c r="W15" i="252"/>
  <c r="T41" i="252"/>
  <c r="T25" i="252" s="1"/>
  <c r="U40" i="252"/>
  <c r="U42" i="252" s="1"/>
  <c r="P35" i="252"/>
  <c r="P17" i="252" s="1"/>
  <c r="V45" i="252"/>
  <c r="U43" i="252"/>
  <c r="M22" i="252"/>
  <c r="M23" i="252" s="1"/>
  <c r="M27" i="252" s="1"/>
  <c r="V53" i="252"/>
  <c r="U51" i="252"/>
  <c r="T55" i="252"/>
  <c r="U48" i="252"/>
  <c r="U50" i="252" s="1"/>
  <c r="T49" i="252"/>
  <c r="N59" i="252"/>
  <c r="N60" i="252" s="1"/>
  <c r="V48" i="252" l="1"/>
  <c r="V50" i="252" s="1"/>
  <c r="U49" i="252"/>
  <c r="U55" i="252"/>
  <c r="W53" i="252"/>
  <c r="V51" i="252"/>
  <c r="U41" i="252"/>
  <c r="U25" i="252" s="1"/>
  <c r="V40" i="252"/>
  <c r="V42" i="252" s="1"/>
  <c r="P36" i="252"/>
  <c r="Q34" i="252" s="1"/>
  <c r="N63" i="252"/>
  <c r="N19" i="252" s="1"/>
  <c r="N20" i="252" s="1"/>
  <c r="O57" i="252"/>
  <c r="N26" i="252"/>
  <c r="W45" i="252"/>
  <c r="V43" i="252"/>
  <c r="U16" i="252"/>
  <c r="X15" i="252"/>
  <c r="P24" i="252"/>
  <c r="P18" i="252"/>
  <c r="V16" i="252" l="1"/>
  <c r="O59" i="252"/>
  <c r="O60" i="252" s="1"/>
  <c r="N22" i="252"/>
  <c r="N23" i="252" s="1"/>
  <c r="N27" i="252" s="1"/>
  <c r="V49" i="252"/>
  <c r="W48" i="252"/>
  <c r="W50" i="252" s="1"/>
  <c r="V55" i="252"/>
  <c r="W40" i="252"/>
  <c r="W42" i="252" s="1"/>
  <c r="V41" i="252"/>
  <c r="V25" i="252" s="1"/>
  <c r="X45" i="252"/>
  <c r="X43" i="252" s="1"/>
  <c r="W43" i="252"/>
  <c r="Q35" i="252"/>
  <c r="Q17" i="252" s="1"/>
  <c r="X53" i="252"/>
  <c r="X51" i="252" s="1"/>
  <c r="W51" i="252"/>
  <c r="Q36" i="252" l="1"/>
  <c r="R34" i="252" s="1"/>
  <c r="R35" i="252" s="1"/>
  <c r="R17" i="252" s="1"/>
  <c r="O63" i="252"/>
  <c r="O19" i="252" s="1"/>
  <c r="O20" i="252" s="1"/>
  <c r="P57" i="252"/>
  <c r="O26" i="252"/>
  <c r="W55" i="252"/>
  <c r="W49" i="252"/>
  <c r="X48" i="252"/>
  <c r="X50" i="252" s="1"/>
  <c r="X49" i="252" s="1"/>
  <c r="X40" i="252"/>
  <c r="X42" i="252" s="1"/>
  <c r="X41" i="252" s="1"/>
  <c r="W41" i="252"/>
  <c r="W25" i="252" s="1"/>
  <c r="W16" i="252"/>
  <c r="Q24" i="252"/>
  <c r="Q18" i="252"/>
  <c r="X55" i="252" l="1"/>
  <c r="X16" i="252"/>
  <c r="X25" i="252"/>
  <c r="R36" i="252"/>
  <c r="S34" i="252" s="1"/>
  <c r="S35" i="252" s="1"/>
  <c r="S17" i="252" s="1"/>
  <c r="P59" i="252"/>
  <c r="P60" i="252" s="1"/>
  <c r="R24" i="252"/>
  <c r="R18" i="252"/>
  <c r="O22" i="252"/>
  <c r="O23" i="252" s="1"/>
  <c r="O27" i="252" s="1"/>
  <c r="Q57" i="252" l="1"/>
  <c r="P26" i="252"/>
  <c r="P63" i="252"/>
  <c r="P19" i="252" s="1"/>
  <c r="P20" i="252" s="1"/>
  <c r="S24" i="252"/>
  <c r="S18" i="252"/>
  <c r="S36" i="252"/>
  <c r="T34" i="252" s="1"/>
  <c r="P22" i="252" l="1"/>
  <c r="P23" i="252" s="1"/>
  <c r="P27" i="252" s="1"/>
  <c r="T35" i="252"/>
  <c r="T17" i="252" s="1"/>
  <c r="Q59" i="252"/>
  <c r="Q60" i="252" s="1"/>
  <c r="Q63" i="252" l="1"/>
  <c r="Q19" i="252" s="1"/>
  <c r="Q20" i="252" s="1"/>
  <c r="Q26" i="252"/>
  <c r="R57" i="252"/>
  <c r="T36" i="252"/>
  <c r="U34" i="252" s="1"/>
  <c r="T24" i="252"/>
  <c r="T18" i="252"/>
  <c r="U35" i="252" l="1"/>
  <c r="U17" i="252" s="1"/>
  <c r="R59" i="252"/>
  <c r="R60" i="252" s="1"/>
  <c r="Q22" i="252"/>
  <c r="Q23" i="252" s="1"/>
  <c r="Q27" i="252" s="1"/>
  <c r="U36" i="252" l="1"/>
  <c r="V34" i="252" s="1"/>
  <c r="V35" i="252" s="1"/>
  <c r="V17" i="252" s="1"/>
  <c r="R63" i="252"/>
  <c r="R19" i="252" s="1"/>
  <c r="R20" i="252" s="1"/>
  <c r="S57" i="252"/>
  <c r="R26" i="252"/>
  <c r="U24" i="252"/>
  <c r="U18" i="252"/>
  <c r="V24" i="252" l="1"/>
  <c r="V18" i="252"/>
  <c r="S59" i="252"/>
  <c r="S60" i="252" s="1"/>
  <c r="V36" i="252"/>
  <c r="W34" i="252" s="1"/>
  <c r="R22" i="252"/>
  <c r="R23" i="252" s="1"/>
  <c r="R27" i="252" s="1"/>
  <c r="S63" i="252" l="1"/>
  <c r="S19" i="252" s="1"/>
  <c r="S20" i="252" s="1"/>
  <c r="T57" i="252"/>
  <c r="S26" i="252"/>
  <c r="W35" i="252"/>
  <c r="W17" i="252" s="1"/>
  <c r="T59" i="252" l="1"/>
  <c r="T60" i="252" s="1"/>
  <c r="S22" i="252"/>
  <c r="S23" i="252" s="1"/>
  <c r="S27" i="252" s="1"/>
  <c r="W24" i="252"/>
  <c r="W18" i="252"/>
  <c r="W36" i="252"/>
  <c r="X34" i="252" s="1"/>
  <c r="T63" i="252" l="1"/>
  <c r="T19" i="252" s="1"/>
  <c r="T20" i="252" s="1"/>
  <c r="T26" i="252"/>
  <c r="U57" i="252"/>
  <c r="X35" i="252"/>
  <c r="X17" i="252" s="1"/>
  <c r="X36" i="252" l="1"/>
  <c r="U59" i="252"/>
  <c r="U60" i="252" s="1"/>
  <c r="X24" i="252"/>
  <c r="X18" i="252"/>
  <c r="T22" i="252"/>
  <c r="T23" i="252" s="1"/>
  <c r="T27" i="252" s="1"/>
  <c r="V57" i="252" l="1"/>
  <c r="U26" i="252"/>
  <c r="U63" i="252"/>
  <c r="U19" i="252" s="1"/>
  <c r="U20" i="252" s="1"/>
  <c r="U22" i="252" l="1"/>
  <c r="U23" i="252" s="1"/>
  <c r="U27" i="252" s="1"/>
  <c r="V59" i="252"/>
  <c r="V60" i="252" s="1"/>
  <c r="V63" i="252" l="1"/>
  <c r="V19" i="252" s="1"/>
  <c r="V20" i="252" s="1"/>
  <c r="W57" i="252"/>
  <c r="V26" i="252"/>
  <c r="W59" i="252" l="1"/>
  <c r="W60" i="252" s="1"/>
  <c r="V22" i="252"/>
  <c r="V23" i="252" s="1"/>
  <c r="V27" i="252" s="1"/>
  <c r="W63" i="252" l="1"/>
  <c r="W19" i="252" s="1"/>
  <c r="W20" i="252" s="1"/>
  <c r="X57" i="252"/>
  <c r="W26" i="252"/>
  <c r="X59" i="252" l="1"/>
  <c r="X60" i="252" s="1"/>
  <c r="W22" i="252"/>
  <c r="W23" i="252" s="1"/>
  <c r="W27" i="252" s="1"/>
  <c r="X26" i="252" l="1"/>
  <c r="X63" i="252"/>
  <c r="X19" i="252" s="1"/>
  <c r="X20" i="252" s="1"/>
  <c r="X22" i="252" l="1"/>
  <c r="X23" i="252" s="1"/>
  <c r="X27" i="252" s="1"/>
  <c r="C29" i="252" s="1"/>
  <c r="D68" i="252" l="1"/>
  <c r="AD388" i="43"/>
  <c r="U377" i="43"/>
  <c r="V377" i="43"/>
  <c r="V378" i="43" s="1"/>
  <c r="W377" i="43"/>
  <c r="Y378" i="43"/>
  <c r="Z378" i="43"/>
  <c r="AA378" i="43"/>
  <c r="AC380" i="43"/>
  <c r="AC382" i="43" s="1"/>
  <c r="AD384" i="43" s="1"/>
  <c r="AB382" i="43"/>
  <c r="AB384" i="43" s="1"/>
  <c r="AD382" i="43"/>
  <c r="AE382" i="43"/>
  <c r="AE384" i="43" s="1"/>
  <c r="AF382" i="43"/>
  <c r="AG382" i="43"/>
  <c r="AH382" i="43"/>
  <c r="AI382" i="43"/>
  <c r="AJ382" i="43"/>
  <c r="AK382" i="43"/>
  <c r="AL382" i="43"/>
  <c r="AM382" i="43"/>
  <c r="AN382" i="43"/>
  <c r="AB388" i="43"/>
  <c r="AC388" i="43"/>
  <c r="AE388" i="43"/>
  <c r="AE386" i="43" s="1"/>
  <c r="AF388" i="43"/>
  <c r="AG388" i="43"/>
  <c r="AH388" i="43"/>
  <c r="AI388" i="43"/>
  <c r="AJ388" i="43"/>
  <c r="AK388" i="43"/>
  <c r="AL388" i="43"/>
  <c r="AM388" i="43"/>
  <c r="AN388" i="43"/>
  <c r="AE389" i="43"/>
  <c r="AF389" i="43"/>
  <c r="AB391" i="43"/>
  <c r="AC391" i="43"/>
  <c r="AD391" i="43"/>
  <c r="AE391" i="43"/>
  <c r="AF391" i="43"/>
  <c r="AG391" i="43"/>
  <c r="AH391" i="43"/>
  <c r="AI391" i="43"/>
  <c r="AJ391" i="43"/>
  <c r="AK391" i="43"/>
  <c r="AL391" i="43"/>
  <c r="AM391" i="43"/>
  <c r="AN391" i="43"/>
  <c r="F392" i="43"/>
  <c r="AI384" i="43" l="1"/>
  <c r="AN384" i="43"/>
  <c r="AJ384" i="43"/>
  <c r="AM384" i="43"/>
  <c r="AB386" i="43"/>
  <c r="AC386" i="43" s="1"/>
  <c r="AD392" i="43"/>
  <c r="AD393" i="43" s="1"/>
  <c r="AL384" i="43"/>
  <c r="AH384" i="43"/>
  <c r="AK384" i="43"/>
  <c r="AG384" i="43"/>
  <c r="AC384" i="43"/>
  <c r="AC392" i="43"/>
  <c r="AC393" i="43" s="1"/>
  <c r="AF386" i="43"/>
  <c r="AF384" i="43"/>
  <c r="AB392" i="43"/>
  <c r="AB393" i="43" s="1"/>
  <c r="AE392" i="43"/>
  <c r="AE393" i="43" s="1"/>
  <c r="W378" i="43"/>
  <c r="AD386" i="43"/>
  <c r="X378" i="43"/>
  <c r="AF392" i="43"/>
  <c r="AF393" i="43" s="1"/>
  <c r="AG389" i="43"/>
  <c r="AG392" i="43" l="1"/>
  <c r="AG393" i="43" s="1"/>
  <c r="AG386" i="43"/>
  <c r="AH389" i="43"/>
  <c r="U80" i="246"/>
  <c r="T80" i="246"/>
  <c r="AH392" i="43" l="1"/>
  <c r="AH393" i="43" s="1"/>
  <c r="AH386" i="43"/>
  <c r="AI389" i="43"/>
  <c r="L80" i="248"/>
  <c r="AI392" i="43" l="1"/>
  <c r="AI393" i="43" s="1"/>
  <c r="AI386" i="43"/>
  <c r="AJ389" i="43"/>
  <c r="AJ386" i="43" l="1"/>
  <c r="AK389" i="43"/>
  <c r="AJ392" i="43"/>
  <c r="AJ393" i="43" s="1"/>
  <c r="AD152" i="43"/>
  <c r="AE152" i="43" s="1"/>
  <c r="AF152" i="43" s="1"/>
  <c r="AG152" i="43" s="1"/>
  <c r="AH152" i="43" s="1"/>
  <c r="AI152" i="43" s="1"/>
  <c r="AJ152" i="43" s="1"/>
  <c r="AK152" i="43" s="1"/>
  <c r="AL152" i="43" s="1"/>
  <c r="AM152" i="43" s="1"/>
  <c r="AN152" i="43" s="1"/>
  <c r="AB304" i="43"/>
  <c r="AB302" i="43"/>
  <c r="AC302" i="43"/>
  <c r="AC304" i="43"/>
  <c r="G67" i="252" l="1"/>
  <c r="AK392" i="43"/>
  <c r="AK393" i="43" s="1"/>
  <c r="AK386" i="43"/>
  <c r="AL389" i="43"/>
  <c r="V80" i="246"/>
  <c r="H67" i="252" l="1"/>
  <c r="AL392" i="43"/>
  <c r="AL393" i="43" s="1"/>
  <c r="AM389" i="43"/>
  <c r="AL386" i="43"/>
  <c r="W80" i="246"/>
  <c r="AN80" i="43" l="1"/>
  <c r="I67" i="252"/>
  <c r="AN389" i="43"/>
  <c r="AM392" i="43"/>
  <c r="AM393" i="43" s="1"/>
  <c r="AM386" i="43"/>
  <c r="X80" i="246"/>
  <c r="J67" i="252" l="1"/>
  <c r="AN386" i="43"/>
  <c r="AN392" i="43"/>
  <c r="AN393" i="43" s="1"/>
  <c r="Y80" i="246"/>
  <c r="S80" i="246"/>
  <c r="K67" i="252" l="1"/>
  <c r="Z80" i="246"/>
  <c r="L67" i="252" l="1"/>
  <c r="AA80" i="246"/>
  <c r="AL294" i="43"/>
  <c r="AM294" i="43" s="1"/>
  <c r="AN294" i="43" s="1"/>
  <c r="M67" i="252" l="1"/>
  <c r="AB80" i="246"/>
  <c r="N67" i="252" l="1"/>
  <c r="AC80" i="246"/>
  <c r="AD80" i="246" l="1"/>
  <c r="O67" i="252"/>
  <c r="AE25" i="43"/>
  <c r="AF25" i="43"/>
  <c r="AG25" i="43"/>
  <c r="AH25" i="43"/>
  <c r="AI25" i="43"/>
  <c r="AJ25" i="43"/>
  <c r="AK25" i="43"/>
  <c r="AL25" i="43"/>
  <c r="AM25" i="43"/>
  <c r="AN25" i="43"/>
  <c r="AD25" i="43"/>
  <c r="L79" i="248" l="1"/>
  <c r="C79" i="248"/>
  <c r="C37" i="248" s="1"/>
  <c r="C51" i="248"/>
  <c r="D50" i="248"/>
  <c r="E50" i="248" s="1"/>
  <c r="F50" i="248" s="1"/>
  <c r="G50" i="248" s="1"/>
  <c r="H50" i="248" s="1"/>
  <c r="I50" i="248" s="1"/>
  <c r="J50" i="248" s="1"/>
  <c r="K50" i="248" s="1"/>
  <c r="L50" i="248" s="1"/>
  <c r="M50" i="248" s="1"/>
  <c r="C47" i="248"/>
  <c r="L34" i="248"/>
  <c r="L36" i="248" s="1"/>
  <c r="L22" i="248" s="1"/>
  <c r="K34" i="248"/>
  <c r="K36" i="248" s="1"/>
  <c r="J34" i="248"/>
  <c r="J36" i="248" s="1"/>
  <c r="C27" i="248"/>
  <c r="C29" i="248" s="1"/>
  <c r="K26" i="248"/>
  <c r="C25" i="248"/>
  <c r="R14" i="248"/>
  <c r="R13" i="248"/>
  <c r="R12" i="248"/>
  <c r="C12" i="248" a="1"/>
  <c r="C12" i="248" s="1"/>
  <c r="R11" i="248"/>
  <c r="T10" i="248"/>
  <c r="U10" i="248" s="1"/>
  <c r="V10" i="248" s="1"/>
  <c r="W10" i="248" s="1"/>
  <c r="X10" i="248" s="1"/>
  <c r="Y10" i="248" s="1"/>
  <c r="Z10" i="248" s="1"/>
  <c r="AA10" i="248" s="1"/>
  <c r="AB10" i="248" s="1"/>
  <c r="AC10" i="248" s="1"/>
  <c r="AD10" i="248" s="1"/>
  <c r="AE10" i="248" s="1"/>
  <c r="AF10" i="248" s="1"/>
  <c r="AG10" i="248" s="1"/>
  <c r="AH10" i="248" s="1"/>
  <c r="AI10" i="248" s="1"/>
  <c r="AJ10" i="248" s="1"/>
  <c r="AK10" i="248" s="1"/>
  <c r="AL10" i="248" s="1"/>
  <c r="AM10" i="248" s="1"/>
  <c r="AN10" i="248" s="1"/>
  <c r="AO10" i="248" s="1"/>
  <c r="M10" i="248"/>
  <c r="AD304" i="43"/>
  <c r="AE304" i="43" s="1"/>
  <c r="AF304" i="43" s="1"/>
  <c r="AG304" i="43" s="1"/>
  <c r="AH304" i="43" s="1"/>
  <c r="AI304" i="43" s="1"/>
  <c r="AJ304" i="43" s="1"/>
  <c r="AK304" i="43" s="1"/>
  <c r="AL304" i="43" s="1"/>
  <c r="AM304" i="43" s="1"/>
  <c r="AN304" i="43" s="1"/>
  <c r="AD302" i="43"/>
  <c r="AE302" i="43" s="1"/>
  <c r="AF302" i="43" s="1"/>
  <c r="AG302" i="43" s="1"/>
  <c r="AH302" i="43" s="1"/>
  <c r="AI302" i="43" s="1"/>
  <c r="AJ302" i="43" s="1"/>
  <c r="AK302" i="43" s="1"/>
  <c r="AL302" i="43" s="1"/>
  <c r="AM302" i="43" s="1"/>
  <c r="AN302" i="43" s="1"/>
  <c r="AH144" i="43"/>
  <c r="AB20" i="43"/>
  <c r="C33" i="248" l="1"/>
  <c r="F305" i="43"/>
  <c r="K22" i="248"/>
  <c r="C13" i="248"/>
  <c r="C14" i="248"/>
  <c r="D51" i="248"/>
  <c r="J22" i="248"/>
  <c r="D12" i="248" a="1"/>
  <c r="AC70" i="43"/>
  <c r="N5" i="246"/>
  <c r="N6" i="246"/>
  <c r="N7" i="246"/>
  <c r="N8" i="246"/>
  <c r="N9" i="246"/>
  <c r="N11" i="246"/>
  <c r="N12" i="246"/>
  <c r="N13" i="246"/>
  <c r="N14" i="246"/>
  <c r="N15" i="246"/>
  <c r="N16" i="246"/>
  <c r="N17" i="246"/>
  <c r="N18" i="246"/>
  <c r="AB369" i="43"/>
  <c r="AB366" i="43"/>
  <c r="AB362" i="43"/>
  <c r="AB356" i="43"/>
  <c r="AB358" i="43" s="1"/>
  <c r="AB351" i="43"/>
  <c r="AB349" i="43"/>
  <c r="AB343" i="43"/>
  <c r="AD298" i="43"/>
  <c r="AE298" i="43" s="1"/>
  <c r="AF298" i="43" s="1"/>
  <c r="AD299" i="43"/>
  <c r="AD303" i="43"/>
  <c r="AE303" i="43" s="1"/>
  <c r="AF303" i="43" s="1"/>
  <c r="AG303" i="43" s="1"/>
  <c r="AH303" i="43" s="1"/>
  <c r="AI303" i="43" s="1"/>
  <c r="AJ303" i="43" s="1"/>
  <c r="AK303" i="43" s="1"/>
  <c r="AL303" i="43" s="1"/>
  <c r="AM303" i="43" s="1"/>
  <c r="AB278" i="43"/>
  <c r="AB285" i="43" s="1"/>
  <c r="AB281" i="43"/>
  <c r="AB269" i="43"/>
  <c r="AB274" i="43"/>
  <c r="C83" i="248" s="1"/>
  <c r="C34" i="248" s="1"/>
  <c r="C36" i="248" s="1"/>
  <c r="AB262" i="43"/>
  <c r="AB254" i="43"/>
  <c r="AB250" i="43"/>
  <c r="AB247" i="43"/>
  <c r="AB245" i="43"/>
  <c r="AB243" i="43"/>
  <c r="AB242" i="43"/>
  <c r="AB239" i="43"/>
  <c r="AB235" i="43"/>
  <c r="AB345" i="43" s="1"/>
  <c r="AB231" i="43"/>
  <c r="AB219" i="43"/>
  <c r="AB213" i="43"/>
  <c r="AB209" i="43"/>
  <c r="AB207" i="43"/>
  <c r="AB200" i="43"/>
  <c r="AB198" i="43"/>
  <c r="AB177" i="43"/>
  <c r="AB175" i="43"/>
  <c r="AB173" i="43"/>
  <c r="AB172" i="43"/>
  <c r="AB169" i="43"/>
  <c r="AB168" i="43"/>
  <c r="AB167" i="43"/>
  <c r="AB197" i="43" s="1"/>
  <c r="AB160" i="43"/>
  <c r="AM144" i="43"/>
  <c r="AL144" i="43"/>
  <c r="AK144" i="43"/>
  <c r="AJ144" i="43"/>
  <c r="AI144" i="43"/>
  <c r="AG144" i="43"/>
  <c r="AF144" i="43"/>
  <c r="AE144" i="43"/>
  <c r="AD144" i="43"/>
  <c r="AC144" i="43"/>
  <c r="AB134" i="43"/>
  <c r="AB99" i="43"/>
  <c r="AB101" i="43" s="1"/>
  <c r="AB92" i="43"/>
  <c r="AB91" i="43"/>
  <c r="AB90" i="43"/>
  <c r="AB89" i="43"/>
  <c r="AB76" i="43"/>
  <c r="AB75" i="43"/>
  <c r="AB74" i="43"/>
  <c r="AB73" i="43"/>
  <c r="AB70" i="43"/>
  <c r="AB17" i="43"/>
  <c r="AB170" i="43" s="1"/>
  <c r="AB13" i="43"/>
  <c r="AB11" i="43"/>
  <c r="AB10" i="43"/>
  <c r="AB35" i="43"/>
  <c r="AB44" i="43" s="1"/>
  <c r="AN144" i="43"/>
  <c r="AM160" i="43"/>
  <c r="AN160" i="43"/>
  <c r="AM167" i="43"/>
  <c r="AM197" i="43" s="1"/>
  <c r="AN167" i="43"/>
  <c r="AN197" i="43" s="1"/>
  <c r="AM168" i="43"/>
  <c r="AN168" i="43"/>
  <c r="AM169" i="43"/>
  <c r="AN169" i="43"/>
  <c r="AM189" i="43"/>
  <c r="AN189" i="43"/>
  <c r="AM216" i="43"/>
  <c r="AN216" i="43"/>
  <c r="AM269" i="43"/>
  <c r="AN269" i="43"/>
  <c r="AM281" i="43"/>
  <c r="AN281" i="43"/>
  <c r="AM339" i="43"/>
  <c r="AM340" i="43" s="1"/>
  <c r="AN339" i="43"/>
  <c r="AN340" i="43" s="1"/>
  <c r="AM349" i="43"/>
  <c r="AN349" i="43"/>
  <c r="AB162" i="43" l="1"/>
  <c r="AB166" i="43"/>
  <c r="AB196" i="43" s="1"/>
  <c r="AB163" i="43"/>
  <c r="AB259" i="43"/>
  <c r="AB211" i="43"/>
  <c r="AB291" i="43"/>
  <c r="AB292" i="43" s="1"/>
  <c r="N22" i="246"/>
  <c r="E51" i="248"/>
  <c r="D12" i="248"/>
  <c r="D14" i="248"/>
  <c r="D13" i="248"/>
  <c r="AB246" i="43"/>
  <c r="AB251" i="43" s="1"/>
  <c r="AB256" i="43" s="1"/>
  <c r="AB321" i="43"/>
  <c r="AB360" i="43"/>
  <c r="AB354" i="43" s="1"/>
  <c r="AB7" i="43"/>
  <c r="AB270" i="43"/>
  <c r="AB271" i="43" s="1"/>
  <c r="N10" i="246"/>
  <c r="AE299" i="43"/>
  <c r="AF299" i="43" s="1"/>
  <c r="AG299" i="43" s="1"/>
  <c r="AH299" i="43" s="1"/>
  <c r="AI299" i="43" s="1"/>
  <c r="AJ299" i="43" s="1"/>
  <c r="AK299" i="43" s="1"/>
  <c r="AL299" i="43" s="1"/>
  <c r="AM299" i="43" s="1"/>
  <c r="AN299" i="43" s="1"/>
  <c r="AG298" i="43"/>
  <c r="AB220" i="43"/>
  <c r="AB232" i="43"/>
  <c r="AB240" i="43" s="1"/>
  <c r="AB100" i="43"/>
  <c r="AN190" i="43"/>
  <c r="K142" i="43"/>
  <c r="L142" i="43" s="1"/>
  <c r="M142" i="43" s="1"/>
  <c r="N142" i="43" s="1"/>
  <c r="O142" i="43" s="1"/>
  <c r="P142" i="43" s="1"/>
  <c r="Q142" i="43" s="1"/>
  <c r="I144" i="43"/>
  <c r="I145" i="43" s="1"/>
  <c r="I146" i="43" s="1"/>
  <c r="I147" i="43" s="1"/>
  <c r="I148" i="43" s="1"/>
  <c r="I149" i="43" s="1"/>
  <c r="I150" i="43" s="1"/>
  <c r="I151" i="43" s="1"/>
  <c r="I152" i="43" s="1"/>
  <c r="I153" i="43" s="1"/>
  <c r="AB54" i="43" l="1"/>
  <c r="AB52" i="43"/>
  <c r="AB9" i="43"/>
  <c r="AB12" i="43" s="1"/>
  <c r="AB257" i="43"/>
  <c r="F51" i="248"/>
  <c r="AB48" i="43"/>
  <c r="AB55" i="43"/>
  <c r="AB56" i="43"/>
  <c r="AB59" i="43"/>
  <c r="AB46" i="43"/>
  <c r="AB49" i="43"/>
  <c r="N20" i="246"/>
  <c r="N43" i="246" s="1"/>
  <c r="AB53" i="43"/>
  <c r="AB47" i="43"/>
  <c r="AB50" i="43"/>
  <c r="AB60" i="43"/>
  <c r="AB57" i="43"/>
  <c r="AB51" i="43"/>
  <c r="AB135" i="43"/>
  <c r="AB159" i="43"/>
  <c r="AB58" i="43"/>
  <c r="N19" i="246"/>
  <c r="AH298" i="43"/>
  <c r="N52" i="246" l="1"/>
  <c r="AB27" i="43"/>
  <c r="AB18" i="43"/>
  <c r="AB153" i="43" s="1"/>
  <c r="G51" i="248"/>
  <c r="AB371" i="43"/>
  <c r="AB260" i="43"/>
  <c r="AB161" i="43"/>
  <c r="N49" i="246"/>
  <c r="N44" i="246"/>
  <c r="N59" i="246"/>
  <c r="N38" i="246"/>
  <c r="N46" i="246"/>
  <c r="N48" i="246"/>
  <c r="N42" i="246"/>
  <c r="N47" i="246"/>
  <c r="N57" i="246" s="1" a="1"/>
  <c r="N57" i="246" s="1"/>
  <c r="N50" i="246"/>
  <c r="N39" i="246"/>
  <c r="N23" i="246"/>
  <c r="N41" i="246"/>
  <c r="N40" i="246"/>
  <c r="N45" i="246"/>
  <c r="N51" i="246"/>
  <c r="AI298" i="43"/>
  <c r="AB28" i="43" l="1"/>
  <c r="AB21" i="43"/>
  <c r="AB26" i="43" s="1"/>
  <c r="H51" i="248"/>
  <c r="AB165" i="43"/>
  <c r="AB318" i="43"/>
  <c r="AJ298" i="43"/>
  <c r="I51" i="248" l="1"/>
  <c r="AB331" i="43"/>
  <c r="AB333" i="43"/>
  <c r="AB330" i="43"/>
  <c r="AB329" i="43"/>
  <c r="AB359" i="43"/>
  <c r="AB332" i="43"/>
  <c r="AB293" i="43"/>
  <c r="AB171" i="43"/>
  <c r="AB174" i="43" s="1"/>
  <c r="AK298" i="43"/>
  <c r="AA278" i="43"/>
  <c r="J51" i="248" l="1"/>
  <c r="AB176" i="43"/>
  <c r="AB178" i="43"/>
  <c r="AB179" i="43"/>
  <c r="AB294" i="43"/>
  <c r="AB295" i="43"/>
  <c r="AL298" i="43"/>
  <c r="M18" i="246"/>
  <c r="M17" i="246"/>
  <c r="M16" i="246"/>
  <c r="M15" i="246"/>
  <c r="M14" i="246"/>
  <c r="M13" i="246"/>
  <c r="M12" i="246"/>
  <c r="M11" i="246"/>
  <c r="M22" i="246" s="1"/>
  <c r="M9" i="246"/>
  <c r="M8" i="246"/>
  <c r="M7" i="246"/>
  <c r="M6" i="246"/>
  <c r="M5" i="246"/>
  <c r="AA366" i="43"/>
  <c r="AA360" i="43" s="1"/>
  <c r="AA354" i="43" s="1"/>
  <c r="AA369" i="43"/>
  <c r="AB365" i="43" s="1"/>
  <c r="AA362" i="43"/>
  <c r="AA356" i="43"/>
  <c r="AA351" i="43"/>
  <c r="AB348" i="43" s="1"/>
  <c r="AB350" i="43" s="1"/>
  <c r="AB323" i="43" s="1"/>
  <c r="AA349" i="43"/>
  <c r="AA343" i="43"/>
  <c r="AA285" i="43"/>
  <c r="AA281" i="43"/>
  <c r="AA274" i="43"/>
  <c r="AA262" i="43"/>
  <c r="AA254" i="43"/>
  <c r="AA250" i="43"/>
  <c r="AA247" i="43"/>
  <c r="AA245" i="43"/>
  <c r="AA243" i="43"/>
  <c r="AA239" i="43"/>
  <c r="AA235" i="43"/>
  <c r="AA345" i="43" s="1"/>
  <c r="AA231" i="43"/>
  <c r="AA232" i="43" s="1"/>
  <c r="AA200" i="43"/>
  <c r="AA213" i="43"/>
  <c r="AA220" i="43" s="1"/>
  <c r="AA207" i="43"/>
  <c r="AA198" i="43"/>
  <c r="AA17" i="43"/>
  <c r="AA170" i="43" s="1"/>
  <c r="AA177" i="43"/>
  <c r="AA175" i="43"/>
  <c r="AA173" i="43"/>
  <c r="AA172" i="43"/>
  <c r="AA169" i="43"/>
  <c r="AA168" i="43"/>
  <c r="AA167" i="43"/>
  <c r="AA197" i="43" s="1"/>
  <c r="AA160" i="43"/>
  <c r="AA134" i="43"/>
  <c r="AA69" i="43"/>
  <c r="AA68" i="43"/>
  <c r="AA67" i="43"/>
  <c r="AA66" i="43"/>
  <c r="AA312" i="43" l="1"/>
  <c r="K51" i="248"/>
  <c r="AB183" i="43"/>
  <c r="AB195" i="43"/>
  <c r="AB201" i="43" s="1"/>
  <c r="AB203" i="43" s="1"/>
  <c r="AA358" i="43"/>
  <c r="AB363" i="43" s="1"/>
  <c r="AB326" i="43" s="1"/>
  <c r="AB353" i="43"/>
  <c r="AB342" i="43"/>
  <c r="AB344" i="43" s="1"/>
  <c r="AB322" i="43" s="1"/>
  <c r="AB346" i="43"/>
  <c r="AB370" i="43"/>
  <c r="AB367" i="43"/>
  <c r="AM298" i="43"/>
  <c r="AA211" i="43"/>
  <c r="AA321" i="43"/>
  <c r="M10" i="246"/>
  <c r="M19" i="246" s="1"/>
  <c r="AA259" i="43"/>
  <c r="AB261" i="43" s="1"/>
  <c r="AB263" i="43" s="1"/>
  <c r="AB324" i="43" s="1"/>
  <c r="AA291" i="43"/>
  <c r="AA292" i="43" s="1"/>
  <c r="AA246" i="43"/>
  <c r="AA251" i="43" s="1"/>
  <c r="AA256" i="43" s="1"/>
  <c r="AA240" i="43"/>
  <c r="AC339" i="43"/>
  <c r="AD339" i="43"/>
  <c r="AE339" i="43"/>
  <c r="AF339" i="43"/>
  <c r="AG339" i="43"/>
  <c r="AH339" i="43"/>
  <c r="AI339" i="43"/>
  <c r="AJ339" i="43"/>
  <c r="AK339" i="43"/>
  <c r="AL339" i="43"/>
  <c r="AB223" i="43" l="1"/>
  <c r="L51" i="248"/>
  <c r="AB361" i="43"/>
  <c r="AB355" i="43"/>
  <c r="AA257" i="43"/>
  <c r="M51" i="248" l="1"/>
  <c r="K86" i="248"/>
  <c r="Y262" i="43" l="1"/>
  <c r="X262" i="43"/>
  <c r="W262" i="43"/>
  <c r="V262" i="43"/>
  <c r="U262" i="43"/>
  <c r="T262" i="43"/>
  <c r="S262" i="43"/>
  <c r="R262" i="43"/>
  <c r="Q262" i="43"/>
  <c r="P262" i="43"/>
  <c r="O262" i="43"/>
  <c r="N262" i="43"/>
  <c r="M262" i="43"/>
  <c r="Z262" i="43"/>
  <c r="Z370" i="43"/>
  <c r="AC340" i="43"/>
  <c r="AD340" i="43"/>
  <c r="AE340" i="43"/>
  <c r="AF340" i="43"/>
  <c r="AG340" i="43"/>
  <c r="AI340" i="43"/>
  <c r="AJ340" i="43"/>
  <c r="AK340" i="43"/>
  <c r="Z349" i="43"/>
  <c r="Z343" i="43"/>
  <c r="AH340" i="43"/>
  <c r="Y360" i="43"/>
  <c r="Y354" i="43" s="1"/>
  <c r="X360" i="43"/>
  <c r="X354" i="43" s="1"/>
  <c r="W360" i="43"/>
  <c r="W354" i="43" s="1"/>
  <c r="V360" i="43"/>
  <c r="V354" i="43" s="1"/>
  <c r="U360" i="43"/>
  <c r="U354" i="43" s="1"/>
  <c r="T360" i="43"/>
  <c r="T354" i="43" s="1"/>
  <c r="S360" i="43"/>
  <c r="S354" i="43" s="1"/>
  <c r="R360" i="43"/>
  <c r="R354" i="43" s="1"/>
  <c r="Q360" i="43"/>
  <c r="Q354" i="43" s="1"/>
  <c r="P360" i="43"/>
  <c r="Z360" i="43"/>
  <c r="Z354" i="43" s="1"/>
  <c r="Z369" i="43"/>
  <c r="AA365" i="43" s="1"/>
  <c r="Z239" i="43"/>
  <c r="Q356" i="43"/>
  <c r="R356" i="43"/>
  <c r="S356" i="43"/>
  <c r="T356" i="43"/>
  <c r="U356" i="43"/>
  <c r="V356" i="43"/>
  <c r="W356" i="43"/>
  <c r="X356" i="43"/>
  <c r="Y356" i="43"/>
  <c r="Z356" i="43"/>
  <c r="AA353" i="43" s="1"/>
  <c r="P356" i="43"/>
  <c r="Q353" i="43" s="1"/>
  <c r="Q351" i="43"/>
  <c r="P351" i="43"/>
  <c r="Q348" i="43" s="1"/>
  <c r="Q349" i="43"/>
  <c r="P345" i="43"/>
  <c r="Q343" i="43"/>
  <c r="AC349" i="43"/>
  <c r="AD349" i="43"/>
  <c r="AE349" i="43"/>
  <c r="AF349" i="43"/>
  <c r="AG349" i="43"/>
  <c r="AH349" i="43"/>
  <c r="AI349" i="43"/>
  <c r="AJ349" i="43"/>
  <c r="AK349" i="43"/>
  <c r="AL349" i="43"/>
  <c r="Z351" i="43"/>
  <c r="AA348" i="43" s="1"/>
  <c r="AA350" i="43" s="1"/>
  <c r="AA323" i="43" s="1"/>
  <c r="Y351" i="43"/>
  <c r="X351" i="43"/>
  <c r="W351" i="43"/>
  <c r="V351" i="43"/>
  <c r="U351" i="43"/>
  <c r="T351" i="43"/>
  <c r="S351" i="43"/>
  <c r="R351" i="43"/>
  <c r="R349" i="43"/>
  <c r="S349" i="43"/>
  <c r="T349" i="43"/>
  <c r="U349" i="43"/>
  <c r="V349" i="43"/>
  <c r="W349" i="43"/>
  <c r="X349" i="43"/>
  <c r="Y349" i="43"/>
  <c r="X343" i="43"/>
  <c r="W343" i="43"/>
  <c r="V343" i="43"/>
  <c r="U343" i="43"/>
  <c r="T343" i="43"/>
  <c r="S343" i="43"/>
  <c r="R343" i="43"/>
  <c r="Y343" i="43"/>
  <c r="AL340" i="43"/>
  <c r="P362" i="43"/>
  <c r="Z362" i="43"/>
  <c r="R362" i="43"/>
  <c r="S362" i="43"/>
  <c r="T362" i="43"/>
  <c r="U362" i="43"/>
  <c r="V362" i="43"/>
  <c r="W362" i="43"/>
  <c r="X362" i="43"/>
  <c r="Y362" i="43"/>
  <c r="Q362" i="43"/>
  <c r="AA355" i="43" l="1"/>
  <c r="AA361" i="43"/>
  <c r="AA367" i="43"/>
  <c r="AA370" i="43"/>
  <c r="Y353" i="43"/>
  <c r="Y361" i="43" s="1"/>
  <c r="U353" i="43"/>
  <c r="U361" i="43" s="1"/>
  <c r="S348" i="43"/>
  <c r="U358" i="43"/>
  <c r="W358" i="43"/>
  <c r="T353" i="43"/>
  <c r="T361" i="43" s="1"/>
  <c r="Z367" i="43"/>
  <c r="Y358" i="43"/>
  <c r="Q358" i="43"/>
  <c r="Z348" i="43"/>
  <c r="W353" i="43"/>
  <c r="W361" i="43" s="1"/>
  <c r="S353" i="43"/>
  <c r="S361" i="43" s="1"/>
  <c r="Q361" i="43"/>
  <c r="T358" i="43"/>
  <c r="P358" i="43"/>
  <c r="P363" i="43" s="1"/>
  <c r="X358" i="43"/>
  <c r="Y363" i="43" s="1"/>
  <c r="Y326" i="43" s="1"/>
  <c r="S358" i="43"/>
  <c r="Z358" i="43"/>
  <c r="AA363" i="43" s="1"/>
  <c r="AA326" i="43" s="1"/>
  <c r="V358" i="43"/>
  <c r="R358" i="43"/>
  <c r="X353" i="43"/>
  <c r="X361" i="43" s="1"/>
  <c r="R353" i="43"/>
  <c r="R361" i="43" s="1"/>
  <c r="V353" i="43"/>
  <c r="V361" i="43" s="1"/>
  <c r="Z353" i="43"/>
  <c r="Z361" i="43" s="1"/>
  <c r="Q346" i="43"/>
  <c r="Q350" i="43"/>
  <c r="Q323" i="43" s="1"/>
  <c r="Q342" i="43"/>
  <c r="V363" i="43" l="1"/>
  <c r="V326" i="43" s="1"/>
  <c r="U363" i="43"/>
  <c r="U326" i="43" s="1"/>
  <c r="R363" i="43"/>
  <c r="R326" i="43" s="1"/>
  <c r="X363" i="43"/>
  <c r="X326" i="43" s="1"/>
  <c r="S363" i="43"/>
  <c r="S326" i="43" s="1"/>
  <c r="T363" i="43"/>
  <c r="T326" i="43" s="1"/>
  <c r="Z363" i="43"/>
  <c r="Z326" i="43" s="1"/>
  <c r="Q363" i="43"/>
  <c r="Q326" i="43" s="1"/>
  <c r="W363" i="43"/>
  <c r="W326" i="43" s="1"/>
  <c r="X70" i="43" l="1"/>
  <c r="Y134" i="43" l="1"/>
  <c r="X134" i="43"/>
  <c r="W134" i="43"/>
  <c r="V134" i="43"/>
  <c r="U134" i="43"/>
  <c r="T134" i="43"/>
  <c r="S134" i="43"/>
  <c r="R134" i="43"/>
  <c r="Q134" i="43"/>
  <c r="P134" i="43"/>
  <c r="O134" i="43"/>
  <c r="N134" i="43"/>
  <c r="Z134" i="43"/>
  <c r="O31" i="246" l="1"/>
  <c r="C31" i="246"/>
  <c r="O3" i="246"/>
  <c r="P3" i="246" s="1"/>
  <c r="Q3" i="246" s="1"/>
  <c r="R3" i="246" s="1"/>
  <c r="S3" i="246" s="1"/>
  <c r="T3" i="246" s="1"/>
  <c r="U3" i="246" s="1"/>
  <c r="V3" i="246" s="1"/>
  <c r="W3" i="246" s="1"/>
  <c r="X3" i="246" s="1"/>
  <c r="Y3" i="246" s="1"/>
  <c r="Z3" i="246" s="1"/>
  <c r="D5" i="246"/>
  <c r="E5" i="246"/>
  <c r="F5" i="246"/>
  <c r="G5" i="246"/>
  <c r="H5" i="246"/>
  <c r="I5" i="246"/>
  <c r="J5" i="246"/>
  <c r="K5" i="246"/>
  <c r="L5" i="246"/>
  <c r="D6" i="246"/>
  <c r="E6" i="246"/>
  <c r="F6" i="246"/>
  <c r="G6" i="246"/>
  <c r="H6" i="246"/>
  <c r="I6" i="246"/>
  <c r="J6" i="246"/>
  <c r="K6" i="246"/>
  <c r="L6" i="246"/>
  <c r="D7" i="246"/>
  <c r="E7" i="246"/>
  <c r="F7" i="246"/>
  <c r="G7" i="246"/>
  <c r="H7" i="246"/>
  <c r="I7" i="246"/>
  <c r="J7" i="246"/>
  <c r="K7" i="246"/>
  <c r="L7" i="246"/>
  <c r="D8" i="246"/>
  <c r="E8" i="246"/>
  <c r="F8" i="246"/>
  <c r="G8" i="246"/>
  <c r="H8" i="246"/>
  <c r="I8" i="246"/>
  <c r="J8" i="246"/>
  <c r="K8" i="246"/>
  <c r="L8" i="246"/>
  <c r="D9" i="246"/>
  <c r="E9" i="246"/>
  <c r="F9" i="246"/>
  <c r="G9" i="246"/>
  <c r="H9" i="246"/>
  <c r="I9" i="246"/>
  <c r="J9" i="246"/>
  <c r="K9" i="246"/>
  <c r="L9" i="246"/>
  <c r="D11" i="246"/>
  <c r="D22" i="246" s="1"/>
  <c r="E11" i="246"/>
  <c r="E22" i="246" s="1"/>
  <c r="F11" i="246"/>
  <c r="F22" i="246" s="1"/>
  <c r="G11" i="246"/>
  <c r="G22" i="246" s="1"/>
  <c r="H11" i="246"/>
  <c r="H22" i="246" s="1"/>
  <c r="I11" i="246"/>
  <c r="I22" i="246" s="1"/>
  <c r="J11" i="246"/>
  <c r="J22" i="246" s="1"/>
  <c r="K11" i="246"/>
  <c r="K22" i="246" s="1"/>
  <c r="L11" i="246"/>
  <c r="L22" i="246" s="1"/>
  <c r="D12" i="246"/>
  <c r="E12" i="246"/>
  <c r="F12" i="246"/>
  <c r="G12" i="246"/>
  <c r="H12" i="246"/>
  <c r="I12" i="246"/>
  <c r="J12" i="246"/>
  <c r="K12" i="246"/>
  <c r="L12" i="246"/>
  <c r="D13" i="246"/>
  <c r="E13" i="246"/>
  <c r="F13" i="246"/>
  <c r="G13" i="246"/>
  <c r="H13" i="246"/>
  <c r="I13" i="246"/>
  <c r="J13" i="246"/>
  <c r="K13" i="246"/>
  <c r="L13" i="246"/>
  <c r="H14" i="246"/>
  <c r="I14" i="246"/>
  <c r="J14" i="246"/>
  <c r="K14" i="246"/>
  <c r="L14" i="246"/>
  <c r="D15" i="246"/>
  <c r="E15" i="246"/>
  <c r="F15" i="246"/>
  <c r="G15" i="246"/>
  <c r="H15" i="246"/>
  <c r="I15" i="246"/>
  <c r="J15" i="246"/>
  <c r="K15" i="246"/>
  <c r="L15" i="246"/>
  <c r="D16" i="246"/>
  <c r="E16" i="246"/>
  <c r="F16" i="246"/>
  <c r="G16" i="246"/>
  <c r="H16" i="246"/>
  <c r="I16" i="246"/>
  <c r="J16" i="246"/>
  <c r="K16" i="246"/>
  <c r="L16" i="246"/>
  <c r="D17" i="246"/>
  <c r="E17" i="246"/>
  <c r="F17" i="246"/>
  <c r="G17" i="246"/>
  <c r="H17" i="246"/>
  <c r="I17" i="246"/>
  <c r="J17" i="246"/>
  <c r="K17" i="246"/>
  <c r="L17" i="246"/>
  <c r="D18" i="246"/>
  <c r="E18" i="246"/>
  <c r="F18" i="246"/>
  <c r="G18" i="246"/>
  <c r="H18" i="246"/>
  <c r="I18" i="246"/>
  <c r="J18" i="246"/>
  <c r="K18" i="246"/>
  <c r="L18" i="246"/>
  <c r="C11" i="246"/>
  <c r="C22" i="246" s="1"/>
  <c r="C12" i="246"/>
  <c r="C13" i="246"/>
  <c r="C15" i="246"/>
  <c r="C16" i="246"/>
  <c r="C17" i="246"/>
  <c r="C18" i="246"/>
  <c r="C6" i="246"/>
  <c r="C7" i="246"/>
  <c r="C8" i="246"/>
  <c r="C9" i="246"/>
  <c r="C5" i="246"/>
  <c r="F25" i="246"/>
  <c r="I25" i="246"/>
  <c r="L25" i="246"/>
  <c r="O25" i="246"/>
  <c r="F31" i="246"/>
  <c r="I31" i="246"/>
  <c r="L31" i="246"/>
  <c r="C25" i="246"/>
  <c r="C10" i="246" l="1"/>
  <c r="I10" i="246"/>
  <c r="E10" i="246"/>
  <c r="L10" i="246"/>
  <c r="H10" i="246"/>
  <c r="D10" i="246"/>
  <c r="K10" i="246"/>
  <c r="G10" i="246"/>
  <c r="J10" i="246"/>
  <c r="F10" i="246"/>
  <c r="AC19" i="43" l="1"/>
  <c r="H19" i="246"/>
  <c r="K19" i="246"/>
  <c r="L19" i="246"/>
  <c r="I19" i="246"/>
  <c r="J19" i="246"/>
  <c r="AC172" i="43" l="1"/>
  <c r="AD19" i="43"/>
  <c r="AD172" i="43" s="1"/>
  <c r="AK216" i="43"/>
  <c r="AL216" i="43"/>
  <c r="AC252" i="43"/>
  <c r="AD252" i="43" s="1"/>
  <c r="AE252" i="43" s="1"/>
  <c r="AF252" i="43" s="1"/>
  <c r="AG252" i="43" s="1"/>
  <c r="AH252" i="43" s="1"/>
  <c r="AI252" i="43" s="1"/>
  <c r="AJ252" i="43" s="1"/>
  <c r="AK252" i="43" s="1"/>
  <c r="AL252" i="43" s="1"/>
  <c r="AM252" i="43" s="1"/>
  <c r="AN252" i="43" s="1"/>
  <c r="AC229" i="43"/>
  <c r="AD229" i="43" s="1"/>
  <c r="AE229" i="43" s="1"/>
  <c r="AF229" i="43" s="1"/>
  <c r="AG229" i="43" s="1"/>
  <c r="AH229" i="43" s="1"/>
  <c r="AI229" i="43" s="1"/>
  <c r="AJ229" i="43" s="1"/>
  <c r="AK229" i="43" s="1"/>
  <c r="AL229" i="43" s="1"/>
  <c r="AM229" i="43" s="1"/>
  <c r="AN229" i="43" s="1"/>
  <c r="AC216" i="43"/>
  <c r="AD216" i="43"/>
  <c r="AE216" i="43"/>
  <c r="AF216" i="43"/>
  <c r="AG216" i="43"/>
  <c r="AH216" i="43"/>
  <c r="AI216" i="43"/>
  <c r="AJ216" i="43"/>
  <c r="X291" i="43"/>
  <c r="X292" i="43" s="1"/>
  <c r="T291" i="43"/>
  <c r="S291" i="43"/>
  <c r="S292" i="43" s="1"/>
  <c r="R291" i="43"/>
  <c r="R292" i="43" s="1"/>
  <c r="Q291" i="43"/>
  <c r="Q292" i="43" s="1"/>
  <c r="P291" i="43"/>
  <c r="O291" i="43"/>
  <c r="O292" i="43" s="1"/>
  <c r="N291" i="43"/>
  <c r="N292" i="43" s="1"/>
  <c r="M291" i="43"/>
  <c r="M292" i="43" s="1"/>
  <c r="L291" i="43"/>
  <c r="L292" i="43" s="1"/>
  <c r="X306" i="43"/>
  <c r="T306" i="43"/>
  <c r="AN303" i="43"/>
  <c r="Y300" i="43"/>
  <c r="W300" i="43"/>
  <c r="V300" i="43"/>
  <c r="U300" i="43"/>
  <c r="Z298" i="43"/>
  <c r="Q186" i="43"/>
  <c r="P186" i="43"/>
  <c r="O186" i="43"/>
  <c r="N186" i="43"/>
  <c r="M186" i="43"/>
  <c r="L186" i="43"/>
  <c r="Z285" i="43"/>
  <c r="Y285" i="43"/>
  <c r="X285" i="43"/>
  <c r="W285" i="43"/>
  <c r="V285" i="43"/>
  <c r="U285" i="43"/>
  <c r="T285" i="43"/>
  <c r="S285" i="43"/>
  <c r="R285" i="43"/>
  <c r="Q285" i="43"/>
  <c r="P285" i="43"/>
  <c r="O285" i="43"/>
  <c r="N285" i="43"/>
  <c r="M285" i="43"/>
  <c r="L285" i="43"/>
  <c r="Z281" i="43"/>
  <c r="Y281" i="43"/>
  <c r="X281" i="43"/>
  <c r="W281" i="43"/>
  <c r="V281" i="43"/>
  <c r="U281" i="43"/>
  <c r="T281" i="43"/>
  <c r="S281" i="43"/>
  <c r="R281" i="43"/>
  <c r="Q281" i="43"/>
  <c r="P281" i="43"/>
  <c r="O281" i="43"/>
  <c r="N281" i="43"/>
  <c r="M281" i="43"/>
  <c r="L281" i="43"/>
  <c r="Z274" i="43"/>
  <c r="Z270" i="43" s="1"/>
  <c r="Y274" i="43"/>
  <c r="Y186" i="43" s="1"/>
  <c r="X274" i="43"/>
  <c r="X270" i="43" s="1"/>
  <c r="W274" i="43"/>
  <c r="W270" i="43" s="1"/>
  <c r="V274" i="43"/>
  <c r="V270" i="43" s="1"/>
  <c r="U274" i="43"/>
  <c r="U186" i="43" s="1"/>
  <c r="T274" i="43"/>
  <c r="T270" i="43" s="1"/>
  <c r="S274" i="43"/>
  <c r="S270" i="43" s="1"/>
  <c r="R274" i="43"/>
  <c r="R270" i="43" s="1"/>
  <c r="Q270" i="43"/>
  <c r="P270" i="43"/>
  <c r="O270" i="43"/>
  <c r="N270" i="43"/>
  <c r="M270" i="43"/>
  <c r="L270" i="43"/>
  <c r="Z269" i="43"/>
  <c r="Y269" i="43"/>
  <c r="X269" i="43"/>
  <c r="W269" i="43"/>
  <c r="V269" i="43"/>
  <c r="U269" i="43"/>
  <c r="T269" i="43"/>
  <c r="S269" i="43"/>
  <c r="R269" i="43"/>
  <c r="Q269" i="43"/>
  <c r="P269" i="43"/>
  <c r="O269" i="43"/>
  <c r="N269" i="43"/>
  <c r="M269" i="43"/>
  <c r="L269" i="43"/>
  <c r="Z254" i="43"/>
  <c r="Y254" i="43"/>
  <c r="X254" i="43"/>
  <c r="X405" i="43" s="1"/>
  <c r="W254" i="43"/>
  <c r="V254" i="43"/>
  <c r="U254" i="43"/>
  <c r="T254" i="43"/>
  <c r="T405" i="43" s="1"/>
  <c r="S254" i="43"/>
  <c r="S405" i="43" s="1"/>
  <c r="R254" i="43"/>
  <c r="R405" i="43" s="1"/>
  <c r="Q254" i="43"/>
  <c r="Q405" i="43" s="1"/>
  <c r="P254" i="43"/>
  <c r="P405" i="43" s="1"/>
  <c r="O254" i="43"/>
  <c r="O405" i="43" s="1"/>
  <c r="N254" i="43"/>
  <c r="N405" i="43" s="1"/>
  <c r="M254" i="43"/>
  <c r="M405" i="43" s="1"/>
  <c r="L254" i="43"/>
  <c r="L405" i="43" s="1"/>
  <c r="Z250" i="43"/>
  <c r="Y250" i="43"/>
  <c r="X250" i="43"/>
  <c r="W250" i="43"/>
  <c r="V250" i="43"/>
  <c r="U250" i="43"/>
  <c r="T250" i="43"/>
  <c r="S250" i="43"/>
  <c r="R250" i="43"/>
  <c r="Q250" i="43"/>
  <c r="L250" i="43"/>
  <c r="Z247" i="43"/>
  <c r="Y247" i="43"/>
  <c r="W247" i="43"/>
  <c r="V247" i="43"/>
  <c r="U247" i="43"/>
  <c r="Z245" i="43"/>
  <c r="Y245" i="43"/>
  <c r="X245" i="43"/>
  <c r="W245" i="43"/>
  <c r="V245" i="43"/>
  <c r="U245" i="43"/>
  <c r="T245" i="43"/>
  <c r="S245" i="43"/>
  <c r="R245" i="43"/>
  <c r="Q245" i="43"/>
  <c r="P245" i="43"/>
  <c r="O245" i="43"/>
  <c r="N245" i="43"/>
  <c r="L245" i="43"/>
  <c r="Z243" i="43"/>
  <c r="Y243" i="43"/>
  <c r="X243" i="43"/>
  <c r="W243" i="43"/>
  <c r="V243" i="43"/>
  <c r="U243" i="43"/>
  <c r="T243" i="43"/>
  <c r="S243" i="43"/>
  <c r="Q243" i="43"/>
  <c r="Z242" i="43"/>
  <c r="U242" i="43"/>
  <c r="Y239" i="43"/>
  <c r="X239" i="43"/>
  <c r="W239" i="43"/>
  <c r="V239" i="43"/>
  <c r="U239" i="43"/>
  <c r="T239" i="43"/>
  <c r="S239" i="43"/>
  <c r="R239" i="43"/>
  <c r="Q239" i="43"/>
  <c r="P239" i="43"/>
  <c r="O239" i="43"/>
  <c r="N239" i="43"/>
  <c r="M239" i="43"/>
  <c r="L239" i="43"/>
  <c r="Z235" i="43"/>
  <c r="Y235" i="43"/>
  <c r="X235" i="43"/>
  <c r="W235" i="43"/>
  <c r="V235" i="43"/>
  <c r="U235" i="43"/>
  <c r="T235" i="43"/>
  <c r="S235" i="43"/>
  <c r="R235" i="43"/>
  <c r="Q235" i="43"/>
  <c r="Z231" i="43"/>
  <c r="Y231" i="43"/>
  <c r="X231" i="43"/>
  <c r="W231" i="43"/>
  <c r="V231" i="43"/>
  <c r="U231" i="43"/>
  <c r="T231" i="43"/>
  <c r="S231" i="43"/>
  <c r="R231" i="43"/>
  <c r="Q231" i="43"/>
  <c r="P231" i="43"/>
  <c r="O231" i="43"/>
  <c r="N231" i="43"/>
  <c r="M231" i="43"/>
  <c r="L231" i="43"/>
  <c r="Z219" i="43"/>
  <c r="P219" i="43"/>
  <c r="O219" i="43"/>
  <c r="N219" i="43"/>
  <c r="M219" i="43"/>
  <c r="L219" i="43"/>
  <c r="Z213" i="43"/>
  <c r="Y213" i="43"/>
  <c r="X213" i="43"/>
  <c r="W213" i="43"/>
  <c r="V213" i="43"/>
  <c r="U213" i="43"/>
  <c r="T213" i="43"/>
  <c r="S213" i="43"/>
  <c r="P213" i="43"/>
  <c r="O213" i="43"/>
  <c r="N213" i="43"/>
  <c r="U210" i="43"/>
  <c r="R210" i="43"/>
  <c r="Q210" i="43"/>
  <c r="P210" i="43"/>
  <c r="N210" i="43"/>
  <c r="W209" i="43"/>
  <c r="R209" i="43"/>
  <c r="M209" i="43"/>
  <c r="M79" i="43" s="1"/>
  <c r="L209" i="43"/>
  <c r="Z207" i="43"/>
  <c r="Y207" i="43"/>
  <c r="X207" i="43"/>
  <c r="W207" i="43"/>
  <c r="V207" i="43"/>
  <c r="U207" i="43"/>
  <c r="T207" i="43"/>
  <c r="S207" i="43"/>
  <c r="R207" i="43"/>
  <c r="Q207" i="43"/>
  <c r="P207" i="43"/>
  <c r="O207" i="43"/>
  <c r="N207" i="43"/>
  <c r="Q198" i="43"/>
  <c r="R198" i="43"/>
  <c r="S198" i="43"/>
  <c r="T198" i="43"/>
  <c r="U198" i="43"/>
  <c r="V198" i="43"/>
  <c r="W198" i="43"/>
  <c r="X198" i="43"/>
  <c r="Y198" i="43"/>
  <c r="Z198" i="43"/>
  <c r="L200" i="43"/>
  <c r="M200" i="43"/>
  <c r="N200" i="43"/>
  <c r="O200" i="43"/>
  <c r="P200" i="43"/>
  <c r="Q200" i="43"/>
  <c r="S200" i="43"/>
  <c r="T200" i="43"/>
  <c r="U200" i="43"/>
  <c r="V200" i="43"/>
  <c r="W200" i="43"/>
  <c r="X200" i="43"/>
  <c r="Y200" i="43"/>
  <c r="Z200" i="43"/>
  <c r="Y175" i="43"/>
  <c r="X175" i="43"/>
  <c r="W175" i="43"/>
  <c r="V175" i="43"/>
  <c r="U175" i="43"/>
  <c r="T175" i="43"/>
  <c r="S175" i="43"/>
  <c r="R175" i="43"/>
  <c r="Q175" i="43"/>
  <c r="P175" i="43"/>
  <c r="O175" i="43"/>
  <c r="N175" i="43"/>
  <c r="M175" i="43"/>
  <c r="L175" i="43"/>
  <c r="Y177" i="43"/>
  <c r="X177" i="43"/>
  <c r="W177" i="43"/>
  <c r="V177" i="43"/>
  <c r="U177" i="43"/>
  <c r="T177" i="43"/>
  <c r="S177" i="43"/>
  <c r="R177" i="43"/>
  <c r="Q177" i="43"/>
  <c r="P177" i="43"/>
  <c r="O177" i="43"/>
  <c r="N177" i="43"/>
  <c r="M177" i="43"/>
  <c r="L177" i="43"/>
  <c r="Z177" i="43"/>
  <c r="Z175" i="43"/>
  <c r="Y173" i="43"/>
  <c r="X173" i="43"/>
  <c r="W173" i="43"/>
  <c r="V173" i="43"/>
  <c r="U173" i="43"/>
  <c r="T173" i="43"/>
  <c r="S173" i="43"/>
  <c r="R173" i="43"/>
  <c r="Q173" i="43"/>
  <c r="P173" i="43"/>
  <c r="O173" i="43"/>
  <c r="N173" i="43"/>
  <c r="M173" i="43"/>
  <c r="L173" i="43"/>
  <c r="Y172" i="43"/>
  <c r="X172" i="43"/>
  <c r="W172" i="43"/>
  <c r="V172" i="43"/>
  <c r="U172" i="43"/>
  <c r="T172" i="43"/>
  <c r="S172" i="43"/>
  <c r="R172" i="43"/>
  <c r="Q172" i="43"/>
  <c r="P172" i="43"/>
  <c r="O172" i="43"/>
  <c r="N172" i="43"/>
  <c r="M172" i="43"/>
  <c r="L172" i="43"/>
  <c r="Z173" i="43"/>
  <c r="Z172" i="43"/>
  <c r="Y170" i="43"/>
  <c r="X170" i="43"/>
  <c r="S170" i="43"/>
  <c r="R170" i="43"/>
  <c r="Q170" i="43"/>
  <c r="P170" i="43"/>
  <c r="O170" i="43"/>
  <c r="Y169" i="43"/>
  <c r="X169" i="43"/>
  <c r="W169" i="43"/>
  <c r="V169" i="43"/>
  <c r="U169" i="43"/>
  <c r="T169" i="43"/>
  <c r="S169" i="43"/>
  <c r="R169" i="43"/>
  <c r="Q169" i="43"/>
  <c r="P169" i="43"/>
  <c r="O169" i="43"/>
  <c r="N169" i="43"/>
  <c r="M169" i="43"/>
  <c r="L169" i="43"/>
  <c r="Y168" i="43"/>
  <c r="X168" i="43"/>
  <c r="W168" i="43"/>
  <c r="V168" i="43"/>
  <c r="U168" i="43"/>
  <c r="T168" i="43"/>
  <c r="S168" i="43"/>
  <c r="R168" i="43"/>
  <c r="Q168" i="43"/>
  <c r="P168" i="43"/>
  <c r="O168" i="43"/>
  <c r="N168" i="43"/>
  <c r="M168" i="43"/>
  <c r="L168" i="43"/>
  <c r="Y167" i="43"/>
  <c r="Y197" i="43" s="1"/>
  <c r="X167" i="43"/>
  <c r="X197" i="43" s="1"/>
  <c r="W167" i="43"/>
  <c r="W197" i="43" s="1"/>
  <c r="V167" i="43"/>
  <c r="V197" i="43" s="1"/>
  <c r="U167" i="43"/>
  <c r="U197" i="43" s="1"/>
  <c r="T167" i="43"/>
  <c r="T197" i="43" s="1"/>
  <c r="S167" i="43"/>
  <c r="S197" i="43" s="1"/>
  <c r="R167" i="43"/>
  <c r="R197" i="43" s="1"/>
  <c r="Q167" i="43"/>
  <c r="Q197" i="43" s="1"/>
  <c r="P167" i="43"/>
  <c r="P197" i="43" s="1"/>
  <c r="O167" i="43"/>
  <c r="O197" i="43" s="1"/>
  <c r="N167" i="43"/>
  <c r="N197" i="43" s="1"/>
  <c r="M167" i="43"/>
  <c r="M197" i="43" s="1"/>
  <c r="L167" i="43"/>
  <c r="L197" i="43" s="1"/>
  <c r="AC167" i="43"/>
  <c r="AC197" i="43" s="1"/>
  <c r="AD167" i="43"/>
  <c r="AD197" i="43" s="1"/>
  <c r="AE167" i="43"/>
  <c r="AE197" i="43" s="1"/>
  <c r="AF167" i="43"/>
  <c r="AF197" i="43" s="1"/>
  <c r="AG167" i="43"/>
  <c r="AG197" i="43" s="1"/>
  <c r="AH167" i="43"/>
  <c r="AH197" i="43" s="1"/>
  <c r="AI167" i="43"/>
  <c r="AI197" i="43" s="1"/>
  <c r="AJ167" i="43"/>
  <c r="AJ197" i="43" s="1"/>
  <c r="AK167" i="43"/>
  <c r="AK197" i="43" s="1"/>
  <c r="AL167" i="43"/>
  <c r="AL197" i="43" s="1"/>
  <c r="AC168" i="43"/>
  <c r="AD168" i="43"/>
  <c r="AE168" i="43"/>
  <c r="AF168" i="43"/>
  <c r="AG168" i="43"/>
  <c r="AH168" i="43"/>
  <c r="AI168" i="43"/>
  <c r="AJ168" i="43"/>
  <c r="AK168" i="43"/>
  <c r="AL168" i="43"/>
  <c r="AC169" i="43"/>
  <c r="AD169" i="43"/>
  <c r="AE169" i="43"/>
  <c r="AF169" i="43"/>
  <c r="AG169" i="43"/>
  <c r="AH169" i="43"/>
  <c r="AI169" i="43"/>
  <c r="AJ169" i="43"/>
  <c r="AK169" i="43"/>
  <c r="AL169" i="43"/>
  <c r="Z170" i="43"/>
  <c r="Z169" i="43"/>
  <c r="Z168" i="43"/>
  <c r="Z167" i="43"/>
  <c r="Z197" i="43" s="1"/>
  <c r="M163" i="43"/>
  <c r="N163" i="43"/>
  <c r="O163" i="43"/>
  <c r="P163" i="43"/>
  <c r="L163" i="43"/>
  <c r="Y160" i="43"/>
  <c r="X160" i="43"/>
  <c r="W160" i="43"/>
  <c r="V160" i="43"/>
  <c r="U160" i="43"/>
  <c r="T160" i="43"/>
  <c r="S160" i="43"/>
  <c r="R160" i="43"/>
  <c r="Q160" i="43"/>
  <c r="P160" i="43"/>
  <c r="O160" i="43"/>
  <c r="N160" i="43"/>
  <c r="M160" i="43"/>
  <c r="L160" i="43"/>
  <c r="M159" i="43"/>
  <c r="L159" i="43"/>
  <c r="Z160" i="43"/>
  <c r="AC160" i="43"/>
  <c r="AD160" i="43"/>
  <c r="AE160" i="43"/>
  <c r="AF160" i="43"/>
  <c r="AG160" i="43"/>
  <c r="AH160" i="43"/>
  <c r="AI160" i="43"/>
  <c r="AJ160" i="43"/>
  <c r="AK160" i="43"/>
  <c r="AL160" i="43"/>
  <c r="U39" i="43"/>
  <c r="T39" i="43"/>
  <c r="S39" i="43"/>
  <c r="E14" i="246" s="1"/>
  <c r="R39" i="43"/>
  <c r="Q39" i="43"/>
  <c r="Z35" i="43"/>
  <c r="Y35" i="43"/>
  <c r="Y44" i="43" s="1"/>
  <c r="X35" i="43"/>
  <c r="W35" i="43"/>
  <c r="W44" i="43" s="1"/>
  <c r="V35" i="43"/>
  <c r="V44" i="43" s="1"/>
  <c r="U35" i="43"/>
  <c r="T35" i="43"/>
  <c r="S35" i="43"/>
  <c r="R35" i="43"/>
  <c r="Q35" i="43"/>
  <c r="W17" i="43"/>
  <c r="W170" i="43" s="1"/>
  <c r="V17" i="43"/>
  <c r="V170" i="43" s="1"/>
  <c r="U17" i="43"/>
  <c r="U170" i="43" s="1"/>
  <c r="T17" i="43"/>
  <c r="T170" i="43" s="1"/>
  <c r="N17" i="43"/>
  <c r="N170" i="43" s="1"/>
  <c r="M17" i="43"/>
  <c r="M170" i="43" s="1"/>
  <c r="L17" i="43"/>
  <c r="L170" i="43" s="1"/>
  <c r="Z13" i="43"/>
  <c r="Y13" i="43"/>
  <c r="X13" i="43"/>
  <c r="W13" i="43"/>
  <c r="V13" i="43"/>
  <c r="U13" i="43"/>
  <c r="T13" i="43"/>
  <c r="S13" i="43"/>
  <c r="R13" i="43"/>
  <c r="Q13" i="43"/>
  <c r="P13" i="43"/>
  <c r="P166" i="43" s="1"/>
  <c r="O13" i="43"/>
  <c r="O166" i="43" s="1"/>
  <c r="N13" i="43"/>
  <c r="N166" i="43" s="1"/>
  <c r="N196" i="43" s="1"/>
  <c r="M13" i="43"/>
  <c r="L13" i="43"/>
  <c r="Z11" i="43"/>
  <c r="Y11" i="43"/>
  <c r="Y163" i="43" s="1"/>
  <c r="X11" i="43"/>
  <c r="X163" i="43" s="1"/>
  <c r="W11" i="43"/>
  <c r="W163" i="43" s="1"/>
  <c r="V11" i="43"/>
  <c r="V163" i="43" s="1"/>
  <c r="U11" i="43"/>
  <c r="U163" i="43" s="1"/>
  <c r="T11" i="43"/>
  <c r="T163" i="43" s="1"/>
  <c r="S11" i="43"/>
  <c r="S163" i="43" s="1"/>
  <c r="R11" i="43"/>
  <c r="R163" i="43" s="1"/>
  <c r="Q11" i="43"/>
  <c r="Q163" i="43" s="1"/>
  <c r="Z10" i="43"/>
  <c r="Y10" i="43"/>
  <c r="Y162" i="43" s="1"/>
  <c r="X10" i="43"/>
  <c r="X162" i="43" s="1"/>
  <c r="W10" i="43"/>
  <c r="W162" i="43" s="1"/>
  <c r="V10" i="43"/>
  <c r="V162" i="43" s="1"/>
  <c r="P10" i="43"/>
  <c r="O10" i="43"/>
  <c r="O162" i="43" s="1"/>
  <c r="N10" i="43"/>
  <c r="N162" i="43" s="1"/>
  <c r="M10" i="43"/>
  <c r="M162" i="43" s="1"/>
  <c r="L10" i="43"/>
  <c r="L44" i="43" s="1"/>
  <c r="L60" i="43" s="1"/>
  <c r="M9" i="43"/>
  <c r="L9" i="43"/>
  <c r="W128" i="43"/>
  <c r="V128" i="43"/>
  <c r="U128" i="43"/>
  <c r="T128" i="43"/>
  <c r="S128" i="43"/>
  <c r="R128" i="43"/>
  <c r="Q128" i="43"/>
  <c r="P128" i="43"/>
  <c r="O128" i="43"/>
  <c r="N128" i="43"/>
  <c r="P119" i="43"/>
  <c r="O119" i="43"/>
  <c r="N119" i="43"/>
  <c r="Z118" i="43"/>
  <c r="Y118" i="43"/>
  <c r="X118" i="43"/>
  <c r="W118" i="43"/>
  <c r="V118" i="43"/>
  <c r="U118" i="43"/>
  <c r="T118" i="43"/>
  <c r="S118" i="43"/>
  <c r="R118" i="43"/>
  <c r="Q118" i="43"/>
  <c r="P118" i="43"/>
  <c r="O118" i="43"/>
  <c r="N118" i="43"/>
  <c r="P109" i="43"/>
  <c r="O109" i="43"/>
  <c r="N109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1" i="43"/>
  <c r="Z99" i="43"/>
  <c r="Y99" i="43"/>
  <c r="X99" i="43"/>
  <c r="X100" i="43" s="1"/>
  <c r="W99" i="43"/>
  <c r="V99" i="43"/>
  <c r="U99" i="43"/>
  <c r="U100" i="43" s="1"/>
  <c r="T99" i="43"/>
  <c r="T100" i="43" s="1"/>
  <c r="S99" i="43"/>
  <c r="R99" i="43"/>
  <c r="Q99" i="43"/>
  <c r="Q100" i="43" s="1"/>
  <c r="P99" i="43"/>
  <c r="O99" i="43"/>
  <c r="O100" i="43" s="1"/>
  <c r="N99" i="43"/>
  <c r="M93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W85" i="43"/>
  <c r="X83" i="43"/>
  <c r="M77" i="43"/>
  <c r="M78" i="43" s="1"/>
  <c r="Z76" i="43"/>
  <c r="Y76" i="43"/>
  <c r="X76" i="43"/>
  <c r="W76" i="43"/>
  <c r="Z75" i="43"/>
  <c r="Y75" i="43"/>
  <c r="X75" i="43"/>
  <c r="W75" i="43"/>
  <c r="Z74" i="43"/>
  <c r="Y74" i="43"/>
  <c r="X74" i="43"/>
  <c r="W74" i="43"/>
  <c r="Z73" i="43"/>
  <c r="Y73" i="43"/>
  <c r="X73" i="43"/>
  <c r="W73" i="43"/>
  <c r="Z70" i="43"/>
  <c r="Y70" i="43"/>
  <c r="W70" i="43"/>
  <c r="P292" i="43" l="1"/>
  <c r="T292" i="43"/>
  <c r="V306" i="43"/>
  <c r="Z300" i="43"/>
  <c r="W306" i="43"/>
  <c r="X308" i="43" s="1"/>
  <c r="T312" i="43"/>
  <c r="L166" i="43"/>
  <c r="L196" i="43" s="1"/>
  <c r="P196" i="43"/>
  <c r="X312" i="43"/>
  <c r="Y83" i="43"/>
  <c r="O196" i="43"/>
  <c r="M166" i="43"/>
  <c r="M196" i="43" s="1"/>
  <c r="AD300" i="43"/>
  <c r="AE300" i="43" s="1"/>
  <c r="AF300" i="43" s="1"/>
  <c r="AG300" i="43" s="1"/>
  <c r="AH300" i="43" s="1"/>
  <c r="AI300" i="43" s="1"/>
  <c r="AJ300" i="43" s="1"/>
  <c r="AK300" i="43" s="1"/>
  <c r="AL300" i="43" s="1"/>
  <c r="AM300" i="43" s="1"/>
  <c r="AN300" i="43" s="1"/>
  <c r="R166" i="43"/>
  <c r="R196" i="43" s="1"/>
  <c r="S166" i="43"/>
  <c r="S196" i="43" s="1"/>
  <c r="W166" i="43"/>
  <c r="W196" i="43" s="1"/>
  <c r="V166" i="43"/>
  <c r="V196" i="43" s="1"/>
  <c r="T166" i="43"/>
  <c r="T196" i="43" s="1"/>
  <c r="X166" i="43"/>
  <c r="X196" i="43" s="1"/>
  <c r="Q166" i="43"/>
  <c r="Q196" i="43" s="1"/>
  <c r="U166" i="43"/>
  <c r="U196" i="43" s="1"/>
  <c r="Y166" i="43"/>
  <c r="Y196" i="43" s="1"/>
  <c r="V405" i="43"/>
  <c r="V406" i="43" s="1"/>
  <c r="Z405" i="43"/>
  <c r="Z406" i="43" s="1"/>
  <c r="W100" i="43"/>
  <c r="Z321" i="43"/>
  <c r="P101" i="43"/>
  <c r="P100" i="43"/>
  <c r="S321" i="43"/>
  <c r="W321" i="43"/>
  <c r="V321" i="43"/>
  <c r="Y100" i="43"/>
  <c r="T321" i="43"/>
  <c r="X321" i="43"/>
  <c r="U405" i="43"/>
  <c r="U406" i="43" s="1"/>
  <c r="Y405" i="43"/>
  <c r="Y406" i="43" s="1"/>
  <c r="AE19" i="43"/>
  <c r="AE172" i="43" s="1"/>
  <c r="S100" i="43"/>
  <c r="N101" i="43"/>
  <c r="N100" i="43"/>
  <c r="R100" i="43"/>
  <c r="V100" i="43"/>
  <c r="Z100" i="43"/>
  <c r="Q321" i="43"/>
  <c r="U321" i="43"/>
  <c r="Y321" i="43"/>
  <c r="R321" i="43"/>
  <c r="W405" i="43"/>
  <c r="W406" i="43" s="1"/>
  <c r="T101" i="43"/>
  <c r="X101" i="43"/>
  <c r="Q7" i="43"/>
  <c r="Q135" i="43" s="1"/>
  <c r="U7" i="43"/>
  <c r="U135" i="43" s="1"/>
  <c r="P406" i="43"/>
  <c r="N406" i="43"/>
  <c r="R406" i="43"/>
  <c r="L406" i="43"/>
  <c r="T406" i="43"/>
  <c r="X406" i="43"/>
  <c r="Q406" i="43"/>
  <c r="M259" i="43"/>
  <c r="M406" i="43"/>
  <c r="O406" i="43"/>
  <c r="S406" i="43"/>
  <c r="U345" i="43"/>
  <c r="V346" i="43" s="1"/>
  <c r="R345" i="43"/>
  <c r="V345" i="43"/>
  <c r="Z345" i="43"/>
  <c r="Q345" i="43"/>
  <c r="S345" i="43"/>
  <c r="W345" i="43"/>
  <c r="Y345" i="43"/>
  <c r="T345" i="43"/>
  <c r="X345" i="43"/>
  <c r="N259" i="43"/>
  <c r="R259" i="43"/>
  <c r="V259" i="43"/>
  <c r="Z259" i="43"/>
  <c r="AA261" i="43" s="1"/>
  <c r="AA263" i="43" s="1"/>
  <c r="AA324" i="43" s="1"/>
  <c r="O259" i="43"/>
  <c r="S259" i="43"/>
  <c r="V291" i="43"/>
  <c r="V292" i="43" s="1"/>
  <c r="W291" i="43"/>
  <c r="W292" i="43" s="1"/>
  <c r="Y291" i="43"/>
  <c r="Y292" i="43" s="1"/>
  <c r="T348" i="43"/>
  <c r="X348" i="43"/>
  <c r="R348" i="43"/>
  <c r="U348" i="43"/>
  <c r="Y348" i="43"/>
  <c r="W348" i="43"/>
  <c r="V348" i="43"/>
  <c r="U350" i="43"/>
  <c r="U323" i="43" s="1"/>
  <c r="U259" i="43"/>
  <c r="Y259" i="43"/>
  <c r="W259" i="43"/>
  <c r="L259" i="43"/>
  <c r="P259" i="43"/>
  <c r="T259" i="43"/>
  <c r="X259" i="43"/>
  <c r="Q259" i="43"/>
  <c r="O79" i="43"/>
  <c r="S79" i="43"/>
  <c r="W79" i="43"/>
  <c r="P79" i="43"/>
  <c r="T79" i="43"/>
  <c r="X79" i="43"/>
  <c r="Q79" i="43"/>
  <c r="U79" i="43"/>
  <c r="Y79" i="43"/>
  <c r="N79" i="43"/>
  <c r="V79" i="43"/>
  <c r="X110" i="43"/>
  <c r="Q122" i="43"/>
  <c r="Y112" i="43"/>
  <c r="R122" i="43"/>
  <c r="T110" i="43"/>
  <c r="U120" i="43"/>
  <c r="U112" i="43"/>
  <c r="V122" i="43"/>
  <c r="P112" i="43"/>
  <c r="Y120" i="43"/>
  <c r="Q112" i="43"/>
  <c r="N122" i="43"/>
  <c r="O112" i="43"/>
  <c r="S112" i="43"/>
  <c r="W112" i="43"/>
  <c r="P122" i="43"/>
  <c r="T122" i="43"/>
  <c r="X122" i="43"/>
  <c r="R79" i="43"/>
  <c r="Z79" i="43"/>
  <c r="Y270" i="43"/>
  <c r="Y271" i="43" s="1"/>
  <c r="Z122" i="43"/>
  <c r="Z163" i="43"/>
  <c r="Z166" i="43"/>
  <c r="Z196" i="43" s="1"/>
  <c r="AC231" i="43"/>
  <c r="AD231" i="43" s="1"/>
  <c r="AE231" i="43" s="1"/>
  <c r="AF231" i="43" s="1"/>
  <c r="AG231" i="43" s="1"/>
  <c r="AH231" i="43" s="1"/>
  <c r="AI231" i="43" s="1"/>
  <c r="AJ231" i="43" s="1"/>
  <c r="AK231" i="43" s="1"/>
  <c r="AL231" i="43" s="1"/>
  <c r="AM231" i="43" s="1"/>
  <c r="AN231" i="43" s="1"/>
  <c r="Z162" i="43"/>
  <c r="AC239" i="43"/>
  <c r="AD239" i="43" s="1"/>
  <c r="AE239" i="43" s="1"/>
  <c r="AF239" i="43" s="1"/>
  <c r="AG239" i="43" s="1"/>
  <c r="AH239" i="43" s="1"/>
  <c r="AI239" i="43" s="1"/>
  <c r="AJ239" i="43" s="1"/>
  <c r="AK239" i="43" s="1"/>
  <c r="AL239" i="43" s="1"/>
  <c r="AM239" i="43" s="1"/>
  <c r="AN239" i="43" s="1"/>
  <c r="R10" i="43"/>
  <c r="R162" i="43" s="1"/>
  <c r="D14" i="246"/>
  <c r="T10" i="43"/>
  <c r="T162" i="43" s="1"/>
  <c r="F14" i="246"/>
  <c r="Q10" i="43"/>
  <c r="Q162" i="43" s="1"/>
  <c r="C14" i="246"/>
  <c r="U10" i="43"/>
  <c r="U162" i="43" s="1"/>
  <c r="G14" i="246"/>
  <c r="E19" i="246"/>
  <c r="U270" i="43"/>
  <c r="U271" i="43" s="1"/>
  <c r="U291" i="43"/>
  <c r="U292" i="43" s="1"/>
  <c r="M271" i="43"/>
  <c r="Q271" i="43"/>
  <c r="Z291" i="43"/>
  <c r="Z292" i="43" s="1"/>
  <c r="O271" i="43"/>
  <c r="U306" i="43"/>
  <c r="V312" i="43"/>
  <c r="T307" i="43"/>
  <c r="T186" i="43"/>
  <c r="X307" i="43"/>
  <c r="U312" i="43"/>
  <c r="Y312" i="43"/>
  <c r="X186" i="43"/>
  <c r="Z312" i="43"/>
  <c r="W312" i="43"/>
  <c r="L271" i="43"/>
  <c r="P271" i="43"/>
  <c r="Z186" i="43"/>
  <c r="R186" i="43"/>
  <c r="V186" i="43"/>
  <c r="N271" i="43"/>
  <c r="S186" i="43"/>
  <c r="W186" i="43"/>
  <c r="Y301" i="43"/>
  <c r="Y306" i="43" s="1"/>
  <c r="T271" i="43"/>
  <c r="X271" i="43"/>
  <c r="S271" i="43"/>
  <c r="W271" i="43"/>
  <c r="R271" i="43"/>
  <c r="V271" i="43"/>
  <c r="Z271" i="43"/>
  <c r="P44" i="43"/>
  <c r="P162" i="43"/>
  <c r="X7" i="43"/>
  <c r="O101" i="43"/>
  <c r="O7" i="43"/>
  <c r="Y101" i="43"/>
  <c r="Y7" i="43"/>
  <c r="T7" i="43"/>
  <c r="T135" i="43" s="1"/>
  <c r="S101" i="43"/>
  <c r="S7" i="43"/>
  <c r="S135" i="43" s="1"/>
  <c r="W101" i="43"/>
  <c r="W7" i="43"/>
  <c r="R101" i="43"/>
  <c r="R7" i="43"/>
  <c r="R135" i="43" s="1"/>
  <c r="V101" i="43"/>
  <c r="V7" i="43"/>
  <c r="Z101" i="43"/>
  <c r="Z7" i="43"/>
  <c r="P7" i="43"/>
  <c r="L162" i="43"/>
  <c r="M12" i="43"/>
  <c r="T44" i="43"/>
  <c r="Q44" i="43"/>
  <c r="M44" i="43"/>
  <c r="M60" i="43" s="1"/>
  <c r="N7" i="43"/>
  <c r="L12" i="43"/>
  <c r="S44" i="43"/>
  <c r="O44" i="43"/>
  <c r="S10" i="43"/>
  <c r="S162" i="43" s="1"/>
  <c r="N44" i="43"/>
  <c r="X44" i="43"/>
  <c r="U44" i="43"/>
  <c r="R44" i="43"/>
  <c r="Z44" i="43"/>
  <c r="T112" i="43"/>
  <c r="Z120" i="43"/>
  <c r="Q109" i="43"/>
  <c r="Q110" i="43" s="1"/>
  <c r="U110" i="43"/>
  <c r="X112" i="43"/>
  <c r="R120" i="43"/>
  <c r="U122" i="43"/>
  <c r="U101" i="43"/>
  <c r="P110" i="43"/>
  <c r="Y110" i="43"/>
  <c r="N120" i="43"/>
  <c r="V120" i="43"/>
  <c r="Y122" i="43"/>
  <c r="N112" i="43"/>
  <c r="N110" i="43"/>
  <c r="R112" i="43"/>
  <c r="R110" i="43"/>
  <c r="V112" i="43"/>
  <c r="V110" i="43"/>
  <c r="Z102" i="43"/>
  <c r="Z112" i="43"/>
  <c r="Z110" i="43"/>
  <c r="O122" i="43"/>
  <c r="O120" i="43"/>
  <c r="S122" i="43"/>
  <c r="S120" i="43"/>
  <c r="W122" i="43"/>
  <c r="W120" i="43"/>
  <c r="AA70" i="43"/>
  <c r="Y102" i="43"/>
  <c r="Q101" i="43"/>
  <c r="X102" i="43"/>
  <c r="O110" i="43"/>
  <c r="S110" i="43"/>
  <c r="W110" i="43"/>
  <c r="P120" i="43"/>
  <c r="T120" i="43"/>
  <c r="X120" i="43"/>
  <c r="Q119" i="43"/>
  <c r="Q120" i="43" s="1"/>
  <c r="W308" i="43" l="1"/>
  <c r="W310" i="43" s="1"/>
  <c r="X310" i="43"/>
  <c r="AB338" i="43"/>
  <c r="AB339" i="43"/>
  <c r="AA300" i="43"/>
  <c r="Z301" i="43"/>
  <c r="Z306" i="43" s="1"/>
  <c r="Z307" i="43" s="1"/>
  <c r="Y135" i="43"/>
  <c r="X135" i="43"/>
  <c r="V135" i="43"/>
  <c r="W135" i="43"/>
  <c r="AB306" i="43"/>
  <c r="AB307" i="43" s="1"/>
  <c r="AD301" i="43"/>
  <c r="AE301" i="43" s="1"/>
  <c r="AF301" i="43" s="1"/>
  <c r="AG301" i="43" s="1"/>
  <c r="AH301" i="43" s="1"/>
  <c r="AI301" i="43" s="1"/>
  <c r="AJ301" i="43" s="1"/>
  <c r="AK301" i="43" s="1"/>
  <c r="AL301" i="43" s="1"/>
  <c r="AM301" i="43" s="1"/>
  <c r="AN301" i="43" s="1"/>
  <c r="L18" i="43"/>
  <c r="L28" i="43" s="1"/>
  <c r="L27" i="43"/>
  <c r="M18" i="43"/>
  <c r="M28" i="43" s="1"/>
  <c r="M27" i="43"/>
  <c r="Q159" i="43"/>
  <c r="AA338" i="43"/>
  <c r="AA339" i="43"/>
  <c r="U54" i="43"/>
  <c r="AF19" i="43"/>
  <c r="AF172" i="43" s="1"/>
  <c r="AA342" i="43"/>
  <c r="AA344" i="43" s="1"/>
  <c r="AA322" i="43" s="1"/>
  <c r="AA346" i="43"/>
  <c r="AC242" i="43"/>
  <c r="Q52" i="43"/>
  <c r="Q57" i="43"/>
  <c r="Q48" i="43"/>
  <c r="R78" i="43"/>
  <c r="U58" i="43"/>
  <c r="U49" i="43"/>
  <c r="U55" i="43"/>
  <c r="G20" i="246"/>
  <c r="U52" i="43"/>
  <c r="U46" i="43"/>
  <c r="U50" i="43"/>
  <c r="U60" i="43"/>
  <c r="V78" i="43"/>
  <c r="U159" i="43"/>
  <c r="U56" i="43"/>
  <c r="U47" i="43"/>
  <c r="U59" i="43"/>
  <c r="U51" i="43"/>
  <c r="U53" i="43"/>
  <c r="U57" i="43"/>
  <c r="U48" i="43"/>
  <c r="U9" i="43"/>
  <c r="U12" i="43" s="1"/>
  <c r="Q9" i="43"/>
  <c r="Q12" i="43" s="1"/>
  <c r="Q51" i="43"/>
  <c r="Q58" i="43"/>
  <c r="Q49" i="43"/>
  <c r="Q53" i="43"/>
  <c r="Q60" i="43"/>
  <c r="Q55" i="43"/>
  <c r="Q50" i="43"/>
  <c r="Q54" i="43"/>
  <c r="Q56" i="43"/>
  <c r="Q46" i="43"/>
  <c r="Q47" i="43"/>
  <c r="Q59" i="43"/>
  <c r="C20" i="246"/>
  <c r="C23" i="246" s="1"/>
  <c r="AC228" i="43"/>
  <c r="X342" i="43"/>
  <c r="X344" i="43" s="1"/>
  <c r="X322" i="43" s="1"/>
  <c r="S342" i="43"/>
  <c r="S344" i="43" s="1"/>
  <c r="S322" i="43" s="1"/>
  <c r="V342" i="43"/>
  <c r="V344" i="43" s="1"/>
  <c r="V322" i="43" s="1"/>
  <c r="U342" i="43"/>
  <c r="U344" i="43" s="1"/>
  <c r="U322" i="43" s="1"/>
  <c r="W342" i="43"/>
  <c r="W344" i="43" s="1"/>
  <c r="W322" i="43" s="1"/>
  <c r="T346" i="43"/>
  <c r="Q344" i="43"/>
  <c r="Q322" i="43" s="1"/>
  <c r="Y346" i="43"/>
  <c r="Z342" i="43"/>
  <c r="Z344" i="43" s="1"/>
  <c r="Z322" i="43" s="1"/>
  <c r="X346" i="43"/>
  <c r="R346" i="43"/>
  <c r="T342" i="43"/>
  <c r="T344" i="43" s="1"/>
  <c r="T322" i="43" s="1"/>
  <c r="W346" i="43"/>
  <c r="U346" i="43"/>
  <c r="S346" i="43"/>
  <c r="W307" i="43"/>
  <c r="Y342" i="43"/>
  <c r="Y344" i="43" s="1"/>
  <c r="Y322" i="43" s="1"/>
  <c r="R342" i="43"/>
  <c r="R344" i="43" s="1"/>
  <c r="R322" i="43" s="1"/>
  <c r="Z346" i="43"/>
  <c r="V307" i="43"/>
  <c r="Q355" i="43"/>
  <c r="U355" i="43"/>
  <c r="Z135" i="43"/>
  <c r="O159" i="43"/>
  <c r="O135" i="43"/>
  <c r="P159" i="43"/>
  <c r="P135" i="43"/>
  <c r="N135" i="43"/>
  <c r="U307" i="43"/>
  <c r="Q93" i="43"/>
  <c r="Y49" i="43"/>
  <c r="Y350" i="43" s="1"/>
  <c r="Y323" i="43" s="1"/>
  <c r="Y48" i="43"/>
  <c r="Y46" i="43"/>
  <c r="Y47" i="43"/>
  <c r="Z159" i="43"/>
  <c r="Z371" i="43" s="1"/>
  <c r="L20" i="246"/>
  <c r="R159" i="43"/>
  <c r="D20" i="246"/>
  <c r="D23" i="246" s="1"/>
  <c r="S159" i="43"/>
  <c r="E20" i="246"/>
  <c r="Z50" i="43"/>
  <c r="G19" i="246"/>
  <c r="V159" i="43"/>
  <c r="H20" i="246"/>
  <c r="W159" i="43"/>
  <c r="I20" i="246"/>
  <c r="T159" i="43"/>
  <c r="F20" i="246"/>
  <c r="Y159" i="43"/>
  <c r="K20" i="246"/>
  <c r="X159" i="43"/>
  <c r="J20" i="246"/>
  <c r="C19" i="246"/>
  <c r="F19" i="246"/>
  <c r="D19" i="246"/>
  <c r="Y308" i="43"/>
  <c r="Y310" i="43" s="1"/>
  <c r="Y307" i="43"/>
  <c r="V308" i="43"/>
  <c r="V310" i="43" s="1"/>
  <c r="U308" i="43"/>
  <c r="U310" i="43" s="1"/>
  <c r="Y55" i="43"/>
  <c r="Y50" i="43"/>
  <c r="S55" i="43"/>
  <c r="S78" i="43"/>
  <c r="X48" i="43"/>
  <c r="W53" i="43"/>
  <c r="N159" i="43"/>
  <c r="T53" i="43"/>
  <c r="V50" i="43"/>
  <c r="V52" i="43"/>
  <c r="V60" i="43"/>
  <c r="Y59" i="43"/>
  <c r="V53" i="43"/>
  <c r="W60" i="43"/>
  <c r="X52" i="43"/>
  <c r="X51" i="43"/>
  <c r="R53" i="43"/>
  <c r="N60" i="43"/>
  <c r="X54" i="43"/>
  <c r="X50" i="43"/>
  <c r="R50" i="43"/>
  <c r="X58" i="43"/>
  <c r="R51" i="43"/>
  <c r="X55" i="43"/>
  <c r="X46" i="43"/>
  <c r="X59" i="43"/>
  <c r="X56" i="43"/>
  <c r="R59" i="43"/>
  <c r="R46" i="43"/>
  <c r="R54" i="43"/>
  <c r="R60" i="43"/>
  <c r="X9" i="43"/>
  <c r="X12" i="43" s="1"/>
  <c r="X47" i="43"/>
  <c r="R77" i="43"/>
  <c r="W55" i="43"/>
  <c r="R9" i="43"/>
  <c r="R12" i="43" s="1"/>
  <c r="R47" i="43"/>
  <c r="R48" i="43"/>
  <c r="R56" i="43"/>
  <c r="R58" i="43"/>
  <c r="R55" i="43"/>
  <c r="X53" i="43"/>
  <c r="X49" i="43"/>
  <c r="X350" i="43" s="1"/>
  <c r="X323" i="43" s="1"/>
  <c r="X57" i="43"/>
  <c r="Q77" i="43"/>
  <c r="Q78" i="43" s="1"/>
  <c r="X60" i="43"/>
  <c r="R52" i="43"/>
  <c r="R49" i="43"/>
  <c r="R350" i="43" s="1"/>
  <c r="R323" i="43" s="1"/>
  <c r="R57" i="43"/>
  <c r="W57" i="43"/>
  <c r="W9" i="43"/>
  <c r="W12" i="43" s="1"/>
  <c r="W47" i="43"/>
  <c r="W50" i="43"/>
  <c r="W48" i="43"/>
  <c r="W56" i="43"/>
  <c r="W51" i="43"/>
  <c r="W52" i="43"/>
  <c r="W49" i="43"/>
  <c r="W350" i="43" s="1"/>
  <c r="W323" i="43" s="1"/>
  <c r="T52" i="43"/>
  <c r="W46" i="43"/>
  <c r="W54" i="43"/>
  <c r="S56" i="43"/>
  <c r="V51" i="43"/>
  <c r="V56" i="43"/>
  <c r="S52" i="43"/>
  <c r="Y56" i="43"/>
  <c r="V49" i="43"/>
  <c r="V350" i="43" s="1"/>
  <c r="V323" i="43" s="1"/>
  <c r="V58" i="43"/>
  <c r="S49" i="43"/>
  <c r="S350" i="43" s="1"/>
  <c r="S323" i="43" s="1"/>
  <c r="Y53" i="43"/>
  <c r="W77" i="43"/>
  <c r="Z47" i="43"/>
  <c r="S51" i="43"/>
  <c r="P60" i="43"/>
  <c r="S9" i="43"/>
  <c r="S12" i="43" s="1"/>
  <c r="S46" i="43"/>
  <c r="S58" i="43"/>
  <c r="S53" i="43"/>
  <c r="Z54" i="43"/>
  <c r="S47" i="43"/>
  <c r="S59" i="43"/>
  <c r="S57" i="43"/>
  <c r="Z55" i="43"/>
  <c r="S60" i="43"/>
  <c r="S48" i="43"/>
  <c r="S54" i="43"/>
  <c r="S50" i="43"/>
  <c r="Z52" i="43"/>
  <c r="O60" i="43"/>
  <c r="Y51" i="43"/>
  <c r="Y57" i="43"/>
  <c r="Y54" i="43"/>
  <c r="X77" i="43"/>
  <c r="X78" i="43" s="1"/>
  <c r="Y77" i="43"/>
  <c r="Y78" i="43" s="1"/>
  <c r="Y58" i="43"/>
  <c r="N9" i="43"/>
  <c r="N12" i="43" s="1"/>
  <c r="Y60" i="43"/>
  <c r="Y9" i="43"/>
  <c r="Y12" i="43" s="1"/>
  <c r="Y52" i="43"/>
  <c r="O93" i="43"/>
  <c r="O77" i="43"/>
  <c r="O78" i="43" s="1"/>
  <c r="T49" i="43"/>
  <c r="T350" i="43" s="1"/>
  <c r="T323" i="43" s="1"/>
  <c r="T93" i="43"/>
  <c r="T47" i="43"/>
  <c r="T46" i="43"/>
  <c r="U78" i="43"/>
  <c r="T77" i="43"/>
  <c r="Z77" i="43"/>
  <c r="Z78" i="43" s="1"/>
  <c r="T57" i="43"/>
  <c r="T56" i="43"/>
  <c r="T60" i="43"/>
  <c r="Z53" i="43"/>
  <c r="T9" i="43"/>
  <c r="T12" i="43" s="1"/>
  <c r="T58" i="43"/>
  <c r="V77" i="43"/>
  <c r="O9" i="43"/>
  <c r="O12" i="43" s="1"/>
  <c r="T50" i="43"/>
  <c r="T55" i="43"/>
  <c r="V9" i="43"/>
  <c r="V12" i="43" s="1"/>
  <c r="Z57" i="43"/>
  <c r="Z49" i="43"/>
  <c r="Z350" i="43" s="1"/>
  <c r="Z323" i="43" s="1"/>
  <c r="V47" i="43"/>
  <c r="V59" i="43"/>
  <c r="Z93" i="43"/>
  <c r="W58" i="43"/>
  <c r="W93" i="43"/>
  <c r="W59" i="43"/>
  <c r="T51" i="43"/>
  <c r="T54" i="43"/>
  <c r="Z9" i="43"/>
  <c r="Z56" i="43"/>
  <c r="Z48" i="43"/>
  <c r="Z58" i="43"/>
  <c r="V55" i="43"/>
  <c r="W78" i="43"/>
  <c r="P77" i="43"/>
  <c r="P78" i="43" s="1"/>
  <c r="P93" i="43"/>
  <c r="Z51" i="43"/>
  <c r="P9" i="43"/>
  <c r="P12" i="43" s="1"/>
  <c r="T59" i="43"/>
  <c r="T48" i="43"/>
  <c r="V57" i="43"/>
  <c r="U77" i="43"/>
  <c r="Z59" i="43"/>
  <c r="Z46" i="43"/>
  <c r="V48" i="43"/>
  <c r="V46" i="43"/>
  <c r="V54" i="43"/>
  <c r="V93" i="43"/>
  <c r="T78" i="43"/>
  <c r="S77" i="43"/>
  <c r="S93" i="43"/>
  <c r="N93" i="43"/>
  <c r="N77" i="43"/>
  <c r="N78" i="43" s="1"/>
  <c r="N80" i="43" s="1"/>
  <c r="Y93" i="43"/>
  <c r="X93" i="43"/>
  <c r="U93" i="43"/>
  <c r="R93" i="43"/>
  <c r="Z60" i="43"/>
  <c r="AD242" i="43" l="1"/>
  <c r="Z308" i="43"/>
  <c r="Z310" i="43" s="1"/>
  <c r="AB335" i="43"/>
  <c r="AB336" i="43"/>
  <c r="AA301" i="43"/>
  <c r="M21" i="43"/>
  <c r="M26" i="43" s="1"/>
  <c r="Y27" i="43"/>
  <c r="L21" i="43"/>
  <c r="L26" i="43" s="1"/>
  <c r="X18" i="43"/>
  <c r="X27" i="43"/>
  <c r="K59" i="246"/>
  <c r="K23" i="246"/>
  <c r="I59" i="246"/>
  <c r="I23" i="246"/>
  <c r="O18" i="43"/>
  <c r="O27" i="43"/>
  <c r="T18" i="43"/>
  <c r="T153" i="43" s="1"/>
  <c r="T27" i="43"/>
  <c r="N18" i="43"/>
  <c r="N27" i="43"/>
  <c r="R18" i="43"/>
  <c r="R27" i="43"/>
  <c r="J59" i="246"/>
  <c r="J23" i="246"/>
  <c r="U18" i="43"/>
  <c r="U153" i="43" s="1"/>
  <c r="U27" i="43"/>
  <c r="G59" i="246"/>
  <c r="G23" i="246"/>
  <c r="P18" i="43"/>
  <c r="P27" i="43"/>
  <c r="V18" i="43"/>
  <c r="V153" i="43" s="1"/>
  <c r="V27" i="43"/>
  <c r="S18" i="43"/>
  <c r="S153" i="43" s="1"/>
  <c r="S27" i="43"/>
  <c r="W18" i="43"/>
  <c r="W153" i="43" s="1"/>
  <c r="W27" i="43"/>
  <c r="F59" i="246"/>
  <c r="F23" i="246"/>
  <c r="H59" i="246"/>
  <c r="H23" i="246"/>
  <c r="E59" i="246"/>
  <c r="E23" i="246"/>
  <c r="L59" i="246"/>
  <c r="L23" i="246"/>
  <c r="Q18" i="43"/>
  <c r="Q27" i="43"/>
  <c r="C40" i="246"/>
  <c r="L32" i="246" a="1"/>
  <c r="G40" i="246"/>
  <c r="C38" i="246"/>
  <c r="C45" i="246"/>
  <c r="C59" i="246"/>
  <c r="C43" i="246"/>
  <c r="C49" i="246"/>
  <c r="C46" i="246"/>
  <c r="C51" i="246"/>
  <c r="C47" i="246"/>
  <c r="AA335" i="43"/>
  <c r="C44" i="246"/>
  <c r="C39" i="246"/>
  <c r="C42" i="246"/>
  <c r="AA336" i="43"/>
  <c r="C50" i="246"/>
  <c r="C48" i="246"/>
  <c r="C41" i="246"/>
  <c r="AG19" i="43"/>
  <c r="AG172" i="43" s="1"/>
  <c r="G38" i="246"/>
  <c r="G51" i="246"/>
  <c r="G42" i="246"/>
  <c r="G48" i="246"/>
  <c r="G50" i="246"/>
  <c r="G47" i="246"/>
  <c r="G43" i="246"/>
  <c r="G44" i="246"/>
  <c r="G39" i="246"/>
  <c r="G45" i="246"/>
  <c r="G41" i="246"/>
  <c r="G46" i="246"/>
  <c r="G49" i="246"/>
  <c r="AD228" i="43"/>
  <c r="R355" i="43"/>
  <c r="X355" i="43"/>
  <c r="Y355" i="43"/>
  <c r="V355" i="43"/>
  <c r="T355" i="43"/>
  <c r="Z355" i="43"/>
  <c r="W355" i="43"/>
  <c r="S355" i="43"/>
  <c r="D80" i="246"/>
  <c r="F47" i="246"/>
  <c r="Z12" i="43"/>
  <c r="E52" i="246"/>
  <c r="D59" i="246"/>
  <c r="D52" i="246"/>
  <c r="J40" i="246"/>
  <c r="J41" i="246"/>
  <c r="J39" i="246"/>
  <c r="J38" i="246"/>
  <c r="J51" i="246"/>
  <c r="J47" i="246"/>
  <c r="J50" i="246"/>
  <c r="J45" i="246"/>
  <c r="J46" i="246"/>
  <c r="J42" i="246"/>
  <c r="J49" i="246"/>
  <c r="J48" i="246"/>
  <c r="J44" i="246"/>
  <c r="J43" i="246"/>
  <c r="J52" i="246"/>
  <c r="E38" i="246"/>
  <c r="E39" i="246"/>
  <c r="E41" i="246"/>
  <c r="E51" i="246"/>
  <c r="E48" i="246"/>
  <c r="E40" i="246"/>
  <c r="E44" i="246"/>
  <c r="E50" i="246"/>
  <c r="E42" i="246"/>
  <c r="E49" i="246"/>
  <c r="E45" i="246"/>
  <c r="E46" i="246"/>
  <c r="E43" i="246"/>
  <c r="E47" i="246"/>
  <c r="L50" i="246"/>
  <c r="L41" i="246"/>
  <c r="L42" i="246"/>
  <c r="L39" i="246"/>
  <c r="L44" i="246"/>
  <c r="L48" i="246"/>
  <c r="L46" i="246"/>
  <c r="L49" i="246"/>
  <c r="L38" i="246"/>
  <c r="L45" i="246"/>
  <c r="L47" i="246"/>
  <c r="L40" i="246"/>
  <c r="AB40" i="246" s="1"/>
  <c r="L51" i="246"/>
  <c r="L43" i="246"/>
  <c r="L52" i="246"/>
  <c r="K51" i="246"/>
  <c r="K47" i="246"/>
  <c r="K40" i="246"/>
  <c r="K46" i="246"/>
  <c r="K39" i="246"/>
  <c r="K48" i="246"/>
  <c r="K41" i="246"/>
  <c r="K44" i="246"/>
  <c r="K45" i="246"/>
  <c r="K42" i="246"/>
  <c r="K38" i="246"/>
  <c r="K50" i="246"/>
  <c r="K49" i="246"/>
  <c r="K43" i="246"/>
  <c r="K52" i="246"/>
  <c r="D50" i="246"/>
  <c r="D46" i="246"/>
  <c r="D44" i="246"/>
  <c r="D39" i="246"/>
  <c r="D40" i="246"/>
  <c r="D41" i="246"/>
  <c r="D45" i="246"/>
  <c r="D48" i="246"/>
  <c r="D51" i="246"/>
  <c r="D38" i="246"/>
  <c r="D49" i="246"/>
  <c r="D42" i="246"/>
  <c r="D43" i="246"/>
  <c r="C52" i="246"/>
  <c r="F39" i="246"/>
  <c r="F49" i="246"/>
  <c r="F41" i="246"/>
  <c r="F42" i="246"/>
  <c r="F45" i="246"/>
  <c r="F46" i="246"/>
  <c r="F48" i="246"/>
  <c r="F44" i="246"/>
  <c r="F40" i="246"/>
  <c r="F51" i="246"/>
  <c r="F38" i="246"/>
  <c r="F50" i="246"/>
  <c r="F43" i="246"/>
  <c r="H50" i="246"/>
  <c r="H46" i="246"/>
  <c r="H44" i="246"/>
  <c r="H41" i="246"/>
  <c r="H38" i="246"/>
  <c r="H40" i="246"/>
  <c r="H48" i="246"/>
  <c r="H51" i="246"/>
  <c r="H39" i="246"/>
  <c r="H49" i="246"/>
  <c r="H45" i="246"/>
  <c r="H42" i="246"/>
  <c r="H47" i="246"/>
  <c r="H43" i="246"/>
  <c r="H52" i="246"/>
  <c r="D47" i="246"/>
  <c r="F52" i="246"/>
  <c r="I42" i="246"/>
  <c r="I46" i="246"/>
  <c r="I41" i="246"/>
  <c r="I50" i="246"/>
  <c r="I48" i="246"/>
  <c r="I40" i="246"/>
  <c r="I44" i="246"/>
  <c r="I39" i="246"/>
  <c r="I49" i="246"/>
  <c r="I45" i="246"/>
  <c r="I47" i="246"/>
  <c r="I38" i="246"/>
  <c r="I51" i="246"/>
  <c r="I43" i="246"/>
  <c r="I52" i="246"/>
  <c r="G52" i="246"/>
  <c r="Y18" i="43"/>
  <c r="Y153" i="43" s="1"/>
  <c r="AE242" i="43" l="1"/>
  <c r="AF242" i="43" s="1"/>
  <c r="AG242" i="43" s="1"/>
  <c r="AH242" i="43" s="1"/>
  <c r="AI242" i="43" s="1"/>
  <c r="AJ242" i="43" s="1"/>
  <c r="AK242" i="43" s="1"/>
  <c r="AL242" i="43" s="1"/>
  <c r="AM242" i="43" s="1"/>
  <c r="AN242" i="43" s="1"/>
  <c r="X21" i="43"/>
  <c r="X26" i="43" s="1"/>
  <c r="X153" i="43"/>
  <c r="T28" i="43"/>
  <c r="W28" i="43"/>
  <c r="Z27" i="43"/>
  <c r="T21" i="43"/>
  <c r="T26" i="43" s="1"/>
  <c r="N21" i="43"/>
  <c r="N26" i="43" s="1"/>
  <c r="N28" i="43"/>
  <c r="O21" i="43"/>
  <c r="O26" i="43" s="1"/>
  <c r="O28" i="43"/>
  <c r="Y28" i="43"/>
  <c r="X28" i="43"/>
  <c r="V28" i="43"/>
  <c r="V21" i="43"/>
  <c r="V26" i="43" s="1"/>
  <c r="Q21" i="43"/>
  <c r="Q26" i="43" s="1"/>
  <c r="Q28" i="43"/>
  <c r="S28" i="43"/>
  <c r="P21" i="43"/>
  <c r="P26" i="43" s="1"/>
  <c r="P28" i="43"/>
  <c r="U28" i="43"/>
  <c r="R21" i="43"/>
  <c r="R26" i="43" s="1"/>
  <c r="R28" i="43"/>
  <c r="S21" i="43"/>
  <c r="S26" i="43" s="1"/>
  <c r="G57" i="246" a="1"/>
  <c r="G57" i="246" s="1"/>
  <c r="W21" i="43"/>
  <c r="W26" i="43" s="1"/>
  <c r="U21" i="43"/>
  <c r="U26" i="43" s="1"/>
  <c r="L32" i="246"/>
  <c r="M34" i="246"/>
  <c r="M33" i="246"/>
  <c r="M32" i="246"/>
  <c r="L35" i="246"/>
  <c r="M35" i="246"/>
  <c r="L33" i="246"/>
  <c r="L34" i="246"/>
  <c r="C57" i="246" a="1"/>
  <c r="C57" i="246" s="1"/>
  <c r="AB39" i="246"/>
  <c r="AB47" i="246"/>
  <c r="AB49" i="246"/>
  <c r="AB45" i="246"/>
  <c r="AB41" i="246"/>
  <c r="AB51" i="246"/>
  <c r="AB44" i="246"/>
  <c r="AB50" i="246"/>
  <c r="AB46" i="246"/>
  <c r="AB48" i="246"/>
  <c r="AH19" i="43"/>
  <c r="AH172" i="43" s="1"/>
  <c r="AB42" i="246"/>
  <c r="AB38" i="246"/>
  <c r="AE228" i="43"/>
  <c r="H57" i="246" a="1"/>
  <c r="H57" i="246" s="1"/>
  <c r="I57" i="246" a="1"/>
  <c r="I57" i="246" s="1"/>
  <c r="D57" i="246" a="1"/>
  <c r="D57" i="246" s="1"/>
  <c r="L57" i="246" a="1"/>
  <c r="L57" i="246" s="1"/>
  <c r="F57" i="246" a="1"/>
  <c r="F57" i="246" s="1"/>
  <c r="K57" i="246" a="1"/>
  <c r="K57" i="246" s="1"/>
  <c r="E57" i="246" a="1"/>
  <c r="E57" i="246" s="1"/>
  <c r="J57" i="246" a="1"/>
  <c r="J57" i="246" s="1"/>
  <c r="Z18" i="43"/>
  <c r="Z153" i="43" s="1"/>
  <c r="Y21" i="43"/>
  <c r="Z28" i="43" l="1"/>
  <c r="AI19" i="43"/>
  <c r="AI172" i="43" s="1"/>
  <c r="AF228" i="43"/>
  <c r="Z21" i="43"/>
  <c r="Y26" i="43"/>
  <c r="AJ19" i="43" l="1"/>
  <c r="AJ172" i="43" s="1"/>
  <c r="AG228" i="43"/>
  <c r="AA11" i="43"/>
  <c r="Z26" i="43"/>
  <c r="AM19" i="43" l="1"/>
  <c r="AM172" i="43" s="1"/>
  <c r="AA163" i="43"/>
  <c r="AK19" i="43"/>
  <c r="AK172" i="43" s="1"/>
  <c r="AH228" i="43"/>
  <c r="AA35" i="43"/>
  <c r="AA10" i="43"/>
  <c r="AN19" i="43" l="1"/>
  <c r="AN172" i="43" s="1"/>
  <c r="AA162" i="43"/>
  <c r="AL19" i="43"/>
  <c r="AL172" i="43" s="1"/>
  <c r="AI228" i="43"/>
  <c r="AJ228" i="43" l="1"/>
  <c r="AK228" i="43" l="1"/>
  <c r="AL228" i="43" l="1"/>
  <c r="AM228" i="43" s="1"/>
  <c r="AN228" i="43" s="1"/>
  <c r="AN298" i="43"/>
  <c r="L260" i="43" l="1"/>
  <c r="L246" i="43"/>
  <c r="L251" i="43" s="1"/>
  <c r="L256" i="43" s="1"/>
  <c r="L232" i="43"/>
  <c r="M161" i="43"/>
  <c r="M165" i="43" s="1"/>
  <c r="O161" i="43"/>
  <c r="O165" i="43" s="1"/>
  <c r="Q161" i="43"/>
  <c r="Q318" i="43" s="1"/>
  <c r="S161" i="43"/>
  <c r="S318" i="43" s="1"/>
  <c r="U161" i="43"/>
  <c r="U318" i="43" s="1"/>
  <c r="W161" i="43"/>
  <c r="W318" i="43" s="1"/>
  <c r="Y161" i="43"/>
  <c r="Y318" i="43" s="1"/>
  <c r="L161" i="43"/>
  <c r="L165" i="43" s="1"/>
  <c r="N161" i="43"/>
  <c r="N165" i="43" s="1"/>
  <c r="P161" i="43"/>
  <c r="P318" i="43" s="1"/>
  <c r="R161" i="43"/>
  <c r="R318" i="43" s="1"/>
  <c r="T161" i="43"/>
  <c r="T318" i="43" s="1"/>
  <c r="V161" i="43"/>
  <c r="V318" i="43" s="1"/>
  <c r="X161" i="43"/>
  <c r="X318" i="43" s="1"/>
  <c r="Z161" i="43"/>
  <c r="Z318" i="43" s="1"/>
  <c r="U332" i="43" l="1"/>
  <c r="U333" i="43"/>
  <c r="U330" i="43"/>
  <c r="U331" i="43"/>
  <c r="U329" i="43"/>
  <c r="R332" i="43"/>
  <c r="R330" i="43"/>
  <c r="R333" i="43"/>
  <c r="R331" i="43"/>
  <c r="R329" i="43"/>
  <c r="S332" i="43"/>
  <c r="S330" i="43"/>
  <c r="S333" i="43"/>
  <c r="S331" i="43"/>
  <c r="S329" i="43"/>
  <c r="Z330" i="43"/>
  <c r="Z333" i="43"/>
  <c r="Z332" i="43"/>
  <c r="Z331" i="43"/>
  <c r="Z329" i="43"/>
  <c r="Y332" i="43"/>
  <c r="Y330" i="43"/>
  <c r="Y333" i="43"/>
  <c r="Y331" i="43"/>
  <c r="Y329" i="43"/>
  <c r="Q332" i="43"/>
  <c r="Q333" i="43"/>
  <c r="Q330" i="43"/>
  <c r="Q329" i="43"/>
  <c r="Q331" i="43"/>
  <c r="T332" i="43"/>
  <c r="T330" i="43"/>
  <c r="T333" i="43"/>
  <c r="T331" i="43"/>
  <c r="T329" i="43"/>
  <c r="X332" i="43"/>
  <c r="X333" i="43"/>
  <c r="X330" i="43"/>
  <c r="X331" i="43"/>
  <c r="X329" i="43"/>
  <c r="V332" i="43"/>
  <c r="V333" i="43"/>
  <c r="V330" i="43"/>
  <c r="V331" i="43"/>
  <c r="V329" i="43"/>
  <c r="W332" i="43"/>
  <c r="W333" i="43"/>
  <c r="W330" i="43"/>
  <c r="W329" i="43"/>
  <c r="W331" i="43"/>
  <c r="N171" i="43"/>
  <c r="N293" i="43"/>
  <c r="T165" i="43"/>
  <c r="T359" i="43"/>
  <c r="L171" i="43"/>
  <c r="L293" i="43"/>
  <c r="U165" i="43"/>
  <c r="U359" i="43"/>
  <c r="M171" i="43"/>
  <c r="M293" i="43"/>
  <c r="W165" i="43"/>
  <c r="W359" i="43"/>
  <c r="Z165" i="43"/>
  <c r="Z359" i="43"/>
  <c r="R165" i="43"/>
  <c r="R359" i="43"/>
  <c r="S165" i="43"/>
  <c r="S359" i="43"/>
  <c r="L240" i="43"/>
  <c r="V165" i="43"/>
  <c r="V359" i="43"/>
  <c r="X165" i="43"/>
  <c r="X418" i="43" s="1"/>
  <c r="X359" i="43"/>
  <c r="P165" i="43"/>
  <c r="P359" i="43"/>
  <c r="Y165" i="43"/>
  <c r="Y418" i="43" s="1"/>
  <c r="Y359" i="43"/>
  <c r="Q165" i="43"/>
  <c r="Q359" i="43"/>
  <c r="O171" i="43"/>
  <c r="O293" i="43"/>
  <c r="M174" i="43" l="1"/>
  <c r="M178" i="43" s="1"/>
  <c r="M23" i="43"/>
  <c r="M25" i="43"/>
  <c r="O174" i="43"/>
  <c r="O178" i="43" s="1"/>
  <c r="O23" i="43"/>
  <c r="O25" i="43"/>
  <c r="N174" i="43"/>
  <c r="N178" i="43" s="1"/>
  <c r="N23" i="43"/>
  <c r="N25" i="43"/>
  <c r="L174" i="43"/>
  <c r="L179" i="43" s="1"/>
  <c r="L25" i="43"/>
  <c r="L23" i="43"/>
  <c r="L257" i="43"/>
  <c r="O295" i="43"/>
  <c r="O294" i="43"/>
  <c r="M294" i="43"/>
  <c r="M295" i="43"/>
  <c r="L295" i="43"/>
  <c r="L294" i="43"/>
  <c r="Y171" i="43"/>
  <c r="Y293" i="43"/>
  <c r="X171" i="43"/>
  <c r="X293" i="43"/>
  <c r="Z171" i="43"/>
  <c r="Z293" i="43"/>
  <c r="N294" i="43"/>
  <c r="N295" i="43"/>
  <c r="Q171" i="43"/>
  <c r="Q293" i="43"/>
  <c r="P171" i="43"/>
  <c r="P293" i="43"/>
  <c r="V171" i="43"/>
  <c r="V293" i="43"/>
  <c r="S171" i="43"/>
  <c r="S293" i="43"/>
  <c r="R171" i="43"/>
  <c r="R293" i="43"/>
  <c r="W171" i="43"/>
  <c r="W293" i="43"/>
  <c r="U171" i="43"/>
  <c r="U293" i="43"/>
  <c r="T171" i="43"/>
  <c r="T293" i="43"/>
  <c r="M179" i="43" l="1"/>
  <c r="M195" i="43" s="1"/>
  <c r="L178" i="43"/>
  <c r="R408" i="43"/>
  <c r="R407" i="43"/>
  <c r="L183" i="43"/>
  <c r="L195" i="43"/>
  <c r="L176" i="43"/>
  <c r="O176" i="43"/>
  <c r="N179" i="43"/>
  <c r="N176" i="43"/>
  <c r="M176" i="43"/>
  <c r="R174" i="43"/>
  <c r="R178" i="43" s="1"/>
  <c r="R25" i="43"/>
  <c r="R23" i="43"/>
  <c r="O179" i="43"/>
  <c r="X174" i="43"/>
  <c r="X176" i="43" s="1"/>
  <c r="X25" i="43"/>
  <c r="X23" i="43"/>
  <c r="U174" i="43"/>
  <c r="U176" i="43" s="1"/>
  <c r="U23" i="43"/>
  <c r="U25" i="43"/>
  <c r="V174" i="43"/>
  <c r="V178" i="43" s="1"/>
  <c r="V23" i="43"/>
  <c r="V25" i="43"/>
  <c r="W174" i="43"/>
  <c r="W179" i="43" s="1"/>
  <c r="W23" i="43"/>
  <c r="W25" i="43"/>
  <c r="S174" i="43"/>
  <c r="S179" i="43" s="1"/>
  <c r="S23" i="43"/>
  <c r="S25" i="43"/>
  <c r="P174" i="43"/>
  <c r="P179" i="43" s="1"/>
  <c r="P25" i="43"/>
  <c r="P23" i="43"/>
  <c r="Z23" i="43"/>
  <c r="Z25" i="43"/>
  <c r="Q174" i="43"/>
  <c r="Q176" i="43" s="1"/>
  <c r="Q23" i="43"/>
  <c r="Q25" i="43"/>
  <c r="T174" i="43"/>
  <c r="T179" i="43" s="1"/>
  <c r="T25" i="43"/>
  <c r="T23" i="43"/>
  <c r="Y174" i="43"/>
  <c r="Y178" i="43" s="1"/>
  <c r="Y23" i="43"/>
  <c r="Y25" i="43"/>
  <c r="Z174" i="43"/>
  <c r="T294" i="43"/>
  <c r="T295" i="43"/>
  <c r="W294" i="43"/>
  <c r="W295" i="43"/>
  <c r="S294" i="43"/>
  <c r="S295" i="43"/>
  <c r="P294" i="43"/>
  <c r="P295" i="43"/>
  <c r="Y294" i="43"/>
  <c r="Y295" i="43"/>
  <c r="U294" i="43"/>
  <c r="U295" i="43"/>
  <c r="R294" i="43"/>
  <c r="R295" i="43"/>
  <c r="V294" i="43"/>
  <c r="V295" i="43"/>
  <c r="Q294" i="43"/>
  <c r="Q295" i="43"/>
  <c r="Z294" i="43"/>
  <c r="Z295" i="43"/>
  <c r="X294" i="43"/>
  <c r="X295" i="43"/>
  <c r="Z220" i="43"/>
  <c r="M183" i="43" l="1"/>
  <c r="M201" i="43"/>
  <c r="M203" i="43" s="1"/>
  <c r="S183" i="43"/>
  <c r="S195" i="43"/>
  <c r="T183" i="43"/>
  <c r="T195" i="43"/>
  <c r="P183" i="43"/>
  <c r="P195" i="43"/>
  <c r="O183" i="43"/>
  <c r="O195" i="43"/>
  <c r="L201" i="43"/>
  <c r="L203" i="43" s="1"/>
  <c r="W183" i="43"/>
  <c r="W195" i="43"/>
  <c r="N183" i="43"/>
  <c r="N195" i="43"/>
  <c r="W178" i="43"/>
  <c r="R179" i="43"/>
  <c r="X178" i="43"/>
  <c r="S178" i="43"/>
  <c r="W176" i="43"/>
  <c r="Q179" i="43"/>
  <c r="Y176" i="43"/>
  <c r="V179" i="43"/>
  <c r="Q178" i="43"/>
  <c r="X179" i="43"/>
  <c r="U179" i="43"/>
  <c r="R176" i="43"/>
  <c r="S176" i="43"/>
  <c r="T176" i="43"/>
  <c r="Y179" i="43"/>
  <c r="V176" i="43"/>
  <c r="P178" i="43"/>
  <c r="T178" i="43"/>
  <c r="U178" i="43"/>
  <c r="P176" i="43"/>
  <c r="Z176" i="43"/>
  <c r="Z178" i="43"/>
  <c r="Z179" i="43"/>
  <c r="Z195" i="43" s="1"/>
  <c r="Y407" i="43" l="1"/>
  <c r="Y408" i="43"/>
  <c r="N201" i="43"/>
  <c r="N203" i="43" s="1"/>
  <c r="P201" i="43"/>
  <c r="P203" i="43" s="1"/>
  <c r="S201" i="43"/>
  <c r="S203" i="43" s="1"/>
  <c r="X183" i="43"/>
  <c r="X195" i="43"/>
  <c r="Q183" i="43"/>
  <c r="Q195" i="43"/>
  <c r="O201" i="43"/>
  <c r="O203" i="43" s="1"/>
  <c r="T201" i="43"/>
  <c r="T203" i="43" s="1"/>
  <c r="U183" i="43"/>
  <c r="U195" i="43"/>
  <c r="R183" i="43"/>
  <c r="R195" i="43"/>
  <c r="W201" i="43"/>
  <c r="W203" i="43" s="1"/>
  <c r="Y183" i="43"/>
  <c r="Y195" i="43"/>
  <c r="V183" i="43"/>
  <c r="V195" i="43"/>
  <c r="Z183" i="43"/>
  <c r="H3" i="43"/>
  <c r="L417" i="43"/>
  <c r="M417" i="43"/>
  <c r="L204" i="43"/>
  <c r="M204" i="43"/>
  <c r="L189" i="43"/>
  <c r="M189" i="43"/>
  <c r="N189" i="43"/>
  <c r="O189" i="43"/>
  <c r="P189" i="43"/>
  <c r="Q189" i="43"/>
  <c r="R189" i="43"/>
  <c r="S189" i="43"/>
  <c r="T189" i="43"/>
  <c r="U189" i="43"/>
  <c r="V189" i="43"/>
  <c r="W189" i="43"/>
  <c r="X189" i="43"/>
  <c r="Y189" i="43"/>
  <c r="Z189" i="43"/>
  <c r="L211" i="43"/>
  <c r="V211" i="43"/>
  <c r="W211" i="43"/>
  <c r="X211" i="43"/>
  <c r="Z211" i="43"/>
  <c r="M211" i="43"/>
  <c r="P211" i="43"/>
  <c r="T211" i="43"/>
  <c r="U211" i="43"/>
  <c r="N220" i="43"/>
  <c r="O220" i="43"/>
  <c r="P220" i="43"/>
  <c r="U220" i="43"/>
  <c r="L220" i="43"/>
  <c r="M220" i="43"/>
  <c r="Q220" i="43"/>
  <c r="R220" i="43"/>
  <c r="S220" i="43"/>
  <c r="T220" i="43"/>
  <c r="V220" i="43"/>
  <c r="X220" i="43"/>
  <c r="Y220" i="43"/>
  <c r="M232" i="43"/>
  <c r="N232" i="43"/>
  <c r="Q232" i="43"/>
  <c r="U232" i="43"/>
  <c r="V232" i="43"/>
  <c r="W232" i="43"/>
  <c r="X232" i="43"/>
  <c r="Z232" i="43"/>
  <c r="S232" i="43"/>
  <c r="T232" i="43"/>
  <c r="M246" i="43"/>
  <c r="M251" i="43" s="1"/>
  <c r="N246" i="43"/>
  <c r="O246" i="43"/>
  <c r="O251" i="43" s="1"/>
  <c r="P246" i="43"/>
  <c r="P251" i="43" s="1"/>
  <c r="Q246" i="43"/>
  <c r="Q251" i="43" s="1"/>
  <c r="R246" i="43"/>
  <c r="S246" i="43"/>
  <c r="T246" i="43"/>
  <c r="U246" i="43"/>
  <c r="V246" i="43"/>
  <c r="W246" i="43"/>
  <c r="X246" i="43"/>
  <c r="Y246" i="43"/>
  <c r="Z246" i="43"/>
  <c r="Z201" i="43" l="1"/>
  <c r="Z203" i="43" s="1"/>
  <c r="AB309" i="43"/>
  <c r="N204" i="43"/>
  <c r="P204" i="43"/>
  <c r="O204" i="43"/>
  <c r="T204" i="43"/>
  <c r="U201" i="43"/>
  <c r="U203" i="43" s="1"/>
  <c r="X201" i="43"/>
  <c r="X203" i="43" s="1"/>
  <c r="V201" i="43"/>
  <c r="V203" i="43" s="1"/>
  <c r="S204" i="43"/>
  <c r="W204" i="43"/>
  <c r="R201" i="43"/>
  <c r="R203" i="43" s="1"/>
  <c r="Q201" i="43"/>
  <c r="Q203" i="43" s="1"/>
  <c r="Y201" i="43"/>
  <c r="Y203" i="43" s="1"/>
  <c r="I3" i="43"/>
  <c r="J3" i="43" s="1"/>
  <c r="K3" i="43" s="1"/>
  <c r="L3" i="43" s="1"/>
  <c r="Z240" i="43"/>
  <c r="X240" i="43"/>
  <c r="Q240" i="43"/>
  <c r="T240" i="43"/>
  <c r="M240" i="43"/>
  <c r="S240" i="43"/>
  <c r="N240" i="43"/>
  <c r="L190" i="43"/>
  <c r="M223" i="43"/>
  <c r="U399" i="43"/>
  <c r="M260" i="43"/>
  <c r="S190" i="43"/>
  <c r="O399" i="43"/>
  <c r="W240" i="43"/>
  <c r="L418" i="43"/>
  <c r="S399" i="43"/>
  <c r="W399" i="43"/>
  <c r="Y399" i="43"/>
  <c r="M399" i="43"/>
  <c r="L411" i="43"/>
  <c r="L223" i="43"/>
  <c r="T190" i="43"/>
  <c r="V399" i="43"/>
  <c r="R399" i="43"/>
  <c r="O232" i="43"/>
  <c r="W251" i="43"/>
  <c r="W256" i="43" s="1"/>
  <c r="P232" i="43"/>
  <c r="Q399" i="43"/>
  <c r="X251" i="43"/>
  <c r="X256" i="43" s="1"/>
  <c r="T251" i="43"/>
  <c r="T256" i="43" s="1"/>
  <c r="Y232" i="43"/>
  <c r="O211" i="43"/>
  <c r="S211" i="43"/>
  <c r="N211" i="43"/>
  <c r="P261" i="43"/>
  <c r="P263" i="43" s="1"/>
  <c r="R211" i="43"/>
  <c r="W190" i="43"/>
  <c r="W220" i="43"/>
  <c r="W223" i="43" s="1"/>
  <c r="P223" i="43"/>
  <c r="Q211" i="43"/>
  <c r="Q190" i="43"/>
  <c r="O417" i="43"/>
  <c r="N419" i="43"/>
  <c r="N251" i="43"/>
  <c r="N256" i="43" s="1"/>
  <c r="L399" i="43"/>
  <c r="P256" i="43"/>
  <c r="M256" i="43"/>
  <c r="U251" i="43"/>
  <c r="U256" i="43" s="1"/>
  <c r="Y190" i="43"/>
  <c r="X399" i="43"/>
  <c r="T399" i="43"/>
  <c r="P399" i="43"/>
  <c r="T223" i="43"/>
  <c r="N417" i="43"/>
  <c r="V251" i="43"/>
  <c r="V256" i="43" s="1"/>
  <c r="S251" i="43"/>
  <c r="S256" i="43" s="1"/>
  <c r="V240" i="43"/>
  <c r="Z190" i="43"/>
  <c r="R190" i="43"/>
  <c r="N190" i="43"/>
  <c r="T260" i="43"/>
  <c r="Y251" i="43"/>
  <c r="Y256" i="43" s="1"/>
  <c r="Y211" i="43"/>
  <c r="V190" i="43"/>
  <c r="O261" i="43"/>
  <c r="O263" i="43" s="1"/>
  <c r="Z251" i="43"/>
  <c r="Z256" i="43" s="1"/>
  <c r="R251" i="43"/>
  <c r="R256" i="43" s="1"/>
  <c r="O260" i="43"/>
  <c r="Z399" i="43"/>
  <c r="N399" i="43"/>
  <c r="T261" i="43"/>
  <c r="R232" i="43"/>
  <c r="S261" i="43"/>
  <c r="Q256" i="43"/>
  <c r="O256" i="43"/>
  <c r="U190" i="43"/>
  <c r="O190" i="43"/>
  <c r="P190" i="43"/>
  <c r="U240" i="43"/>
  <c r="X190" i="43"/>
  <c r="M190" i="43"/>
  <c r="V309" i="43" l="1"/>
  <c r="V311" i="43" s="1"/>
  <c r="T309" i="43"/>
  <c r="Z223" i="43"/>
  <c r="Z204" i="43"/>
  <c r="Y309" i="43"/>
  <c r="Y311" i="43" s="1"/>
  <c r="Z309" i="43"/>
  <c r="Z311" i="43" s="1"/>
  <c r="X309" i="43"/>
  <c r="X311" i="43" s="1"/>
  <c r="U309" i="43"/>
  <c r="U311" i="43" s="1"/>
  <c r="W309" i="43"/>
  <c r="W311" i="43" s="1"/>
  <c r="M3" i="43"/>
  <c r="X223" i="43"/>
  <c r="U223" i="43"/>
  <c r="V223" i="43"/>
  <c r="N223" i="43"/>
  <c r="S223" i="43"/>
  <c r="O223" i="43"/>
  <c r="Q223" i="43"/>
  <c r="R223" i="43"/>
  <c r="Y223" i="43"/>
  <c r="V204" i="43"/>
  <c r="X204" i="43"/>
  <c r="U204" i="43"/>
  <c r="Q204" i="43"/>
  <c r="R204" i="43"/>
  <c r="Y204" i="43"/>
  <c r="T263" i="43"/>
  <c r="T324" i="43" s="1"/>
  <c r="S263" i="43"/>
  <c r="S324" i="43" s="1"/>
  <c r="Q412" i="43"/>
  <c r="S412" i="43"/>
  <c r="T412" i="43"/>
  <c r="X412" i="43"/>
  <c r="N411" i="43"/>
  <c r="M412" i="43"/>
  <c r="Z412" i="43"/>
  <c r="Q257" i="43"/>
  <c r="N257" i="43"/>
  <c r="M411" i="43"/>
  <c r="Z257" i="43"/>
  <c r="N412" i="43"/>
  <c r="S257" i="43"/>
  <c r="V400" i="43"/>
  <c r="V401" i="43"/>
  <c r="Z401" i="43"/>
  <c r="Z400" i="43"/>
  <c r="X401" i="43"/>
  <c r="X400" i="43"/>
  <c r="L401" i="43"/>
  <c r="L400" i="43"/>
  <c r="Q401" i="43"/>
  <c r="Q400" i="43"/>
  <c r="O400" i="43"/>
  <c r="O401" i="43"/>
  <c r="T401" i="43"/>
  <c r="T400" i="43"/>
  <c r="Y401" i="43"/>
  <c r="Y400" i="43"/>
  <c r="N400" i="43"/>
  <c r="N401" i="43"/>
  <c r="W400" i="43"/>
  <c r="W401" i="43"/>
  <c r="S400" i="43"/>
  <c r="S401" i="43"/>
  <c r="P401" i="43"/>
  <c r="P400" i="43"/>
  <c r="R400" i="43"/>
  <c r="R401" i="43"/>
  <c r="M401" i="43"/>
  <c r="M400" i="43"/>
  <c r="U401" i="43"/>
  <c r="U400" i="43"/>
  <c r="M257" i="43"/>
  <c r="T257" i="43"/>
  <c r="X257" i="43"/>
  <c r="R240" i="43"/>
  <c r="Y240" i="43"/>
  <c r="P240" i="43"/>
  <c r="O240" i="43"/>
  <c r="X261" i="43"/>
  <c r="W261" i="43"/>
  <c r="M261" i="43"/>
  <c r="M263" i="43" s="1"/>
  <c r="L412" i="43"/>
  <c r="O419" i="43"/>
  <c r="X260" i="43"/>
  <c r="U260" i="43"/>
  <c r="Z261" i="43"/>
  <c r="U417" i="43"/>
  <c r="W257" i="43"/>
  <c r="W412" i="43"/>
  <c r="V261" i="43"/>
  <c r="Y261" i="43"/>
  <c r="U261" i="43"/>
  <c r="R417" i="43"/>
  <c r="Y260" i="43"/>
  <c r="Q261" i="43"/>
  <c r="P260" i="43"/>
  <c r="V412" i="43"/>
  <c r="V257" i="43"/>
  <c r="V260" i="43"/>
  <c r="Z260" i="43"/>
  <c r="N418" i="43"/>
  <c r="Z411" i="43"/>
  <c r="V411" i="43"/>
  <c r="V417" i="43"/>
  <c r="T417" i="43"/>
  <c r="T411" i="43"/>
  <c r="X411" i="43"/>
  <c r="N260" i="43"/>
  <c r="N261" i="43"/>
  <c r="N263" i="43" s="1"/>
  <c r="U412" i="43"/>
  <c r="U411" i="43"/>
  <c r="P417" i="43"/>
  <c r="M418" i="43"/>
  <c r="R260" i="43"/>
  <c r="R261" i="43"/>
  <c r="U257" i="43"/>
  <c r="C78" i="246" l="1"/>
  <c r="N3" i="43"/>
  <c r="N81" i="43"/>
  <c r="R263" i="43"/>
  <c r="R324" i="43" s="1"/>
  <c r="Q263" i="43"/>
  <c r="Q324" i="43" s="1"/>
  <c r="V263" i="43"/>
  <c r="V324" i="43" s="1"/>
  <c r="Z263" i="43"/>
  <c r="Z324" i="43" s="1"/>
  <c r="Y263" i="43"/>
  <c r="Y324" i="43" s="1"/>
  <c r="X263" i="43"/>
  <c r="X324" i="43" s="1"/>
  <c r="U263" i="43"/>
  <c r="U324" i="43" s="1"/>
  <c r="W263" i="43"/>
  <c r="W324" i="43" s="1"/>
  <c r="Y412" i="43"/>
  <c r="R257" i="43"/>
  <c r="P412" i="43"/>
  <c r="P411" i="43"/>
  <c r="O412" i="43"/>
  <c r="Y257" i="43"/>
  <c r="R412" i="43"/>
  <c r="R411" i="43"/>
  <c r="P257" i="43"/>
  <c r="O411" i="43"/>
  <c r="Y411" i="43"/>
  <c r="O257" i="43"/>
  <c r="O418" i="43"/>
  <c r="L419" i="43"/>
  <c r="U418" i="43"/>
  <c r="R419" i="43"/>
  <c r="W260" i="43"/>
  <c r="W411" i="43"/>
  <c r="S260" i="43"/>
  <c r="S411" i="43"/>
  <c r="S417" i="43"/>
  <c r="Z417" i="43"/>
  <c r="Q411" i="43"/>
  <c r="Q260" i="43"/>
  <c r="Y417" i="43"/>
  <c r="X417" i="43"/>
  <c r="V418" i="43"/>
  <c r="P418" i="43"/>
  <c r="Z418" i="43"/>
  <c r="N420" i="43"/>
  <c r="N410" i="43" s="1"/>
  <c r="N413" i="43" s="1"/>
  <c r="M419" i="43"/>
  <c r="AB337" i="43" l="1"/>
  <c r="AB340" i="43" s="1"/>
  <c r="O3" i="43"/>
  <c r="D78" i="246"/>
  <c r="AA337" i="43"/>
  <c r="AA340" i="43" s="1"/>
  <c r="N407" i="43"/>
  <c r="N408" i="43"/>
  <c r="R418" i="43"/>
  <c r="W417" i="43"/>
  <c r="Q417" i="43"/>
  <c r="S418" i="43"/>
  <c r="T418" i="43"/>
  <c r="V419" i="43"/>
  <c r="P419" i="43"/>
  <c r="N187" i="43"/>
  <c r="O420" i="43"/>
  <c r="O410" i="43" s="1"/>
  <c r="O413" i="43" s="1"/>
  <c r="Z419" i="43"/>
  <c r="O407" i="43"/>
  <c r="O408" i="43"/>
  <c r="E78" i="246" l="1"/>
  <c r="P3" i="43"/>
  <c r="N280" i="43"/>
  <c r="L408" i="43"/>
  <c r="L407" i="43"/>
  <c r="U419" i="43"/>
  <c r="L420" i="43"/>
  <c r="L410" i="43" s="1"/>
  <c r="L413" i="43" s="1"/>
  <c r="W418" i="43"/>
  <c r="Y419" i="43"/>
  <c r="S419" i="43"/>
  <c r="Q418" i="43"/>
  <c r="X419" i="43"/>
  <c r="T419" i="43"/>
  <c r="N191" i="43"/>
  <c r="N402" i="43"/>
  <c r="O187" i="43"/>
  <c r="M407" i="43"/>
  <c r="M408" i="43"/>
  <c r="R420" i="43"/>
  <c r="R410" i="43" s="1"/>
  <c r="R413" i="43" s="1"/>
  <c r="M420" i="43"/>
  <c r="M410" i="43" s="1"/>
  <c r="M413" i="43" s="1"/>
  <c r="Q3" i="43" l="1"/>
  <c r="F78" i="246"/>
  <c r="N282" i="43"/>
  <c r="O280" i="43"/>
  <c r="C4" i="246"/>
  <c r="C37" i="246" s="1"/>
  <c r="L187" i="43"/>
  <c r="W419" i="43"/>
  <c r="Q419" i="43"/>
  <c r="V420" i="43"/>
  <c r="V410" i="43" s="1"/>
  <c r="V413" i="43" s="1"/>
  <c r="V408" i="43"/>
  <c r="V407" i="43"/>
  <c r="P408" i="43"/>
  <c r="P407" i="43"/>
  <c r="N403" i="43"/>
  <c r="N404" i="43"/>
  <c r="P420" i="43"/>
  <c r="P410" i="43" s="1"/>
  <c r="P413" i="43" s="1"/>
  <c r="O188" i="43"/>
  <c r="O402" i="43"/>
  <c r="O191" i="43"/>
  <c r="R187" i="43"/>
  <c r="M187" i="43"/>
  <c r="Z420" i="43"/>
  <c r="Z410" i="43" s="1"/>
  <c r="Z413" i="43" s="1"/>
  <c r="Z408" i="43"/>
  <c r="Z407" i="43"/>
  <c r="R3" i="43" l="1"/>
  <c r="G78" i="246"/>
  <c r="O282" i="43"/>
  <c r="M280" i="43"/>
  <c r="M282" i="43" s="1"/>
  <c r="L280" i="43"/>
  <c r="L282" i="43" s="1"/>
  <c r="R280" i="43"/>
  <c r="C56" i="246"/>
  <c r="D4" i="246"/>
  <c r="D56" i="246" s="1"/>
  <c r="O80" i="43"/>
  <c r="U407" i="43"/>
  <c r="U408" i="43"/>
  <c r="L188" i="43"/>
  <c r="L402" i="43"/>
  <c r="L191" i="43"/>
  <c r="U420" i="43"/>
  <c r="U410" i="43" s="1"/>
  <c r="U413" i="43" s="1"/>
  <c r="S420" i="43"/>
  <c r="S410" i="43" s="1"/>
  <c r="S413" i="43" s="1"/>
  <c r="Y420" i="43"/>
  <c r="Y410" i="43" s="1"/>
  <c r="Y413" i="43" s="1"/>
  <c r="S408" i="43"/>
  <c r="S407" i="43"/>
  <c r="X420" i="43"/>
  <c r="X410" i="43" s="1"/>
  <c r="X413" i="43" s="1"/>
  <c r="V187" i="43"/>
  <c r="T420" i="43"/>
  <c r="T410" i="43" s="1"/>
  <c r="T413" i="43" s="1"/>
  <c r="X407" i="43"/>
  <c r="X408" i="43"/>
  <c r="T407" i="43"/>
  <c r="T408" i="43"/>
  <c r="O404" i="43"/>
  <c r="O403" i="43"/>
  <c r="P187" i="43"/>
  <c r="M188" i="43"/>
  <c r="M191" i="43"/>
  <c r="M402" i="43"/>
  <c r="N188" i="43"/>
  <c r="R191" i="43"/>
  <c r="R402" i="43"/>
  <c r="Z187" i="43"/>
  <c r="S3" i="43" l="1"/>
  <c r="H78" i="246"/>
  <c r="R282" i="43"/>
  <c r="V280" i="43"/>
  <c r="V282" i="43" s="1"/>
  <c r="P280" i="43"/>
  <c r="P282" i="43" s="1"/>
  <c r="E80" i="246"/>
  <c r="O81" i="43"/>
  <c r="D37" i="246"/>
  <c r="Z280" i="43"/>
  <c r="Z282" i="43" s="1"/>
  <c r="R80" i="43"/>
  <c r="M80" i="43"/>
  <c r="M84" i="43"/>
  <c r="L404" i="43"/>
  <c r="L403" i="43"/>
  <c r="U187" i="43"/>
  <c r="W407" i="43"/>
  <c r="W408" i="43"/>
  <c r="W420" i="43"/>
  <c r="W410" i="43" s="1"/>
  <c r="W413" i="43" s="1"/>
  <c r="Q407" i="43"/>
  <c r="Q408" i="43"/>
  <c r="S187" i="43"/>
  <c r="Q420" i="43"/>
  <c r="Q410" i="43" s="1"/>
  <c r="Q413" i="43" s="1"/>
  <c r="Y187" i="43"/>
  <c r="T187" i="43"/>
  <c r="V191" i="43"/>
  <c r="V402" i="43"/>
  <c r="X187" i="43"/>
  <c r="M403" i="43"/>
  <c r="M404" i="43"/>
  <c r="Z402" i="43"/>
  <c r="Z191" i="43"/>
  <c r="P188" i="43"/>
  <c r="P191" i="43"/>
  <c r="P402" i="43"/>
  <c r="R404" i="43"/>
  <c r="R403" i="43"/>
  <c r="E4" i="246" l="1"/>
  <c r="E56" i="246" s="1"/>
  <c r="T3" i="43"/>
  <c r="F4" i="246" s="1"/>
  <c r="F56" i="246" s="1"/>
  <c r="I78" i="246"/>
  <c r="X280" i="43"/>
  <c r="X282" i="43" s="1"/>
  <c r="S280" i="43"/>
  <c r="S282" i="43" s="1"/>
  <c r="Y280" i="43"/>
  <c r="Y282" i="43" s="1"/>
  <c r="T280" i="43"/>
  <c r="T282" i="43" s="1"/>
  <c r="C81" i="246"/>
  <c r="C80" i="246"/>
  <c r="M81" i="43"/>
  <c r="H80" i="246"/>
  <c r="R81" i="43"/>
  <c r="V188" i="43"/>
  <c r="U280" i="43"/>
  <c r="Z80" i="43"/>
  <c r="Z84" i="43"/>
  <c r="V80" i="43"/>
  <c r="V84" i="43"/>
  <c r="P80" i="43"/>
  <c r="U191" i="43"/>
  <c r="U402" i="43"/>
  <c r="W187" i="43"/>
  <c r="Z188" i="43"/>
  <c r="S188" i="43"/>
  <c r="S402" i="43"/>
  <c r="S191" i="43"/>
  <c r="Q187" i="43"/>
  <c r="Y402" i="43"/>
  <c r="Y191" i="43"/>
  <c r="X402" i="43"/>
  <c r="X191" i="43"/>
  <c r="Y188" i="43"/>
  <c r="V403" i="43"/>
  <c r="V404" i="43"/>
  <c r="T402" i="43"/>
  <c r="T188" i="43"/>
  <c r="T191" i="43"/>
  <c r="U188" i="43"/>
  <c r="P403" i="43"/>
  <c r="P404" i="43"/>
  <c r="Z403" i="43"/>
  <c r="Z404" i="43"/>
  <c r="U3" i="43" l="1"/>
  <c r="E37" i="246"/>
  <c r="J78" i="246"/>
  <c r="P81" i="246"/>
  <c r="P80" i="246"/>
  <c r="F37" i="246"/>
  <c r="L81" i="246"/>
  <c r="G4" i="246"/>
  <c r="G56" i="246" s="1"/>
  <c r="K78" i="246"/>
  <c r="Z81" i="43"/>
  <c r="L80" i="246"/>
  <c r="V81" i="43"/>
  <c r="F80" i="246"/>
  <c r="P81" i="43"/>
  <c r="Q280" i="43"/>
  <c r="Q282" i="43" s="1"/>
  <c r="X188" i="43"/>
  <c r="W280" i="43"/>
  <c r="U282" i="43"/>
  <c r="X84" i="43"/>
  <c r="X80" i="43"/>
  <c r="U80" i="43"/>
  <c r="T80" i="43"/>
  <c r="S80" i="43"/>
  <c r="Y80" i="43"/>
  <c r="Y84" i="43"/>
  <c r="U403" i="43"/>
  <c r="U404" i="43"/>
  <c r="W402" i="43"/>
  <c r="W191" i="43"/>
  <c r="W188" i="43"/>
  <c r="Y403" i="43"/>
  <c r="Y404" i="43"/>
  <c r="S403" i="43"/>
  <c r="S404" i="43"/>
  <c r="Q191" i="43"/>
  <c r="R188" i="43"/>
  <c r="Q402" i="43"/>
  <c r="Q188" i="43"/>
  <c r="X403" i="43"/>
  <c r="X404" i="43"/>
  <c r="T404" i="43"/>
  <c r="T403" i="43"/>
  <c r="V3" i="43"/>
  <c r="N81" i="246" l="1"/>
  <c r="J80" i="246"/>
  <c r="O81" i="246"/>
  <c r="G37" i="246"/>
  <c r="H4" i="246"/>
  <c r="H56" i="246" s="1"/>
  <c r="L78" i="246"/>
  <c r="X81" i="43"/>
  <c r="N80" i="246"/>
  <c r="O80" i="246"/>
  <c r="Y81" i="43"/>
  <c r="T81" i="43"/>
  <c r="I80" i="246"/>
  <c r="S81" i="43"/>
  <c r="K80" i="246"/>
  <c r="U81" i="43"/>
  <c r="W282" i="43"/>
  <c r="Q80" i="43"/>
  <c r="W80" i="43"/>
  <c r="W84" i="43"/>
  <c r="W404" i="43"/>
  <c r="W403" i="43"/>
  <c r="Q403" i="43"/>
  <c r="Q404" i="43"/>
  <c r="W3" i="43"/>
  <c r="M81" i="246" l="1"/>
  <c r="H37" i="246"/>
  <c r="I4" i="246"/>
  <c r="I37" i="246" s="1"/>
  <c r="M78" i="246"/>
  <c r="M80" i="246"/>
  <c r="W81" i="43"/>
  <c r="G80" i="246"/>
  <c r="Q81" i="43"/>
  <c r="X3" i="43"/>
  <c r="I56" i="246" l="1"/>
  <c r="J4" i="246"/>
  <c r="J56" i="246" s="1"/>
  <c r="N78" i="246"/>
  <c r="Y3" i="43"/>
  <c r="J37" i="246" l="1"/>
  <c r="K4" i="246"/>
  <c r="K56" i="246" s="1"/>
  <c r="O78" i="246"/>
  <c r="Z3" i="43"/>
  <c r="L4" i="246" l="1"/>
  <c r="L56" i="246" s="1"/>
  <c r="P78" i="246"/>
  <c r="K37" i="246"/>
  <c r="AA3" i="43"/>
  <c r="L37" i="246" l="1"/>
  <c r="M4" i="246"/>
  <c r="M37" i="246" s="1"/>
  <c r="Q78" i="246"/>
  <c r="AB3" i="43"/>
  <c r="M56" i="246" l="1"/>
  <c r="N4" i="246"/>
  <c r="N56" i="246" s="1"/>
  <c r="R78" i="246"/>
  <c r="AC3" i="43"/>
  <c r="O4" i="246" l="1"/>
  <c r="O56" i="246" s="1"/>
  <c r="S78" i="246"/>
  <c r="N37" i="246"/>
  <c r="AD3" i="43"/>
  <c r="O37" i="246" l="1"/>
  <c r="P4" i="246"/>
  <c r="P56" i="246" s="1"/>
  <c r="T78" i="246"/>
  <c r="AE3" i="43"/>
  <c r="P37" i="246" l="1"/>
  <c r="Q4" i="246"/>
  <c r="Q56" i="246" s="1"/>
  <c r="U78" i="246"/>
  <c r="AF3" i="43"/>
  <c r="Q37" i="246" l="1"/>
  <c r="R4" i="246"/>
  <c r="R37" i="246" s="1"/>
  <c r="V78" i="246"/>
  <c r="AG3" i="43"/>
  <c r="R56" i="246" l="1"/>
  <c r="S4" i="246"/>
  <c r="S56" i="246" s="1"/>
  <c r="W78" i="246"/>
  <c r="AH3" i="43"/>
  <c r="S37" i="246" l="1"/>
  <c r="T4" i="246"/>
  <c r="T37" i="246" s="1"/>
  <c r="X78" i="246"/>
  <c r="AI3" i="43"/>
  <c r="Y78" i="246" s="1"/>
  <c r="T56" i="246" l="1"/>
  <c r="U4" i="246"/>
  <c r="U37" i="246" s="1"/>
  <c r="AJ3" i="43"/>
  <c r="Z78" i="246" s="1"/>
  <c r="U56" i="246" l="1"/>
  <c r="V4" i="246"/>
  <c r="V56" i="246" s="1"/>
  <c r="AK3" i="43"/>
  <c r="AA78" i="246" s="1"/>
  <c r="V37" i="246" l="1"/>
  <c r="W4" i="246"/>
  <c r="W56" i="246" s="1"/>
  <c r="AL3" i="43"/>
  <c r="AM3" i="43" l="1"/>
  <c r="AC78" i="246" s="1"/>
  <c r="AB78" i="246"/>
  <c r="W37" i="246"/>
  <c r="X4" i="246"/>
  <c r="X56" i="246" s="1"/>
  <c r="Y4" i="246" l="1"/>
  <c r="AN3" i="43"/>
  <c r="AD78" i="246" s="1"/>
  <c r="Y37" i="246"/>
  <c r="Y56" i="246"/>
  <c r="X37" i="246"/>
  <c r="Z4" i="246" l="1"/>
  <c r="Z37" i="246" s="1"/>
  <c r="Z56" i="246" l="1"/>
  <c r="AA189" i="43"/>
  <c r="AB189" i="43"/>
  <c r="AC189" i="43"/>
  <c r="AD189" i="43"/>
  <c r="AE189" i="43"/>
  <c r="AF189" i="43"/>
  <c r="AG189" i="43"/>
  <c r="AH189" i="43"/>
  <c r="AI189" i="43"/>
  <c r="AJ189" i="43"/>
  <c r="AK189" i="43"/>
  <c r="AL189" i="43"/>
  <c r="AM190" i="43" s="1"/>
  <c r="AA190" i="43"/>
  <c r="AF190" i="43" l="1"/>
  <c r="AD190" i="43"/>
  <c r="AI190" i="43"/>
  <c r="AE190" i="43"/>
  <c r="AC190" i="43"/>
  <c r="AB190" i="43"/>
  <c r="AJ190" i="43"/>
  <c r="AL190" i="43"/>
  <c r="AK190" i="43"/>
  <c r="AH190" i="43"/>
  <c r="AG190" i="43"/>
  <c r="T308" i="43"/>
  <c r="T310" i="43" s="1"/>
  <c r="T311" i="43" s="1"/>
  <c r="AA269" i="43" l="1"/>
  <c r="N84" i="43" l="1"/>
  <c r="O84" i="43"/>
  <c r="P84" i="43"/>
  <c r="F81" i="246" l="1"/>
  <c r="D81" i="246"/>
  <c r="E81" i="246"/>
  <c r="AA13" i="43" l="1"/>
  <c r="AA44" i="43"/>
  <c r="AA166" i="43" l="1"/>
  <c r="AA196" i="43" s="1"/>
  <c r="AC255" i="43" l="1"/>
  <c r="AD255" i="43" l="1"/>
  <c r="AA73" i="43"/>
  <c r="AA74" i="43"/>
  <c r="AA75" i="43"/>
  <c r="AA76" i="43"/>
  <c r="AA89" i="43"/>
  <c r="AA90" i="43"/>
  <c r="AA91" i="43"/>
  <c r="AA92" i="43"/>
  <c r="AA99" i="43"/>
  <c r="AA100" i="43" l="1"/>
  <c r="AA7" i="43"/>
  <c r="AC98" i="43"/>
  <c r="AQ98" i="43" s="1"/>
  <c r="AA101" i="43"/>
  <c r="AC95" i="43"/>
  <c r="AQ95" i="43" s="1"/>
  <c r="AC96" i="43"/>
  <c r="AQ96" i="43" s="1"/>
  <c r="AC97" i="43"/>
  <c r="AQ97" i="43" s="1"/>
  <c r="AB93" i="43" l="1"/>
  <c r="AB77" i="43"/>
  <c r="AB78" i="43" s="1"/>
  <c r="AA159" i="43"/>
  <c r="M20" i="246"/>
  <c r="M23" i="246" s="1"/>
  <c r="AA135" i="43"/>
  <c r="AC90" i="43"/>
  <c r="AD96" i="43"/>
  <c r="AC92" i="43"/>
  <c r="AD98" i="43"/>
  <c r="AD70" i="43"/>
  <c r="AC89" i="43"/>
  <c r="AD95" i="43"/>
  <c r="AC99" i="43"/>
  <c r="AC91" i="43"/>
  <c r="AD97" i="43"/>
  <c r="O11" i="246"/>
  <c r="AA9" i="43"/>
  <c r="AA46" i="43"/>
  <c r="AA47" i="43"/>
  <c r="AA48" i="43"/>
  <c r="AA49" i="43"/>
  <c r="AA50" i="43"/>
  <c r="AA51" i="43"/>
  <c r="AA52" i="43"/>
  <c r="AA53" i="43"/>
  <c r="AA54" i="43"/>
  <c r="AA55" i="43"/>
  <c r="AA56" i="43"/>
  <c r="AA57" i="43"/>
  <c r="AA58" i="43"/>
  <c r="AA59" i="43"/>
  <c r="AA60" i="43"/>
  <c r="AA77" i="43"/>
  <c r="AA78" i="43" s="1"/>
  <c r="AA93" i="43"/>
  <c r="AC7" i="43" l="1"/>
  <c r="AQ99" i="43"/>
  <c r="AC36" i="43"/>
  <c r="O26" i="246" a="1"/>
  <c r="F32" i="246" a="1"/>
  <c r="C26" i="246" a="1"/>
  <c r="C32" i="246" a="1"/>
  <c r="L26" i="246" a="1"/>
  <c r="I26" i="246" a="1"/>
  <c r="I32" i="246" a="1"/>
  <c r="F26" i="246" a="1"/>
  <c r="O32" i="246" a="1"/>
  <c r="AA12" i="43"/>
  <c r="AA161" i="43"/>
  <c r="AA371" i="43"/>
  <c r="AA260" i="43"/>
  <c r="AC260" i="43" s="1"/>
  <c r="AD260" i="43" s="1"/>
  <c r="AE260" i="43" s="1"/>
  <c r="AF260" i="43" s="1"/>
  <c r="AG260" i="43" s="1"/>
  <c r="AH260" i="43" s="1"/>
  <c r="AI260" i="43" s="1"/>
  <c r="AJ260" i="43" s="1"/>
  <c r="AK260" i="43" s="1"/>
  <c r="AL260" i="43" s="1"/>
  <c r="AM260" i="43" s="1"/>
  <c r="AN260" i="43" s="1"/>
  <c r="AD91" i="43"/>
  <c r="AE97" i="43"/>
  <c r="P11" i="246"/>
  <c r="M39" i="246"/>
  <c r="M48" i="246"/>
  <c r="M42" i="246"/>
  <c r="M47" i="246"/>
  <c r="M41" i="246"/>
  <c r="M46" i="246"/>
  <c r="M49" i="246"/>
  <c r="M50" i="246"/>
  <c r="M51" i="246"/>
  <c r="M59" i="246"/>
  <c r="M40" i="246"/>
  <c r="M45" i="246"/>
  <c r="M44" i="246"/>
  <c r="AC9" i="43"/>
  <c r="AQ9" i="43" s="1"/>
  <c r="AC93" i="43"/>
  <c r="AC159" i="43"/>
  <c r="AQ159" i="43" s="1"/>
  <c r="O20" i="246"/>
  <c r="AC101" i="43"/>
  <c r="AD90" i="43"/>
  <c r="AE96" i="43"/>
  <c r="AE70" i="43"/>
  <c r="AD89" i="43"/>
  <c r="AE95" i="43"/>
  <c r="AD99" i="43"/>
  <c r="AD7" i="43" s="1"/>
  <c r="AD92" i="43"/>
  <c r="AE98" i="43"/>
  <c r="AQ7" i="43" l="1"/>
  <c r="AC77" i="43"/>
  <c r="AC78" i="43" s="1"/>
  <c r="AC79" i="43" s="1"/>
  <c r="AQ36" i="43"/>
  <c r="AA27" i="43"/>
  <c r="O14" i="246"/>
  <c r="O16" i="246"/>
  <c r="C32" i="246"/>
  <c r="C35" i="246"/>
  <c r="D34" i="246"/>
  <c r="C33" i="246"/>
  <c r="D32" i="246"/>
  <c r="D35" i="246"/>
  <c r="C34" i="246"/>
  <c r="D33" i="246"/>
  <c r="J32" i="246"/>
  <c r="I34" i="246"/>
  <c r="J34" i="246"/>
  <c r="I32" i="246"/>
  <c r="I35" i="246"/>
  <c r="J35" i="246"/>
  <c r="I33" i="246"/>
  <c r="J33" i="246"/>
  <c r="C26" i="246"/>
  <c r="D27" i="246"/>
  <c r="D26" i="246"/>
  <c r="C29" i="246"/>
  <c r="D29" i="246"/>
  <c r="C27" i="246"/>
  <c r="C28" i="246"/>
  <c r="D28" i="246"/>
  <c r="I26" i="246"/>
  <c r="J26" i="246"/>
  <c r="J29" i="246"/>
  <c r="J27" i="246"/>
  <c r="I27" i="246"/>
  <c r="I29" i="246"/>
  <c r="J28" i="246"/>
  <c r="I28" i="246"/>
  <c r="F32" i="246"/>
  <c r="G35" i="246"/>
  <c r="G33" i="246"/>
  <c r="G34" i="246"/>
  <c r="F35" i="246"/>
  <c r="G32" i="246"/>
  <c r="F33" i="246"/>
  <c r="F34" i="246"/>
  <c r="G26" i="246"/>
  <c r="F29" i="246"/>
  <c r="G29" i="246"/>
  <c r="F27" i="246"/>
  <c r="G27" i="246"/>
  <c r="F28" i="246"/>
  <c r="G28" i="246"/>
  <c r="F26" i="246"/>
  <c r="P32" i="246"/>
  <c r="O33" i="246"/>
  <c r="P33" i="246"/>
  <c r="O34" i="246"/>
  <c r="P34" i="246"/>
  <c r="O32" i="246"/>
  <c r="O35" i="246"/>
  <c r="P35" i="246"/>
  <c r="L26" i="246"/>
  <c r="L29" i="246"/>
  <c r="L28" i="246"/>
  <c r="L27" i="246"/>
  <c r="M29" i="246"/>
  <c r="M28" i="246"/>
  <c r="M27" i="246"/>
  <c r="M26" i="246"/>
  <c r="P26" i="246"/>
  <c r="O27" i="246"/>
  <c r="P27" i="246"/>
  <c r="O28" i="246"/>
  <c r="P28" i="246"/>
  <c r="O26" i="246"/>
  <c r="O29" i="246"/>
  <c r="P29" i="246"/>
  <c r="O59" i="246"/>
  <c r="O44" i="246"/>
  <c r="AC207" i="43"/>
  <c r="AA18" i="43"/>
  <c r="AA153" i="43" s="1"/>
  <c r="AA165" i="43"/>
  <c r="AA318" i="43"/>
  <c r="AD101" i="43"/>
  <c r="AC52" i="43"/>
  <c r="AC161" i="43"/>
  <c r="AQ161" i="43" s="1"/>
  <c r="AC369" i="43"/>
  <c r="AC259" i="43"/>
  <c r="AF96" i="43"/>
  <c r="AE90" i="43"/>
  <c r="AD36" i="43"/>
  <c r="AD9" i="43"/>
  <c r="AD77" i="43"/>
  <c r="AD78" i="43" s="1"/>
  <c r="AD79" i="43" s="1"/>
  <c r="AD93" i="43"/>
  <c r="AD159" i="43"/>
  <c r="C55" i="248" s="1"/>
  <c r="P20" i="246"/>
  <c r="AF70" i="43"/>
  <c r="AE89" i="43"/>
  <c r="AF95" i="43"/>
  <c r="AE99" i="43"/>
  <c r="AE7" i="43" s="1"/>
  <c r="AF98" i="43"/>
  <c r="AE92" i="43"/>
  <c r="M38" i="246"/>
  <c r="AF97" i="43"/>
  <c r="AE91" i="43"/>
  <c r="Q11" i="246"/>
  <c r="AB417" i="43"/>
  <c r="AC84" i="43"/>
  <c r="AA417" i="43"/>
  <c r="AC365" i="43"/>
  <c r="AC366" i="43" s="1"/>
  <c r="AD84" i="43" l="1"/>
  <c r="O8" i="246"/>
  <c r="AA28" i="43"/>
  <c r="S81" i="246"/>
  <c r="AC41" i="43"/>
  <c r="AC57" i="43" s="1"/>
  <c r="AE77" i="43"/>
  <c r="AE78" i="43" s="1"/>
  <c r="AE79" i="43" s="1"/>
  <c r="O49" i="246"/>
  <c r="P14" i="246"/>
  <c r="P47" i="246" s="1"/>
  <c r="P16" i="246"/>
  <c r="AD41" i="43" s="1"/>
  <c r="AD57" i="43" s="1"/>
  <c r="O5" i="246"/>
  <c r="P5" i="246"/>
  <c r="P38" i="246" s="1"/>
  <c r="P9" i="246"/>
  <c r="P42" i="246" s="1"/>
  <c r="O9" i="246"/>
  <c r="O15" i="246"/>
  <c r="P15" i="246"/>
  <c r="P48" i="246" s="1"/>
  <c r="P12" i="246"/>
  <c r="P45" i="246" s="1"/>
  <c r="O12" i="246"/>
  <c r="O7" i="246"/>
  <c r="P7" i="246"/>
  <c r="P40" i="246" s="1"/>
  <c r="O6" i="246"/>
  <c r="P6" i="246"/>
  <c r="P39" i="246" s="1"/>
  <c r="P13" i="246"/>
  <c r="P46" i="246" s="1"/>
  <c r="O13" i="246"/>
  <c r="O47" i="246"/>
  <c r="AC39" i="43"/>
  <c r="P59" i="246"/>
  <c r="P44" i="246"/>
  <c r="AD207" i="43"/>
  <c r="AA332" i="43"/>
  <c r="AA330" i="43"/>
  <c r="AA329" i="43"/>
  <c r="AA333" i="43"/>
  <c r="AA359" i="43"/>
  <c r="AA331" i="43"/>
  <c r="AA293" i="43"/>
  <c r="AA171" i="43"/>
  <c r="AC321" i="43"/>
  <c r="AC323" i="43" s="1"/>
  <c r="AC350" i="43" s="1"/>
  <c r="AE101" i="43"/>
  <c r="AF89" i="43"/>
  <c r="AG95" i="43"/>
  <c r="AF99" i="43"/>
  <c r="AF7" i="43" s="1"/>
  <c r="AG70" i="43"/>
  <c r="AD52" i="43"/>
  <c r="AC261" i="43"/>
  <c r="AF92" i="43"/>
  <c r="AG98" i="43"/>
  <c r="AC318" i="43"/>
  <c r="AC358" i="43" s="1"/>
  <c r="AC417" i="43"/>
  <c r="P8" i="246"/>
  <c r="P41" i="246" s="1"/>
  <c r="AA418" i="43"/>
  <c r="M43" i="246"/>
  <c r="M57" i="246" s="1" a="1"/>
  <c r="M57" i="246" s="1"/>
  <c r="AD161" i="43"/>
  <c r="AD259" i="43"/>
  <c r="AD369" i="43"/>
  <c r="AF91" i="43"/>
  <c r="AG97" i="43"/>
  <c r="R11" i="246"/>
  <c r="AF90" i="43"/>
  <c r="AG96" i="43"/>
  <c r="AC360" i="43"/>
  <c r="AC42" i="43" s="1"/>
  <c r="AQ42" i="43" s="1"/>
  <c r="AE36" i="43"/>
  <c r="AE9" i="43"/>
  <c r="AE159" i="43"/>
  <c r="AE93" i="43"/>
  <c r="Q20" i="246"/>
  <c r="Q16" i="246" s="1"/>
  <c r="AE41" i="43" s="1"/>
  <c r="AE57" i="43" s="1"/>
  <c r="AD365" i="43"/>
  <c r="AD366" i="43" s="1"/>
  <c r="AC238" i="43"/>
  <c r="AE84" i="43" l="1"/>
  <c r="T81" i="246"/>
  <c r="AQ39" i="43"/>
  <c r="AQ41" i="43"/>
  <c r="D55" i="248"/>
  <c r="D56" i="248" s="1"/>
  <c r="O42" i="246"/>
  <c r="O40" i="246"/>
  <c r="O38" i="246"/>
  <c r="AE207" i="43"/>
  <c r="AC38" i="43"/>
  <c r="P49" i="246"/>
  <c r="Q44" i="246"/>
  <c r="Q14" i="246"/>
  <c r="Q47" i="246" s="1"/>
  <c r="Q6" i="246"/>
  <c r="Q39" i="246" s="1"/>
  <c r="Q7" i="246"/>
  <c r="Q40" i="246" s="1"/>
  <c r="Q5" i="246"/>
  <c r="Q38" i="246" s="1"/>
  <c r="Q9" i="246"/>
  <c r="Q42" i="246" s="1"/>
  <c r="Q12" i="246"/>
  <c r="Q45" i="246" s="1"/>
  <c r="Q13" i="246"/>
  <c r="Q46" i="246" s="1"/>
  <c r="Q15" i="246"/>
  <c r="Q48" i="246" s="1"/>
  <c r="AC55" i="43"/>
  <c r="O45" i="246"/>
  <c r="AC37" i="43"/>
  <c r="O48" i="246"/>
  <c r="AC40" i="43"/>
  <c r="AQ40" i="43" s="1"/>
  <c r="AC31" i="43"/>
  <c r="AQ31" i="43" s="1"/>
  <c r="O39" i="246"/>
  <c r="Q59" i="246"/>
  <c r="Q49" i="246"/>
  <c r="O46" i="246"/>
  <c r="AC33" i="43"/>
  <c r="AQ33" i="43" s="1"/>
  <c r="O41" i="246"/>
  <c r="AC30" i="43"/>
  <c r="AQ30" i="43" s="1"/>
  <c r="AC32" i="43"/>
  <c r="AQ32" i="43" s="1"/>
  <c r="AC332" i="43"/>
  <c r="AC322" i="43"/>
  <c r="AC344" i="43" s="1"/>
  <c r="AC326" i="43"/>
  <c r="AC363" i="43" s="1"/>
  <c r="AC362" i="43" s="1"/>
  <c r="O10" i="246"/>
  <c r="O43" i="246" s="1"/>
  <c r="AC34" i="43"/>
  <c r="AQ34" i="43" s="1"/>
  <c r="AC325" i="43"/>
  <c r="AC368" i="43" s="1"/>
  <c r="AC367" i="43" s="1"/>
  <c r="AC219" i="43" s="1"/>
  <c r="AC324" i="43"/>
  <c r="AC263" i="43" s="1"/>
  <c r="AC262" i="43" s="1"/>
  <c r="AC202" i="43" s="1"/>
  <c r="AA174" i="43"/>
  <c r="AA294" i="43"/>
  <c r="AA295" i="43"/>
  <c r="AD321" i="43"/>
  <c r="AD322" i="43" s="1"/>
  <c r="AD344" i="43" s="1"/>
  <c r="AA25" i="43"/>
  <c r="AA23" i="43"/>
  <c r="AF101" i="43"/>
  <c r="AD37" i="43"/>
  <c r="AD417" i="43"/>
  <c r="AD318" i="43"/>
  <c r="AD358" i="43" s="1"/>
  <c r="AA419" i="43"/>
  <c r="AD40" i="43"/>
  <c r="AD56" i="43" s="1"/>
  <c r="AD34" i="43"/>
  <c r="AD30" i="43"/>
  <c r="P10" i="246"/>
  <c r="P43" i="246" s="1"/>
  <c r="P58" i="246" s="1" a="1"/>
  <c r="P58" i="246" s="1"/>
  <c r="AD360" i="43"/>
  <c r="AF9" i="43"/>
  <c r="AF93" i="43"/>
  <c r="AF77" i="43"/>
  <c r="AF78" i="43" s="1"/>
  <c r="AF79" i="43" s="1"/>
  <c r="AF159" i="43"/>
  <c r="R20" i="246"/>
  <c r="R16" i="246" s="1"/>
  <c r="AF41" i="43" s="1"/>
  <c r="AF57" i="43" s="1"/>
  <c r="AD261" i="43"/>
  <c r="Q8" i="246"/>
  <c r="Q41" i="246" s="1"/>
  <c r="AC354" i="43"/>
  <c r="AF36" i="43"/>
  <c r="M52" i="246"/>
  <c r="AD39" i="43"/>
  <c r="AD55" i="43" s="1"/>
  <c r="AD33" i="43"/>
  <c r="AG92" i="43"/>
  <c r="AH98" i="43"/>
  <c r="AC331" i="43"/>
  <c r="AH70" i="43"/>
  <c r="AG89" i="43"/>
  <c r="AH95" i="43"/>
  <c r="AG99" i="43"/>
  <c r="AG7" i="43" s="1"/>
  <c r="AE52" i="43"/>
  <c r="AD31" i="43"/>
  <c r="AD47" i="43" s="1"/>
  <c r="AE161" i="43"/>
  <c r="AE259" i="43"/>
  <c r="AE369" i="43"/>
  <c r="AG90" i="43"/>
  <c r="AH96" i="43"/>
  <c r="AG91" i="43"/>
  <c r="AH97" i="43"/>
  <c r="S11" i="246"/>
  <c r="AD238" i="43"/>
  <c r="AE365" i="43"/>
  <c r="AE366" i="43" s="1"/>
  <c r="AD38" i="43"/>
  <c r="AD54" i="43" s="1"/>
  <c r="AD32" i="43"/>
  <c r="AF84" i="43" l="1"/>
  <c r="U81" i="246"/>
  <c r="AQ38" i="43"/>
  <c r="AQ37" i="43"/>
  <c r="E55" i="248"/>
  <c r="E56" i="248" s="1"/>
  <c r="AC54" i="43"/>
  <c r="AC56" i="43"/>
  <c r="R14" i="246"/>
  <c r="R47" i="246" s="1"/>
  <c r="R12" i="246"/>
  <c r="R45" i="246" s="1"/>
  <c r="R5" i="246"/>
  <c r="R38" i="246" s="1"/>
  <c r="R7" i="246"/>
  <c r="R40" i="246" s="1"/>
  <c r="R6" i="246"/>
  <c r="R39" i="246" s="1"/>
  <c r="R9" i="246"/>
  <c r="R42" i="246" s="1"/>
  <c r="R15" i="246"/>
  <c r="R48" i="246" s="1"/>
  <c r="R13" i="246"/>
  <c r="R46" i="246" s="1"/>
  <c r="AC53" i="43"/>
  <c r="AC50" i="43"/>
  <c r="AC49" i="43"/>
  <c r="AC48" i="43"/>
  <c r="AC47" i="43"/>
  <c r="AC46" i="43"/>
  <c r="O58" i="246" a="1"/>
  <c r="O58" i="246" s="1"/>
  <c r="R49" i="246"/>
  <c r="R59" i="246"/>
  <c r="R44" i="246"/>
  <c r="AC10" i="43"/>
  <c r="AD323" i="43"/>
  <c r="AD350" i="43" s="1"/>
  <c r="AF207" i="43"/>
  <c r="AC11" i="43"/>
  <c r="AC35" i="43"/>
  <c r="AQ35" i="43" s="1"/>
  <c r="AD326" i="43"/>
  <c r="AD363" i="43" s="1"/>
  <c r="AD362" i="43" s="1"/>
  <c r="AD324" i="43"/>
  <c r="AD263" i="43" s="1"/>
  <c r="AD262" i="43" s="1"/>
  <c r="AD202" i="43" s="1"/>
  <c r="C67" i="248" s="1"/>
  <c r="AA179" i="43"/>
  <c r="AA178" i="43"/>
  <c r="AA176" i="43"/>
  <c r="AD331" i="43"/>
  <c r="AD332" i="43"/>
  <c r="AD325" i="43"/>
  <c r="AD368" i="43" s="1"/>
  <c r="AD367" i="43" s="1"/>
  <c r="AD219" i="43" s="1"/>
  <c r="AE321" i="43"/>
  <c r="AE324" i="43" s="1"/>
  <c r="AE263" i="43" s="1"/>
  <c r="AC244" i="43"/>
  <c r="AE318" i="43"/>
  <c r="AE358" i="43" s="1"/>
  <c r="AE417" i="43"/>
  <c r="AE38" i="43"/>
  <c r="AE54" i="43" s="1"/>
  <c r="AE37" i="43"/>
  <c r="AI70" i="43"/>
  <c r="AH89" i="43"/>
  <c r="AI95" i="43"/>
  <c r="AH99" i="43"/>
  <c r="AH7" i="43" s="1"/>
  <c r="AG101" i="43"/>
  <c r="AC58" i="43"/>
  <c r="O17" i="246"/>
  <c r="O50" i="246" s="1"/>
  <c r="AE32" i="43"/>
  <c r="AC243" i="43"/>
  <c r="AG36" i="43"/>
  <c r="AE238" i="43"/>
  <c r="AF365" i="43"/>
  <c r="AF366" i="43" s="1"/>
  <c r="AH92" i="43"/>
  <c r="AI98" i="43"/>
  <c r="AF52" i="43"/>
  <c r="AE40" i="43"/>
  <c r="AE56" i="43" s="1"/>
  <c r="R8" i="246"/>
  <c r="R41" i="246" s="1"/>
  <c r="AD42" i="43"/>
  <c r="AD354" i="43"/>
  <c r="AD35" i="43"/>
  <c r="AD46" i="43"/>
  <c r="AG9" i="43"/>
  <c r="AG93" i="43"/>
  <c r="AG77" i="43"/>
  <c r="AG78" i="43" s="1"/>
  <c r="AG79" i="43" s="1"/>
  <c r="AG159" i="43"/>
  <c r="S20" i="246"/>
  <c r="S16" i="246" s="1"/>
  <c r="AG41" i="43" s="1"/>
  <c r="AG57" i="43" s="1"/>
  <c r="AE34" i="43"/>
  <c r="AD11" i="43"/>
  <c r="AD163" i="43" s="1"/>
  <c r="AD50" i="43"/>
  <c r="AD53" i="43"/>
  <c r="AD10" i="43"/>
  <c r="AE30" i="43"/>
  <c r="Q10" i="246"/>
  <c r="Q43" i="246" s="1"/>
  <c r="Q58" i="246" s="1" a="1"/>
  <c r="Q58" i="246" s="1"/>
  <c r="AF161" i="43"/>
  <c r="AF259" i="43"/>
  <c r="AF369" i="43"/>
  <c r="AD48" i="43"/>
  <c r="AH91" i="43"/>
  <c r="AI97" i="43"/>
  <c r="T11" i="246"/>
  <c r="AH90" i="43"/>
  <c r="AI96" i="43"/>
  <c r="AE261" i="43"/>
  <c r="AD49" i="43"/>
  <c r="AC245" i="43"/>
  <c r="AE33" i="43"/>
  <c r="AE39" i="43"/>
  <c r="AE55" i="43" s="1"/>
  <c r="AE31" i="43"/>
  <c r="AE47" i="43" s="1"/>
  <c r="AC206" i="43"/>
  <c r="AC355" i="43"/>
  <c r="AE360" i="43"/>
  <c r="AG84" i="43" l="1"/>
  <c r="V81" i="246"/>
  <c r="F55" i="248"/>
  <c r="F56" i="248" s="1"/>
  <c r="C64" i="248"/>
  <c r="AC162" i="43"/>
  <c r="AQ10" i="43"/>
  <c r="AC163" i="43"/>
  <c r="AQ11" i="43"/>
  <c r="AC140" i="43"/>
  <c r="S14" i="246"/>
  <c r="S47" i="246" s="1"/>
  <c r="S5" i="246"/>
  <c r="S38" i="246" s="1"/>
  <c r="S12" i="246"/>
  <c r="S45" i="246" s="1"/>
  <c r="S7" i="246"/>
  <c r="S40" i="246" s="1"/>
  <c r="S6" i="246"/>
  <c r="S39" i="246" s="1"/>
  <c r="S9" i="246"/>
  <c r="S42" i="246" s="1"/>
  <c r="S15" i="246"/>
  <c r="S48" i="246" s="1"/>
  <c r="S13" i="246"/>
  <c r="S46" i="246" s="1"/>
  <c r="AC51" i="43"/>
  <c r="S49" i="246"/>
  <c r="S59" i="246"/>
  <c r="S44" i="246"/>
  <c r="AC12" i="43"/>
  <c r="AG207" i="43"/>
  <c r="AE332" i="43"/>
  <c r="AA183" i="43"/>
  <c r="AA195" i="43"/>
  <c r="AA201" i="43" s="1"/>
  <c r="AA203" i="43" s="1"/>
  <c r="AE325" i="43"/>
  <c r="AE368" i="43" s="1"/>
  <c r="AE367" i="43" s="1"/>
  <c r="AE219" i="43" s="1"/>
  <c r="AE323" i="43"/>
  <c r="AE350" i="43" s="1"/>
  <c r="AE331" i="43"/>
  <c r="AD245" i="43"/>
  <c r="AE326" i="43"/>
  <c r="AE363" i="43" s="1"/>
  <c r="AE362" i="43" s="1"/>
  <c r="AE322" i="43"/>
  <c r="AE344" i="43" s="1"/>
  <c r="AH101" i="43"/>
  <c r="AF321" i="43"/>
  <c r="AF324" i="43" s="1"/>
  <c r="AF263" i="43" s="1"/>
  <c r="AD244" i="43"/>
  <c r="S8" i="246"/>
  <c r="S41" i="246" s="1"/>
  <c r="AF34" i="43"/>
  <c r="AE42" i="43"/>
  <c r="AE354" i="43"/>
  <c r="AD58" i="43"/>
  <c r="P17" i="246"/>
  <c r="P50" i="246" s="1"/>
  <c r="AF39" i="43"/>
  <c r="AF55" i="43" s="1"/>
  <c r="AH9" i="43"/>
  <c r="AH93" i="43"/>
  <c r="AH77" i="43"/>
  <c r="AH159" i="43"/>
  <c r="G55" i="248" s="1"/>
  <c r="T20" i="246"/>
  <c r="T16" i="246" s="1"/>
  <c r="AH41" i="43" s="1"/>
  <c r="AH57" i="43" s="1"/>
  <c r="AF38" i="43"/>
  <c r="AF54" i="43" s="1"/>
  <c r="AF32" i="43"/>
  <c r="AJ98" i="43"/>
  <c r="AI92" i="43"/>
  <c r="AJ70" i="43"/>
  <c r="AJ95" i="43"/>
  <c r="AI99" i="43"/>
  <c r="AI7" i="43" s="1"/>
  <c r="AI89" i="43"/>
  <c r="AF360" i="43"/>
  <c r="AD206" i="43"/>
  <c r="AD140" i="43" s="1"/>
  <c r="AD355" i="43"/>
  <c r="AI90" i="43"/>
  <c r="AJ96" i="43"/>
  <c r="AF40" i="43"/>
  <c r="AF56" i="43" s="1"/>
  <c r="AF30" i="43"/>
  <c r="R10" i="246"/>
  <c r="R43" i="246" s="1"/>
  <c r="R58" i="246" s="1" a="1"/>
  <c r="R58" i="246" s="1"/>
  <c r="AG52" i="43"/>
  <c r="AE48" i="43"/>
  <c r="AE53" i="43"/>
  <c r="AE10" i="43"/>
  <c r="AF261" i="43"/>
  <c r="AE11" i="43"/>
  <c r="AE163" i="43" s="1"/>
  <c r="AE50" i="43"/>
  <c r="AG161" i="43"/>
  <c r="AG259" i="43"/>
  <c r="AG369" i="43"/>
  <c r="AF33" i="43"/>
  <c r="AH36" i="43"/>
  <c r="AF318" i="43"/>
  <c r="AF358" i="43" s="1"/>
  <c r="AF417" i="43"/>
  <c r="AE46" i="43"/>
  <c r="AE35" i="43"/>
  <c r="AE49" i="43"/>
  <c r="AE262" i="43"/>
  <c r="AE202" i="43" s="1"/>
  <c r="D67" i="248" s="1"/>
  <c r="AJ97" i="43"/>
  <c r="AI91" i="43"/>
  <c r="U11" i="246"/>
  <c r="AF238" i="43"/>
  <c r="AG365" i="43"/>
  <c r="AG366" i="43" s="1"/>
  <c r="AD162" i="43"/>
  <c r="AD165" i="43" s="1"/>
  <c r="AD12" i="43"/>
  <c r="AD51" i="43"/>
  <c r="AF37" i="43"/>
  <c r="AF31" i="43"/>
  <c r="AF47" i="43" s="1"/>
  <c r="AD243" i="43"/>
  <c r="AC246" i="43"/>
  <c r="AQ12" i="43" l="1"/>
  <c r="AH78" i="43"/>
  <c r="AH79" i="43" s="1"/>
  <c r="AH84" i="43" s="1"/>
  <c r="W81" i="246"/>
  <c r="AC165" i="43"/>
  <c r="AQ165" i="43" s="1"/>
  <c r="G56" i="248"/>
  <c r="D64" i="248"/>
  <c r="C57" i="248"/>
  <c r="C59" i="248" s="1"/>
  <c r="AD27" i="43"/>
  <c r="AD293" i="43"/>
  <c r="AC27" i="43"/>
  <c r="T44" i="246"/>
  <c r="T14" i="246"/>
  <c r="T47" i="246" s="1"/>
  <c r="T5" i="246"/>
  <c r="T38" i="246" s="1"/>
  <c r="T7" i="246"/>
  <c r="T40" i="246" s="1"/>
  <c r="T6" i="246"/>
  <c r="T39" i="246" s="1"/>
  <c r="T9" i="246"/>
  <c r="T42" i="246" s="1"/>
  <c r="T13" i="246"/>
  <c r="T46" i="246" s="1"/>
  <c r="T15" i="246"/>
  <c r="T48" i="246" s="1"/>
  <c r="T12" i="246"/>
  <c r="T45" i="246" s="1"/>
  <c r="T49" i="246"/>
  <c r="T59" i="246"/>
  <c r="AB418" i="43"/>
  <c r="AF323" i="43"/>
  <c r="AF350" i="43" s="1"/>
  <c r="AF326" i="43"/>
  <c r="AF363" i="43" s="1"/>
  <c r="AF362" i="43" s="1"/>
  <c r="AF322" i="43"/>
  <c r="AF344" i="43" s="1"/>
  <c r="AF325" i="43"/>
  <c r="AF368" i="43" s="1"/>
  <c r="AF367" i="43" s="1"/>
  <c r="AF219" i="43" s="1"/>
  <c r="AF262" i="43"/>
  <c r="AF202" i="43" s="1"/>
  <c r="E67" i="248" s="1"/>
  <c r="AG321" i="43"/>
  <c r="AG323" i="43" s="1"/>
  <c r="AG350" i="43" s="1"/>
  <c r="AF332" i="43"/>
  <c r="AD418" i="43"/>
  <c r="AI36" i="43"/>
  <c r="AA21" i="43"/>
  <c r="AE51" i="43"/>
  <c r="AJ92" i="43"/>
  <c r="AK98" i="43"/>
  <c r="AE58" i="43"/>
  <c r="Q17" i="246"/>
  <c r="Q50" i="246" s="1"/>
  <c r="AG30" i="43"/>
  <c r="S10" i="246"/>
  <c r="S43" i="246" s="1"/>
  <c r="S58" i="246" s="1" a="1"/>
  <c r="S58" i="246" s="1"/>
  <c r="AH365" i="43"/>
  <c r="AH366" i="43" s="1"/>
  <c r="AG238" i="43"/>
  <c r="AF42" i="43"/>
  <c r="AF354" i="43"/>
  <c r="T8" i="246"/>
  <c r="T41" i="246" s="1"/>
  <c r="AF11" i="43"/>
  <c r="AF163" i="43" s="1"/>
  <c r="AF50" i="43"/>
  <c r="AG39" i="43"/>
  <c r="AG55" i="43" s="1"/>
  <c r="AG33" i="43"/>
  <c r="AI9" i="43"/>
  <c r="AI77" i="43"/>
  <c r="AI78" i="43" s="1"/>
  <c r="AI79" i="43" s="1"/>
  <c r="AI159" i="43"/>
  <c r="AI93" i="43"/>
  <c r="U20" i="246"/>
  <c r="U16" i="246" s="1"/>
  <c r="AI41" i="43" s="1"/>
  <c r="AI57" i="43" s="1"/>
  <c r="AG34" i="43"/>
  <c r="AD246" i="43"/>
  <c r="AE243" i="43"/>
  <c r="AJ89" i="43"/>
  <c r="AK95" i="43"/>
  <c r="AJ99" i="43"/>
  <c r="AK70" i="43"/>
  <c r="AI101" i="43"/>
  <c r="AF53" i="43"/>
  <c r="AF10" i="43"/>
  <c r="AH52" i="43"/>
  <c r="AF49" i="43"/>
  <c r="AE206" i="43"/>
  <c r="AE140" i="43" s="1"/>
  <c r="AE355" i="43"/>
  <c r="AG38" i="43"/>
  <c r="AG54" i="43" s="1"/>
  <c r="AG32" i="43"/>
  <c r="AG40" i="43"/>
  <c r="AG56" i="43" s="1"/>
  <c r="AE245" i="43"/>
  <c r="AJ90" i="43"/>
  <c r="AK96" i="43"/>
  <c r="AJ91" i="43"/>
  <c r="AK97" i="43"/>
  <c r="V11" i="246"/>
  <c r="AE244" i="43"/>
  <c r="AG261" i="43"/>
  <c r="AE162" i="43"/>
  <c r="AE165" i="43" s="1"/>
  <c r="D57" i="248" s="1"/>
  <c r="AE12" i="43"/>
  <c r="AG360" i="43"/>
  <c r="AG318" i="43"/>
  <c r="AG358" i="43" s="1"/>
  <c r="AG417" i="43"/>
  <c r="AF331" i="43"/>
  <c r="AF35" i="43"/>
  <c r="AF46" i="43"/>
  <c r="AF48" i="43"/>
  <c r="AH161" i="43"/>
  <c r="AH259" i="43"/>
  <c r="AH369" i="43"/>
  <c r="AG37" i="43"/>
  <c r="AG31" i="43"/>
  <c r="AG47" i="43" s="1"/>
  <c r="AI84" i="43" l="1"/>
  <c r="AH207" i="43"/>
  <c r="X81" i="246"/>
  <c r="AC293" i="43"/>
  <c r="AC418" i="43"/>
  <c r="AC81" i="43" s="1"/>
  <c r="H55" i="248"/>
  <c r="H56" i="248" s="1"/>
  <c r="E64" i="248"/>
  <c r="D59" i="248"/>
  <c r="D58" i="248"/>
  <c r="AE27" i="43"/>
  <c r="AE293" i="43"/>
  <c r="U14" i="246"/>
  <c r="U47" i="246" s="1"/>
  <c r="U9" i="246"/>
  <c r="U42" i="246" s="1"/>
  <c r="U6" i="246"/>
  <c r="U39" i="246" s="1"/>
  <c r="U15" i="246"/>
  <c r="U48" i="246" s="1"/>
  <c r="U13" i="246"/>
  <c r="U46" i="246" s="1"/>
  <c r="U12" i="246"/>
  <c r="U45" i="246" s="1"/>
  <c r="U5" i="246"/>
  <c r="U38" i="246" s="1"/>
  <c r="U7" i="246"/>
  <c r="U40" i="246" s="1"/>
  <c r="U49" i="246"/>
  <c r="U59" i="246"/>
  <c r="U44" i="246"/>
  <c r="AG322" i="43"/>
  <c r="AG344" i="43" s="1"/>
  <c r="AI207" i="43"/>
  <c r="AA26" i="43"/>
  <c r="AG324" i="43"/>
  <c r="AG263" i="43" s="1"/>
  <c r="AG262" i="43" s="1"/>
  <c r="AG202" i="43" s="1"/>
  <c r="F67" i="248" s="1"/>
  <c r="AG326" i="43"/>
  <c r="AG363" i="43" s="1"/>
  <c r="AG362" i="43" s="1"/>
  <c r="AG325" i="43"/>
  <c r="AG368" i="43" s="1"/>
  <c r="AG367" i="43" s="1"/>
  <c r="AG219" i="43" s="1"/>
  <c r="AF245" i="43"/>
  <c r="AH360" i="43"/>
  <c r="AG331" i="43"/>
  <c r="AG49" i="43"/>
  <c r="AH39" i="43"/>
  <c r="AH55" i="43" s="1"/>
  <c r="AH33" i="43"/>
  <c r="AK92" i="43"/>
  <c r="AL98" i="43"/>
  <c r="AM98" i="43" s="1"/>
  <c r="AP98" i="43" s="1"/>
  <c r="AG53" i="43"/>
  <c r="AG10" i="43"/>
  <c r="AH238" i="43"/>
  <c r="AI365" i="43"/>
  <c r="AI366" i="43" s="1"/>
  <c r="AF51" i="43"/>
  <c r="AF244" i="43"/>
  <c r="AK90" i="43"/>
  <c r="AL96" i="43"/>
  <c r="AM96" i="43" s="1"/>
  <c r="AP96" i="43" s="1"/>
  <c r="AF162" i="43"/>
  <c r="AF165" i="43" s="1"/>
  <c r="E57" i="248" s="1"/>
  <c r="AF12" i="43"/>
  <c r="AG11" i="43"/>
  <c r="AG163" i="43" s="1"/>
  <c r="AG50" i="43"/>
  <c r="AI161" i="43"/>
  <c r="AI259" i="43"/>
  <c r="AI369" i="43"/>
  <c r="AH38" i="43"/>
  <c r="AH54" i="43" s="1"/>
  <c r="AH32" i="43"/>
  <c r="AF58" i="43"/>
  <c r="R17" i="246"/>
  <c r="R50" i="246" s="1"/>
  <c r="AG35" i="43"/>
  <c r="AG46" i="43"/>
  <c r="AH318" i="43"/>
  <c r="AH358" i="43" s="1"/>
  <c r="AH417" i="43"/>
  <c r="AK91" i="43"/>
  <c r="AL97" i="43"/>
  <c r="AM97" i="43" s="1"/>
  <c r="AP97" i="43" s="1"/>
  <c r="W11" i="246"/>
  <c r="AH261" i="43"/>
  <c r="AF206" i="43"/>
  <c r="AF140" i="43" s="1"/>
  <c r="AF355" i="43"/>
  <c r="AE418" i="43"/>
  <c r="AJ36" i="43"/>
  <c r="AG48" i="43"/>
  <c r="AJ7" i="43"/>
  <c r="AE246" i="43"/>
  <c r="AF243" i="43"/>
  <c r="AH37" i="43"/>
  <c r="AH31" i="43"/>
  <c r="AH47" i="43" s="1"/>
  <c r="AI52" i="43"/>
  <c r="AG42" i="43"/>
  <c r="AG354" i="43"/>
  <c r="AL70" i="43"/>
  <c r="AK89" i="43"/>
  <c r="AL95" i="43"/>
  <c r="AK99" i="43"/>
  <c r="U8" i="246"/>
  <c r="U41" i="246" s="1"/>
  <c r="AH40" i="43"/>
  <c r="AH56" i="43" s="1"/>
  <c r="AH34" i="43"/>
  <c r="AH30" i="43"/>
  <c r="T10" i="246"/>
  <c r="T43" i="246" s="1"/>
  <c r="T58" i="246" s="1" a="1"/>
  <c r="T58" i="246" s="1"/>
  <c r="AG332" i="43"/>
  <c r="AJ101" i="43"/>
  <c r="AD81" i="43"/>
  <c r="AH321" i="43" l="1"/>
  <c r="AH324" i="43" s="1"/>
  <c r="AH263" i="43" s="1"/>
  <c r="AH262" i="43" s="1"/>
  <c r="AH202" i="43" s="1"/>
  <c r="G67" i="248" s="1"/>
  <c r="Y81" i="246"/>
  <c r="F64" i="248"/>
  <c r="E58" i="248"/>
  <c r="E59" i="248"/>
  <c r="AF27" i="43"/>
  <c r="AF293" i="43"/>
  <c r="AM91" i="43"/>
  <c r="AN97" i="43"/>
  <c r="Y11" i="246"/>
  <c r="AM90" i="43"/>
  <c r="AN96" i="43"/>
  <c r="AN90" i="43" s="1"/>
  <c r="AM92" i="43"/>
  <c r="AN98" i="43"/>
  <c r="AM70" i="43"/>
  <c r="AM95" i="43"/>
  <c r="AP95" i="43" s="1"/>
  <c r="AL90" i="43"/>
  <c r="AK7" i="43"/>
  <c r="AE81" i="43"/>
  <c r="AG245" i="43"/>
  <c r="AI321" i="43"/>
  <c r="AI322" i="43" s="1"/>
  <c r="AI344" i="43" s="1"/>
  <c r="AG244" i="43"/>
  <c r="AI33" i="43"/>
  <c r="AH35" i="43"/>
  <c r="AH46" i="43"/>
  <c r="AI37" i="43"/>
  <c r="AI360" i="43"/>
  <c r="AH48" i="43"/>
  <c r="AL92" i="43"/>
  <c r="AG206" i="43"/>
  <c r="AG140" i="43" s="1"/>
  <c r="AG355" i="43"/>
  <c r="AI34" i="43"/>
  <c r="AI32" i="43"/>
  <c r="AJ9" i="43"/>
  <c r="AJ93" i="43"/>
  <c r="AJ77" i="43"/>
  <c r="AJ78" i="43" s="1"/>
  <c r="AJ79" i="43" s="1"/>
  <c r="AJ159" i="43"/>
  <c r="V20" i="246"/>
  <c r="V16" i="246" s="1"/>
  <c r="AJ41" i="43" s="1"/>
  <c r="AJ57" i="43" s="1"/>
  <c r="AL91" i="43"/>
  <c r="X11" i="246"/>
  <c r="AI261" i="43"/>
  <c r="AG162" i="43"/>
  <c r="AG165" i="43" s="1"/>
  <c r="F57" i="248" s="1"/>
  <c r="AG12" i="43"/>
  <c r="AI30" i="43"/>
  <c r="U10" i="246"/>
  <c r="U43" i="246" s="1"/>
  <c r="U58" i="246" s="1" a="1"/>
  <c r="U58" i="246" s="1"/>
  <c r="AH53" i="43"/>
  <c r="AH10" i="43"/>
  <c r="AK36" i="43"/>
  <c r="AI238" i="43"/>
  <c r="AJ365" i="43"/>
  <c r="AJ366" i="43" s="1"/>
  <c r="AH11" i="43"/>
  <c r="AH163" i="43" s="1"/>
  <c r="AH50" i="43"/>
  <c r="AI39" i="43"/>
  <c r="AI55" i="43" s="1"/>
  <c r="AI40" i="43"/>
  <c r="AI56" i="43" s="1"/>
  <c r="AI38" i="43"/>
  <c r="AI54" i="43" s="1"/>
  <c r="AL89" i="43"/>
  <c r="AL99" i="43"/>
  <c r="AL7" i="43" s="1"/>
  <c r="AG58" i="43"/>
  <c r="S17" i="246"/>
  <c r="S50" i="246" s="1"/>
  <c r="AF246" i="43"/>
  <c r="AG243" i="43"/>
  <c r="AJ52" i="43"/>
  <c r="AH331" i="43"/>
  <c r="AI318" i="43"/>
  <c r="AI358" i="43" s="1"/>
  <c r="AI417" i="43"/>
  <c r="AH332" i="43"/>
  <c r="AH49" i="43"/>
  <c r="AI31" i="43"/>
  <c r="AI47" i="43" s="1"/>
  <c r="AG51" i="43"/>
  <c r="AF418" i="43"/>
  <c r="AK101" i="43"/>
  <c r="AH42" i="43"/>
  <c r="G64" i="248" s="1"/>
  <c r="AH354" i="43"/>
  <c r="AH322" i="43" l="1"/>
  <c r="AH344" i="43" s="1"/>
  <c r="AH326" i="43"/>
  <c r="AH363" i="43" s="1"/>
  <c r="AH362" i="43" s="1"/>
  <c r="AH325" i="43"/>
  <c r="AH368" i="43" s="1"/>
  <c r="AH367" i="43" s="1"/>
  <c r="AH219" i="43" s="1"/>
  <c r="AH323" i="43"/>
  <c r="AH350" i="43" s="1"/>
  <c r="AJ84" i="43"/>
  <c r="F58" i="248"/>
  <c r="F59" i="248"/>
  <c r="I55" i="248"/>
  <c r="I56" i="248" s="1"/>
  <c r="AL77" i="43"/>
  <c r="AL78" i="43" s="1"/>
  <c r="AL79" i="43" s="1"/>
  <c r="AG293" i="43"/>
  <c r="AG27" i="43"/>
  <c r="V14" i="246"/>
  <c r="V47" i="246" s="1"/>
  <c r="V15" i="246"/>
  <c r="V48" i="246" s="1"/>
  <c r="V13" i="246"/>
  <c r="V46" i="246" s="1"/>
  <c r="V12" i="246"/>
  <c r="V45" i="246" s="1"/>
  <c r="V5" i="246"/>
  <c r="V38" i="246" s="1"/>
  <c r="V7" i="246"/>
  <c r="V40" i="246" s="1"/>
  <c r="V6" i="246"/>
  <c r="V39" i="246" s="1"/>
  <c r="V9" i="246"/>
  <c r="V42" i="246" s="1"/>
  <c r="V49" i="246"/>
  <c r="V59" i="246"/>
  <c r="V44" i="246"/>
  <c r="AN92" i="43"/>
  <c r="AM36" i="43"/>
  <c r="AP36" i="43" s="1"/>
  <c r="AM89" i="43"/>
  <c r="AN95" i="43"/>
  <c r="AM99" i="43"/>
  <c r="AP99" i="43" s="1"/>
  <c r="AN70" i="43"/>
  <c r="Z11" i="246"/>
  <c r="AN91" i="43"/>
  <c r="AJ207" i="43"/>
  <c r="AK77" i="43"/>
  <c r="AK78" i="43" s="1"/>
  <c r="AK79" i="43" s="1"/>
  <c r="AK9" i="43"/>
  <c r="W20" i="246"/>
  <c r="W16" i="246" s="1"/>
  <c r="AK41" i="43" s="1"/>
  <c r="AK93" i="43"/>
  <c r="AK159" i="43"/>
  <c r="J55" i="248" s="1"/>
  <c r="AI325" i="43"/>
  <c r="AI368" i="43" s="1"/>
  <c r="AI367" i="43" s="1"/>
  <c r="AI219" i="43" s="1"/>
  <c r="AI324" i="43"/>
  <c r="AI263" i="43" s="1"/>
  <c r="AI262" i="43" s="1"/>
  <c r="AI202" i="43" s="1"/>
  <c r="H67" i="248" s="1"/>
  <c r="AI323" i="43"/>
  <c r="AI350" i="43" s="1"/>
  <c r="AI326" i="43"/>
  <c r="AI363" i="43" s="1"/>
  <c r="AI362" i="43" s="1"/>
  <c r="AH244" i="43"/>
  <c r="AH162" i="43"/>
  <c r="AH165" i="43" s="1"/>
  <c r="AH12" i="43"/>
  <c r="AI35" i="43"/>
  <c r="AI46" i="43"/>
  <c r="AG418" i="43"/>
  <c r="AL36" i="43"/>
  <c r="AI48" i="43"/>
  <c r="AH51" i="43"/>
  <c r="AI49" i="43"/>
  <c r="AH58" i="43"/>
  <c r="T17" i="246"/>
  <c r="T50" i="246" s="1"/>
  <c r="AA420" i="43"/>
  <c r="AA410" i="43" s="1"/>
  <c r="AJ360" i="43"/>
  <c r="AH243" i="43"/>
  <c r="AG246" i="43"/>
  <c r="AI332" i="43"/>
  <c r="AJ161" i="43"/>
  <c r="AJ259" i="43"/>
  <c r="AJ369" i="43"/>
  <c r="AI42" i="43"/>
  <c r="AI354" i="43"/>
  <c r="AF81" i="43"/>
  <c r="AL9" i="43"/>
  <c r="AL93" i="43"/>
  <c r="AL159" i="43"/>
  <c r="X20" i="246"/>
  <c r="X16" i="246" s="1"/>
  <c r="AL41" i="43" s="1"/>
  <c r="AL57" i="43" s="1"/>
  <c r="AK52" i="43"/>
  <c r="AI331" i="43"/>
  <c r="V8" i="246"/>
  <c r="V41" i="246" s="1"/>
  <c r="AI11" i="43"/>
  <c r="AI163" i="43" s="1"/>
  <c r="AI50" i="43"/>
  <c r="AL101" i="43"/>
  <c r="AH206" i="43"/>
  <c r="AH355" i="43"/>
  <c r="AI53" i="43"/>
  <c r="AI10" i="43"/>
  <c r="AH245" i="43"/>
  <c r="AH140" i="43" l="1"/>
  <c r="Z81" i="246"/>
  <c r="J56" i="248"/>
  <c r="AL84" i="43"/>
  <c r="AK84" i="43"/>
  <c r="G57" i="248"/>
  <c r="G59" i="248" s="1"/>
  <c r="H64" i="248"/>
  <c r="AL207" i="43"/>
  <c r="AH27" i="43"/>
  <c r="K55" i="248"/>
  <c r="K56" i="248" s="1"/>
  <c r="AK57" i="43"/>
  <c r="W14" i="246"/>
  <c r="W15" i="246"/>
  <c r="W5" i="246"/>
  <c r="W12" i="246"/>
  <c r="W7" i="246"/>
  <c r="W6" i="246"/>
  <c r="W39" i="246" s="1"/>
  <c r="W13" i="246"/>
  <c r="W9" i="246"/>
  <c r="X14" i="246"/>
  <c r="X47" i="246" s="1"/>
  <c r="X12" i="246"/>
  <c r="X45" i="246" s="1"/>
  <c r="X5" i="246"/>
  <c r="X38" i="246" s="1"/>
  <c r="X7" i="246"/>
  <c r="X40" i="246" s="1"/>
  <c r="X6" i="246"/>
  <c r="X39" i="246" s="1"/>
  <c r="X9" i="246"/>
  <c r="X42" i="246" s="1"/>
  <c r="X13" i="246"/>
  <c r="X46" i="246" s="1"/>
  <c r="X15" i="246"/>
  <c r="X48" i="246" s="1"/>
  <c r="AH293" i="43"/>
  <c r="X49" i="246"/>
  <c r="X59" i="246"/>
  <c r="AK161" i="43"/>
  <c r="AK318" i="43" s="1"/>
  <c r="AK358" i="43" s="1"/>
  <c r="W49" i="246"/>
  <c r="W59" i="246"/>
  <c r="W44" i="246"/>
  <c r="X44" i="246"/>
  <c r="AM7" i="43"/>
  <c r="AM101" i="43"/>
  <c r="AN89" i="43"/>
  <c r="AN99" i="43"/>
  <c r="AN36" i="43"/>
  <c r="AK207" i="43"/>
  <c r="AK369" i="43"/>
  <c r="AL365" i="43" s="1"/>
  <c r="AL366" i="43" s="1"/>
  <c r="W8" i="246"/>
  <c r="W41" i="246" s="1"/>
  <c r="AK259" i="43"/>
  <c r="AK261" i="43" s="1"/>
  <c r="AJ321" i="43"/>
  <c r="AJ324" i="43" s="1"/>
  <c r="AJ263" i="43" s="1"/>
  <c r="AI245" i="43"/>
  <c r="AJ40" i="43"/>
  <c r="AJ42" i="43"/>
  <c r="I64" i="248" s="1"/>
  <c r="AJ354" i="43"/>
  <c r="AH418" i="43"/>
  <c r="AJ30" i="43"/>
  <c r="V10" i="246"/>
  <c r="V43" i="246" s="1"/>
  <c r="V58" i="246" s="1" a="1"/>
  <c r="V58" i="246" s="1"/>
  <c r="AG81" i="43"/>
  <c r="AI162" i="43"/>
  <c r="AI165" i="43" s="1"/>
  <c r="H57" i="248" s="1"/>
  <c r="AI12" i="43"/>
  <c r="AJ39" i="43"/>
  <c r="AJ33" i="43"/>
  <c r="AL161" i="43"/>
  <c r="AL259" i="43"/>
  <c r="AL369" i="43"/>
  <c r="AM365" i="43" s="1"/>
  <c r="AM366" i="43" s="1"/>
  <c r="AJ38" i="43"/>
  <c r="AJ32" i="43"/>
  <c r="AJ261" i="43"/>
  <c r="AI206" i="43"/>
  <c r="AI140" i="43" s="1"/>
  <c r="AI355" i="43"/>
  <c r="AJ34" i="43"/>
  <c r="X8" i="246"/>
  <c r="X41" i="246" s="1"/>
  <c r="AJ238" i="43"/>
  <c r="AK365" i="43"/>
  <c r="AK366" i="43" s="1"/>
  <c r="AH246" i="43"/>
  <c r="AI243" i="43"/>
  <c r="AJ37" i="43"/>
  <c r="AJ31" i="43"/>
  <c r="AI244" i="43"/>
  <c r="AI58" i="43"/>
  <c r="U17" i="246"/>
  <c r="U50" i="246" s="1"/>
  <c r="AJ318" i="43"/>
  <c r="AJ358" i="43" s="1"/>
  <c r="AJ417" i="43"/>
  <c r="AL52" i="43"/>
  <c r="AI51" i="43"/>
  <c r="AB81" i="246" l="1"/>
  <c r="AA81" i="246"/>
  <c r="G58" i="248"/>
  <c r="H59" i="248"/>
  <c r="H58" i="248"/>
  <c r="AP7" i="43"/>
  <c r="AM77" i="43"/>
  <c r="AM78" i="43" s="1"/>
  <c r="AM79" i="43" s="1"/>
  <c r="AI293" i="43"/>
  <c r="AM52" i="43"/>
  <c r="AI27" i="43"/>
  <c r="AK417" i="43"/>
  <c r="AK33" i="43"/>
  <c r="AK38" i="43"/>
  <c r="AK54" i="43" s="1"/>
  <c r="W46" i="246"/>
  <c r="AK31" i="43"/>
  <c r="AK34" i="43"/>
  <c r="W42" i="246"/>
  <c r="AK40" i="43"/>
  <c r="AK56" i="43" s="1"/>
  <c r="W48" i="246"/>
  <c r="AK37" i="43"/>
  <c r="W45" i="246"/>
  <c r="AK32" i="43"/>
  <c r="W40" i="246"/>
  <c r="AK39" i="43"/>
  <c r="AK55" i="43" s="1"/>
  <c r="W47" i="246"/>
  <c r="AK30" i="43"/>
  <c r="W38" i="246"/>
  <c r="AN7" i="43"/>
  <c r="AN77" i="43" s="1"/>
  <c r="AN101" i="43"/>
  <c r="AM9" i="43"/>
  <c r="AP9" i="43" s="1"/>
  <c r="AM93" i="43"/>
  <c r="AM159" i="43"/>
  <c r="Y20" i="246"/>
  <c r="Y16" i="246" s="1"/>
  <c r="AM41" i="43" s="1"/>
  <c r="AK238" i="43"/>
  <c r="AK321" i="43"/>
  <c r="AK323" i="43" s="1"/>
  <c r="AK350" i="43" s="1"/>
  <c r="W10" i="246"/>
  <c r="AL321" i="43"/>
  <c r="AL323" i="43" s="1"/>
  <c r="AL350" i="43" s="1"/>
  <c r="AK332" i="43"/>
  <c r="AJ323" i="43"/>
  <c r="AJ350" i="43" s="1"/>
  <c r="AJ326" i="43"/>
  <c r="AJ363" i="43" s="1"/>
  <c r="AJ362" i="43" s="1"/>
  <c r="AJ322" i="43"/>
  <c r="AJ344" i="43" s="1"/>
  <c r="AJ325" i="43"/>
  <c r="AJ368" i="43" s="1"/>
  <c r="AJ367" i="43" s="1"/>
  <c r="AJ219" i="43" s="1"/>
  <c r="AJ262" i="43"/>
  <c r="AJ202" i="43" s="1"/>
  <c r="I67" i="248" s="1"/>
  <c r="AJ332" i="43"/>
  <c r="AK331" i="43"/>
  <c r="AI246" i="43"/>
  <c r="AJ243" i="43"/>
  <c r="AJ48" i="43"/>
  <c r="AJ58" i="43"/>
  <c r="V17" i="246"/>
  <c r="V50" i="246" s="1"/>
  <c r="AL238" i="43"/>
  <c r="AJ49" i="43"/>
  <c r="AJ35" i="43"/>
  <c r="AJ46" i="43"/>
  <c r="AL37" i="43"/>
  <c r="AL40" i="43"/>
  <c r="AL56" i="43" s="1"/>
  <c r="AL30" i="43"/>
  <c r="X10" i="246"/>
  <c r="X43" i="246" s="1"/>
  <c r="X58" i="246" s="1" a="1"/>
  <c r="X58" i="246" s="1"/>
  <c r="AJ54" i="43"/>
  <c r="AL261" i="43"/>
  <c r="AI418" i="43"/>
  <c r="AH81" i="43"/>
  <c r="AJ56" i="43"/>
  <c r="AL38" i="43"/>
  <c r="AL54" i="43" s="1"/>
  <c r="AL32" i="43"/>
  <c r="AL48" i="43" s="1"/>
  <c r="AJ11" i="43"/>
  <c r="AJ50" i="43"/>
  <c r="AJ47" i="43"/>
  <c r="AL31" i="43"/>
  <c r="AL47" i="43" s="1"/>
  <c r="AK360" i="43"/>
  <c r="AL34" i="43"/>
  <c r="AJ244" i="43"/>
  <c r="AJ53" i="43"/>
  <c r="AJ10" i="43"/>
  <c r="AL39" i="43"/>
  <c r="AL55" i="43" s="1"/>
  <c r="AL33" i="43"/>
  <c r="AL49" i="43" s="1"/>
  <c r="AJ331" i="43"/>
  <c r="AL318" i="43"/>
  <c r="AL358" i="43" s="1"/>
  <c r="AM360" i="43" s="1"/>
  <c r="AL417" i="43"/>
  <c r="AJ55" i="43"/>
  <c r="AL360" i="43"/>
  <c r="AJ245" i="43"/>
  <c r="AP159" i="43" l="1"/>
  <c r="L55" i="248"/>
  <c r="AM57" i="43"/>
  <c r="AP41" i="43"/>
  <c r="AK47" i="43"/>
  <c r="AK11" i="43"/>
  <c r="AK163" i="43" s="1"/>
  <c r="Y14" i="246"/>
  <c r="Y47" i="246" s="1"/>
  <c r="Y5" i="246"/>
  <c r="Y38" i="246" s="1"/>
  <c r="Y7" i="246"/>
  <c r="Y40" i="246" s="1"/>
  <c r="Y6" i="246"/>
  <c r="Y39" i="246" s="1"/>
  <c r="Y9" i="246"/>
  <c r="Y42" i="246" s="1"/>
  <c r="Y15" i="246"/>
  <c r="Y48" i="246" s="1"/>
  <c r="Y13" i="246"/>
  <c r="Y46" i="246" s="1"/>
  <c r="Y12" i="246"/>
  <c r="Y45" i="246" s="1"/>
  <c r="AK46" i="43"/>
  <c r="AK49" i="43"/>
  <c r="AK50" i="43"/>
  <c r="AK53" i="43"/>
  <c r="W43" i="246"/>
  <c r="W58" i="246" s="1" a="1"/>
  <c r="W58" i="246" s="1"/>
  <c r="AK10" i="43"/>
  <c r="AK48" i="43"/>
  <c r="AK35" i="43"/>
  <c r="Y49" i="246"/>
  <c r="Y59" i="246"/>
  <c r="Y44" i="246"/>
  <c r="Y8" i="246"/>
  <c r="Y41" i="246" s="1"/>
  <c r="AM369" i="43"/>
  <c r="AM259" i="43"/>
  <c r="AM161" i="43"/>
  <c r="AP161" i="43" s="1"/>
  <c r="AN93" i="43"/>
  <c r="Z20" i="246"/>
  <c r="Z16" i="246" s="1"/>
  <c r="AN41" i="43" s="1"/>
  <c r="AN57" i="43" s="1"/>
  <c r="AN159" i="43"/>
  <c r="AN78" i="43"/>
  <c r="AN79" i="43" s="1"/>
  <c r="AN9" i="43"/>
  <c r="AM207" i="43"/>
  <c r="AM84" i="43"/>
  <c r="AM354" i="43"/>
  <c r="AM42" i="43"/>
  <c r="AN52" i="43"/>
  <c r="AL325" i="43"/>
  <c r="AL368" i="43" s="1"/>
  <c r="AL367" i="43" s="1"/>
  <c r="AL219" i="43" s="1"/>
  <c r="AL324" i="43"/>
  <c r="AL263" i="43" s="1"/>
  <c r="AL262" i="43" s="1"/>
  <c r="AL202" i="43" s="1"/>
  <c r="AK324" i="43"/>
  <c r="AK263" i="43" s="1"/>
  <c r="AK262" i="43" s="1"/>
  <c r="AK202" i="43" s="1"/>
  <c r="J67" i="248" s="1"/>
  <c r="AK322" i="43"/>
  <c r="AK344" i="43" s="1"/>
  <c r="AK325" i="43"/>
  <c r="AK368" i="43" s="1"/>
  <c r="AK367" i="43" s="1"/>
  <c r="AK219" i="43" s="1"/>
  <c r="AK326" i="43"/>
  <c r="AK363" i="43" s="1"/>
  <c r="AK362" i="43" s="1"/>
  <c r="AK206" i="43" s="1"/>
  <c r="AL326" i="43"/>
  <c r="AL363" i="43" s="1"/>
  <c r="AL362" i="43" s="1"/>
  <c r="AL206" i="43" s="1"/>
  <c r="AL322" i="43"/>
  <c r="AL344" i="43" s="1"/>
  <c r="AK42" i="43"/>
  <c r="J64" i="248" s="1"/>
  <c r="AK354" i="43"/>
  <c r="AL35" i="43"/>
  <c r="AL46" i="43"/>
  <c r="AJ246" i="43"/>
  <c r="AK243" i="43"/>
  <c r="AL331" i="43"/>
  <c r="AI81" i="43"/>
  <c r="AL53" i="43"/>
  <c r="AL10" i="43"/>
  <c r="AJ51" i="43"/>
  <c r="AK245" i="43"/>
  <c r="AK244" i="43"/>
  <c r="AL11" i="43"/>
  <c r="AL163" i="43" s="1"/>
  <c r="AL50" i="43"/>
  <c r="AJ163" i="43"/>
  <c r="AL42" i="43"/>
  <c r="AL354" i="43"/>
  <c r="AJ162" i="43"/>
  <c r="AJ12" i="43"/>
  <c r="AJ206" i="43"/>
  <c r="AJ140" i="43" s="1"/>
  <c r="AJ355" i="43"/>
  <c r="AL332" i="43"/>
  <c r="AC81" i="246" l="1"/>
  <c r="L64" i="248"/>
  <c r="M55" i="248"/>
  <c r="M56" i="248" s="1"/>
  <c r="L56" i="248"/>
  <c r="AP42" i="43"/>
  <c r="AJ27" i="43"/>
  <c r="K67" i="248"/>
  <c r="AM321" i="43"/>
  <c r="AM323" i="43" s="1"/>
  <c r="AM350" i="43" s="1"/>
  <c r="K64" i="248"/>
  <c r="AK162" i="43"/>
  <c r="AK165" i="43" s="1"/>
  <c r="Z14" i="246"/>
  <c r="Z47" i="246" s="1"/>
  <c r="Z9" i="246"/>
  <c r="Z42" i="246" s="1"/>
  <c r="Z15" i="246"/>
  <c r="Z48" i="246" s="1"/>
  <c r="Z13" i="246"/>
  <c r="Z46" i="246" s="1"/>
  <c r="Z5" i="246"/>
  <c r="Z38" i="246" s="1"/>
  <c r="Z6" i="246"/>
  <c r="Z39" i="246" s="1"/>
  <c r="Z12" i="246"/>
  <c r="Z45" i="246" s="1"/>
  <c r="Z7" i="246"/>
  <c r="Z40" i="246" s="1"/>
  <c r="AK12" i="43"/>
  <c r="AL140" i="43"/>
  <c r="AK51" i="43"/>
  <c r="Z49" i="246"/>
  <c r="Z59" i="246"/>
  <c r="Z44" i="246"/>
  <c r="AK140" i="43"/>
  <c r="Z8" i="246"/>
  <c r="Z41" i="246" s="1"/>
  <c r="AM318" i="43"/>
  <c r="AM358" i="43" s="1"/>
  <c r="AM417" i="43"/>
  <c r="AM40" i="43"/>
  <c r="AM38" i="43"/>
  <c r="AM31" i="43"/>
  <c r="AM58" i="43"/>
  <c r="Y17" i="246"/>
  <c r="Y50" i="246" s="1"/>
  <c r="AN161" i="43"/>
  <c r="AN259" i="43"/>
  <c r="AN369" i="43"/>
  <c r="AM33" i="43"/>
  <c r="AM261" i="43"/>
  <c r="AM32" i="43"/>
  <c r="AM37" i="43"/>
  <c r="AP37" i="43" s="1"/>
  <c r="AM30" i="43"/>
  <c r="AP30" i="43" s="1"/>
  <c r="Y10" i="246"/>
  <c r="Y43" i="246" s="1"/>
  <c r="Y58" i="246" s="1" a="1"/>
  <c r="Y58" i="246" s="1"/>
  <c r="AN84" i="43"/>
  <c r="AD81" i="246" s="1"/>
  <c r="AN207" i="43"/>
  <c r="AN321" i="43" s="1"/>
  <c r="AM238" i="43"/>
  <c r="AN365" i="43"/>
  <c r="AN366" i="43" s="1"/>
  <c r="AM39" i="43"/>
  <c r="AM34" i="43"/>
  <c r="AP34" i="43" s="1"/>
  <c r="AK355" i="43"/>
  <c r="AJ165" i="43"/>
  <c r="I57" i="248" s="1"/>
  <c r="AL355" i="43"/>
  <c r="AL243" i="43"/>
  <c r="AK246" i="43"/>
  <c r="AL58" i="43"/>
  <c r="X17" i="246"/>
  <c r="X50" i="246" s="1"/>
  <c r="AL244" i="43"/>
  <c r="AL245" i="43"/>
  <c r="AL162" i="43"/>
  <c r="AL165" i="43" s="1"/>
  <c r="AL12" i="43"/>
  <c r="AL51" i="43"/>
  <c r="AK58" i="43"/>
  <c r="W17" i="246"/>
  <c r="W50" i="246" s="1"/>
  <c r="I58" i="248" l="1"/>
  <c r="I59" i="248"/>
  <c r="AM54" i="43"/>
  <c r="AP38" i="43"/>
  <c r="AM49" i="43"/>
  <c r="AP33" i="43"/>
  <c r="AM56" i="43"/>
  <c r="AP40" i="43"/>
  <c r="AM55" i="43"/>
  <c r="AP39" i="43"/>
  <c r="AM48" i="43"/>
  <c r="AP32" i="43"/>
  <c r="AM47" i="43"/>
  <c r="AP31" i="43"/>
  <c r="AM326" i="43"/>
  <c r="AM363" i="43" s="1"/>
  <c r="AM362" i="43" s="1"/>
  <c r="AM322" i="43"/>
  <c r="AM344" i="43" s="1"/>
  <c r="AM324" i="43"/>
  <c r="AM263" i="43" s="1"/>
  <c r="AM262" i="43" s="1"/>
  <c r="AM202" i="43" s="1"/>
  <c r="L67" i="248" s="1"/>
  <c r="AM325" i="43"/>
  <c r="AM368" i="43" s="1"/>
  <c r="AM367" i="43" s="1"/>
  <c r="AM219" i="43" s="1"/>
  <c r="AK418" i="43"/>
  <c r="AK81" i="43" s="1"/>
  <c r="K57" i="248"/>
  <c r="AL27" i="43"/>
  <c r="AJ293" i="43"/>
  <c r="J57" i="248"/>
  <c r="AK27" i="43"/>
  <c r="AL293" i="43"/>
  <c r="AL291" i="43" s="1"/>
  <c r="AL306" i="43" s="1"/>
  <c r="AK293" i="43"/>
  <c r="AK291" i="43" s="1"/>
  <c r="AK306" i="43" s="1"/>
  <c r="AM331" i="43"/>
  <c r="AM332" i="43"/>
  <c r="AN40" i="43"/>
  <c r="AN56" i="43" s="1"/>
  <c r="AM53" i="43"/>
  <c r="AM10" i="43"/>
  <c r="AP10" i="43" s="1"/>
  <c r="AM11" i="43"/>
  <c r="AM50" i="43"/>
  <c r="AM244" i="43"/>
  <c r="AN325" i="43"/>
  <c r="AN368" i="43" s="1"/>
  <c r="AN367" i="43" s="1"/>
  <c r="AN219" i="43" s="1"/>
  <c r="AN324" i="43"/>
  <c r="AN263" i="43" s="1"/>
  <c r="AN322" i="43"/>
  <c r="AN344" i="43" s="1"/>
  <c r="AN323" i="43"/>
  <c r="AN350" i="43" s="1"/>
  <c r="AN326" i="43"/>
  <c r="AN363" i="43" s="1"/>
  <c r="AN261" i="43"/>
  <c r="AN37" i="43"/>
  <c r="AN30" i="43"/>
  <c r="Z10" i="246"/>
  <c r="Z43" i="246" s="1"/>
  <c r="Z58" i="246" s="1" a="1"/>
  <c r="Z58" i="246" s="1"/>
  <c r="AN38" i="43"/>
  <c r="AN54" i="43" s="1"/>
  <c r="AN238" i="43"/>
  <c r="AN360" i="43"/>
  <c r="AN39" i="43"/>
  <c r="AN55" i="43" s="1"/>
  <c r="AN31" i="43"/>
  <c r="AN47" i="43" s="1"/>
  <c r="AN34" i="43"/>
  <c r="AM245" i="43"/>
  <c r="AM46" i="43"/>
  <c r="AM35" i="43"/>
  <c r="AN417" i="43"/>
  <c r="AN318" i="43"/>
  <c r="AN358" i="43" s="1"/>
  <c r="AN33" i="43"/>
  <c r="AN49" i="43" s="1"/>
  <c r="AN32" i="43"/>
  <c r="AN48" i="43" s="1"/>
  <c r="AM243" i="43"/>
  <c r="AJ418" i="43"/>
  <c r="AL246" i="43"/>
  <c r="AL418" i="43"/>
  <c r="AM51" i="43" l="1"/>
  <c r="AP35" i="43"/>
  <c r="AM163" i="43"/>
  <c r="AP11" i="43"/>
  <c r="K59" i="248"/>
  <c r="K58" i="248"/>
  <c r="J58" i="248"/>
  <c r="J59" i="248"/>
  <c r="AL307" i="43"/>
  <c r="AL305" i="43"/>
  <c r="AL309" i="43" s="1"/>
  <c r="AK307" i="43"/>
  <c r="AL308" i="43"/>
  <c r="AK305" i="43"/>
  <c r="AK309" i="43" s="1"/>
  <c r="AN244" i="43"/>
  <c r="AN245" i="43"/>
  <c r="AN11" i="43"/>
  <c r="AN163" i="43" s="1"/>
  <c r="AN50" i="43"/>
  <c r="AN53" i="43"/>
  <c r="AN10" i="43"/>
  <c r="AM355" i="43"/>
  <c r="AM206" i="43"/>
  <c r="AM140" i="43" s="1"/>
  <c r="AN362" i="43"/>
  <c r="AN42" i="43"/>
  <c r="M64" i="248" s="1"/>
  <c r="AN354" i="43"/>
  <c r="AN35" i="43"/>
  <c r="AN51" i="43" s="1"/>
  <c r="AN46" i="43"/>
  <c r="AN262" i="43"/>
  <c r="AN202" i="43" s="1"/>
  <c r="M67" i="248" s="1"/>
  <c r="AM162" i="43"/>
  <c r="AM12" i="43"/>
  <c r="AP12" i="43" s="1"/>
  <c r="AN332" i="43"/>
  <c r="AN331" i="43"/>
  <c r="AM246" i="43"/>
  <c r="AN243" i="43"/>
  <c r="AJ81" i="43"/>
  <c r="AL81" i="43"/>
  <c r="AL213" i="43"/>
  <c r="AM165" i="43" l="1"/>
  <c r="AM418" i="43" s="1"/>
  <c r="AM81" i="43" s="1"/>
  <c r="AM27" i="43"/>
  <c r="AN246" i="43"/>
  <c r="AN162" i="43"/>
  <c r="AN165" i="43" s="1"/>
  <c r="AN12" i="43"/>
  <c r="AN27" i="43" s="1"/>
  <c r="Z17" i="246"/>
  <c r="Z50" i="246" s="1"/>
  <c r="AN58" i="43"/>
  <c r="AN206" i="43"/>
  <c r="AN140" i="43" s="1"/>
  <c r="AN355" i="43"/>
  <c r="AM293" i="43" l="1"/>
  <c r="AM291" i="43" s="1"/>
  <c r="AM306" i="43" s="1"/>
  <c r="AM308" i="43" s="1"/>
  <c r="L57" i="248"/>
  <c r="AP165" i="43"/>
  <c r="AN293" i="43"/>
  <c r="AN291" i="43" s="1"/>
  <c r="AN418" i="43"/>
  <c r="AN81" i="43" s="1"/>
  <c r="AM213" i="43" l="1"/>
  <c r="AM307" i="43"/>
  <c r="AM305" i="43"/>
  <c r="AM309" i="43" s="1"/>
  <c r="M57" i="248"/>
  <c r="L59" i="248"/>
  <c r="L58" i="248"/>
  <c r="AN213" i="43"/>
  <c r="AN306" i="43"/>
  <c r="M59" i="248" l="1"/>
  <c r="M58" i="248"/>
  <c r="AN307" i="43"/>
  <c r="AN305" i="43"/>
  <c r="AN309" i="43" s="1"/>
  <c r="AN308" i="43"/>
  <c r="AA399" i="43"/>
  <c r="AA405" i="43"/>
  <c r="AA407" i="43" l="1"/>
  <c r="AA79" i="43"/>
  <c r="AA223" i="43"/>
  <c r="AA80" i="43" l="1"/>
  <c r="AA84" i="43"/>
  <c r="AA406" i="43"/>
  <c r="Q80" i="246" l="1"/>
  <c r="Q81" i="246"/>
  <c r="AA81" i="43"/>
  <c r="AA408" i="43"/>
  <c r="AA411" i="43" l="1"/>
  <c r="AA412" i="43"/>
  <c r="AA413" i="43" l="1"/>
  <c r="AA186" i="43" l="1"/>
  <c r="AA187" i="43" s="1"/>
  <c r="AA270" i="43"/>
  <c r="AA271" i="43" s="1"/>
  <c r="AA400" i="43"/>
  <c r="AA401" i="43"/>
  <c r="AA204" i="43" l="1"/>
  <c r="AA280" i="43"/>
  <c r="AA282" i="43" s="1"/>
  <c r="AA402" i="43"/>
  <c r="AA404" i="43" s="1"/>
  <c r="AA188" i="43"/>
  <c r="AA191" i="43"/>
  <c r="AA306" i="43"/>
  <c r="AB308" i="43" s="1"/>
  <c r="AB310" i="43" s="1"/>
  <c r="AB311" i="43" s="1"/>
  <c r="AC311" i="43" s="1"/>
  <c r="AD311" i="43" s="1"/>
  <c r="AE311" i="43" s="1"/>
  <c r="AF311" i="43" s="1"/>
  <c r="AG311" i="43" s="1"/>
  <c r="AH311" i="43" s="1"/>
  <c r="AI311" i="43" s="1"/>
  <c r="AJ311" i="43" s="1"/>
  <c r="AK311" i="43" s="1"/>
  <c r="AL311" i="43" l="1"/>
  <c r="AK310" i="43"/>
  <c r="AA307" i="43"/>
  <c r="AA277" i="43"/>
  <c r="AA403" i="43"/>
  <c r="AA309" i="43"/>
  <c r="AA308" i="43"/>
  <c r="AA310" i="43" s="1"/>
  <c r="AM311" i="43" l="1"/>
  <c r="AL310" i="43"/>
  <c r="AL312" i="43" s="1"/>
  <c r="AA311" i="43"/>
  <c r="AL20" i="43" l="1"/>
  <c r="AL173" i="43" s="1"/>
  <c r="AN311" i="43"/>
  <c r="AN310" i="43" s="1"/>
  <c r="AN312" i="43" s="1"/>
  <c r="AM310" i="43"/>
  <c r="AM312" i="43" s="1"/>
  <c r="AM20" i="43" l="1"/>
  <c r="AM173" i="43" s="1"/>
  <c r="AN20" i="43"/>
  <c r="AN173" i="43" s="1"/>
  <c r="AE255" i="43" l="1"/>
  <c r="AF255" i="43" s="1"/>
  <c r="AG255" i="43" s="1"/>
  <c r="AH255" i="43" s="1"/>
  <c r="AI255" i="43" s="1"/>
  <c r="AJ255" i="43" s="1"/>
  <c r="AK255" i="43" s="1"/>
  <c r="AL255" i="43" s="1"/>
  <c r="AM255" i="43" s="1"/>
  <c r="AN255" i="43" s="1"/>
  <c r="AC269" i="43"/>
  <c r="AD269" i="43"/>
  <c r="AE269" i="43"/>
  <c r="AF269" i="43"/>
  <c r="AG269" i="43"/>
  <c r="AH269" i="43"/>
  <c r="AI269" i="43"/>
  <c r="AJ269" i="43"/>
  <c r="AK269" i="43"/>
  <c r="AL269" i="43"/>
  <c r="AC281" i="43"/>
  <c r="AD281" i="43"/>
  <c r="AE281" i="43"/>
  <c r="AF281" i="43"/>
  <c r="AG281" i="43"/>
  <c r="AH281" i="43"/>
  <c r="AI281" i="43"/>
  <c r="AJ281" i="43"/>
  <c r="AK281" i="43"/>
  <c r="AL281" i="43"/>
  <c r="AQ269" i="43" l="1"/>
  <c r="AP269" i="43"/>
  <c r="AB419" i="43"/>
  <c r="AB23" i="43" l="1"/>
  <c r="AB25" i="43"/>
  <c r="AB420" i="43" l="1"/>
  <c r="AB410" i="43" s="1"/>
  <c r="AB79" i="43"/>
  <c r="AB80" i="43" l="1"/>
  <c r="AB84" i="43"/>
  <c r="AB81" i="43" l="1"/>
  <c r="R80" i="246"/>
  <c r="R81" i="246"/>
  <c r="AC342" i="43"/>
  <c r="AC353" i="43"/>
  <c r="AC356" i="43" s="1"/>
  <c r="AC348" i="43"/>
  <c r="AC351" i="43" s="1"/>
  <c r="AC234" i="43" l="1"/>
  <c r="AC330" i="43"/>
  <c r="AD348" i="43"/>
  <c r="AD351" i="43" s="1"/>
  <c r="AC233" i="43"/>
  <c r="AD353" i="43"/>
  <c r="AD356" i="43" s="1"/>
  <c r="AC333" i="43"/>
  <c r="AC250" i="43"/>
  <c r="AD250" i="43" s="1"/>
  <c r="AE250" i="43" s="1"/>
  <c r="AF250" i="43" s="1"/>
  <c r="AG250" i="43" s="1"/>
  <c r="AH250" i="43" s="1"/>
  <c r="AI250" i="43" s="1"/>
  <c r="AJ250" i="43" s="1"/>
  <c r="AK250" i="43" s="1"/>
  <c r="AL250" i="43" s="1"/>
  <c r="AM250" i="43" s="1"/>
  <c r="AN250" i="43" s="1"/>
  <c r="AC343" i="43"/>
  <c r="AC43" i="43" s="1"/>
  <c r="AQ43" i="43" s="1"/>
  <c r="AB399" i="43"/>
  <c r="AB405" i="43"/>
  <c r="AB407" i="43" l="1"/>
  <c r="AB406" i="43"/>
  <c r="AB408" i="43" s="1"/>
  <c r="AD233" i="43"/>
  <c r="AD333" i="43"/>
  <c r="AE353" i="43"/>
  <c r="AE356" i="43" s="1"/>
  <c r="AC44" i="43"/>
  <c r="AC59" i="43"/>
  <c r="O18" i="246"/>
  <c r="O51" i="246" s="1"/>
  <c r="AC13" i="43"/>
  <c r="AB412" i="43"/>
  <c r="AB411" i="43"/>
  <c r="AD234" i="43"/>
  <c r="AD330" i="43"/>
  <c r="AE348" i="43"/>
  <c r="AE351" i="43" s="1"/>
  <c r="AC345" i="43"/>
  <c r="AQ13" i="43" l="1"/>
  <c r="AC60" i="43"/>
  <c r="AQ44" i="43"/>
  <c r="AB413" i="43"/>
  <c r="AD342" i="43"/>
  <c r="AC329" i="43"/>
  <c r="AC235" i="43"/>
  <c r="AE330" i="43"/>
  <c r="AF348" i="43"/>
  <c r="AF351" i="43" s="1"/>
  <c r="AE234" i="43"/>
  <c r="AC166" i="43"/>
  <c r="O19" i="246"/>
  <c r="O52" i="246" s="1"/>
  <c r="AE333" i="43"/>
  <c r="AE233" i="43"/>
  <c r="AF353" i="43"/>
  <c r="AF356" i="43" s="1"/>
  <c r="AC196" i="43" l="1"/>
  <c r="AF233" i="43"/>
  <c r="AG353" i="43"/>
  <c r="AG356" i="43" s="1"/>
  <c r="AF333" i="43"/>
  <c r="AF234" i="43"/>
  <c r="AF330" i="43"/>
  <c r="AG348" i="43"/>
  <c r="AG351" i="43" s="1"/>
  <c r="AD343" i="43"/>
  <c r="AD43" i="43" s="1"/>
  <c r="C65" i="248" s="1"/>
  <c r="AD13" i="43" l="1"/>
  <c r="AD44" i="43"/>
  <c r="AD60" i="43" s="1"/>
  <c r="AD59" i="43"/>
  <c r="P18" i="246"/>
  <c r="P51" i="246" s="1"/>
  <c r="AG234" i="43"/>
  <c r="AG330" i="43"/>
  <c r="AH348" i="43"/>
  <c r="AH351" i="43" s="1"/>
  <c r="AD345" i="43"/>
  <c r="AG233" i="43"/>
  <c r="AH353" i="43"/>
  <c r="AH356" i="43" s="1"/>
  <c r="AG333" i="43"/>
  <c r="AD235" i="43" l="1"/>
  <c r="AE342" i="43"/>
  <c r="AD329" i="43"/>
  <c r="P19" i="246"/>
  <c r="P52" i="246" s="1"/>
  <c r="AH330" i="43"/>
  <c r="AI348" i="43"/>
  <c r="AI351" i="43" s="1"/>
  <c r="AH234" i="43"/>
  <c r="AH233" i="43"/>
  <c r="AH333" i="43"/>
  <c r="AI353" i="43"/>
  <c r="AI356" i="43" s="1"/>
  <c r="AD166" i="43"/>
  <c r="AI233" i="43" l="1"/>
  <c r="AI333" i="43"/>
  <c r="AJ353" i="43"/>
  <c r="AJ356" i="43" s="1"/>
  <c r="AE343" i="43"/>
  <c r="AE43" i="43" s="1"/>
  <c r="D65" i="248" s="1"/>
  <c r="AI234" i="43"/>
  <c r="AI330" i="43"/>
  <c r="AJ348" i="43"/>
  <c r="AJ351" i="43" s="1"/>
  <c r="AD196" i="43"/>
  <c r="AE345" i="43" l="1"/>
  <c r="AF342" i="43" s="1"/>
  <c r="AJ234" i="43"/>
  <c r="AJ330" i="43"/>
  <c r="AK348" i="43"/>
  <c r="AK351" i="43" s="1"/>
  <c r="AE59" i="43"/>
  <c r="AE13" i="43"/>
  <c r="AE44" i="43"/>
  <c r="AE60" i="43" s="1"/>
  <c r="Q18" i="246"/>
  <c r="Q51" i="246" s="1"/>
  <c r="AK353" i="43"/>
  <c r="AK356" i="43" s="1"/>
  <c r="AJ233" i="43"/>
  <c r="AJ333" i="43"/>
  <c r="AE235" i="43" l="1"/>
  <c r="AE329" i="43"/>
  <c r="AK233" i="43"/>
  <c r="AL353" i="43"/>
  <c r="AL356" i="43" s="1"/>
  <c r="AK333" i="43"/>
  <c r="Q19" i="246"/>
  <c r="Q52" i="246" s="1"/>
  <c r="AK234" i="43"/>
  <c r="AK330" i="43"/>
  <c r="AL348" i="43"/>
  <c r="AL351" i="43" s="1"/>
  <c r="AF343" i="43"/>
  <c r="AF43" i="43" s="1"/>
  <c r="E65" i="248" s="1"/>
  <c r="AE166" i="43"/>
  <c r="AE196" i="43" l="1"/>
  <c r="AL234" i="43"/>
  <c r="AL330" i="43"/>
  <c r="AM348" i="43"/>
  <c r="AM351" i="43" s="1"/>
  <c r="AF13" i="43"/>
  <c r="AF59" i="43"/>
  <c r="AF44" i="43"/>
  <c r="AF60" i="43" s="1"/>
  <c r="R18" i="246"/>
  <c r="R51" i="246" s="1"/>
  <c r="AL233" i="43"/>
  <c r="AL333" i="43"/>
  <c r="AM353" i="43"/>
  <c r="AM356" i="43" s="1"/>
  <c r="AF345" i="43"/>
  <c r="AF235" i="43" l="1"/>
  <c r="AF329" i="43"/>
  <c r="AG342" i="43"/>
  <c r="R19" i="246"/>
  <c r="R52" i="246" s="1"/>
  <c r="AM333" i="43"/>
  <c r="AM233" i="43"/>
  <c r="AN353" i="43"/>
  <c r="AN356" i="43" s="1"/>
  <c r="AM330" i="43"/>
  <c r="AN348" i="43"/>
  <c r="AN351" i="43" s="1"/>
  <c r="AM234" i="43"/>
  <c r="AF166" i="43"/>
  <c r="AF196" i="43" l="1"/>
  <c r="AN233" i="43"/>
  <c r="AN333" i="43"/>
  <c r="AG343" i="43"/>
  <c r="AG43" i="43" s="1"/>
  <c r="F65" i="248" s="1"/>
  <c r="AN234" i="43"/>
  <c r="AN330" i="43"/>
  <c r="AG44" i="43" l="1"/>
  <c r="AG60" i="43" s="1"/>
  <c r="AG13" i="43"/>
  <c r="AG59" i="43"/>
  <c r="S18" i="246"/>
  <c r="S51" i="246" s="1"/>
  <c r="AG345" i="43"/>
  <c r="AG166" i="43" l="1"/>
  <c r="AH342" i="43"/>
  <c r="AG235" i="43"/>
  <c r="AG329" i="43"/>
  <c r="S19" i="246"/>
  <c r="S52" i="246" s="1"/>
  <c r="AG196" i="43" l="1"/>
  <c r="AH343" i="43"/>
  <c r="AH43" i="43" s="1"/>
  <c r="G65" i="248" s="1"/>
  <c r="AH345" i="43" l="1"/>
  <c r="AH13" i="43"/>
  <c r="AH44" i="43"/>
  <c r="AH60" i="43" s="1"/>
  <c r="AH59" i="43"/>
  <c r="T18" i="246"/>
  <c r="T51" i="246" s="1"/>
  <c r="AH166" i="43" l="1"/>
  <c r="T19" i="246"/>
  <c r="T52" i="246" s="1"/>
  <c r="AI342" i="43"/>
  <c r="AH235" i="43"/>
  <c r="AH329" i="43"/>
  <c r="AH196" i="43" l="1"/>
  <c r="AI343" i="43"/>
  <c r="AI43" i="43" s="1"/>
  <c r="H65" i="248" s="1"/>
  <c r="AI13" i="43" l="1"/>
  <c r="AI59" i="43"/>
  <c r="AI44" i="43"/>
  <c r="AI60" i="43" s="1"/>
  <c r="U18" i="246"/>
  <c r="U51" i="246" s="1"/>
  <c r="AI345" i="43"/>
  <c r="AI235" i="43" l="1"/>
  <c r="AJ342" i="43"/>
  <c r="AI329" i="43"/>
  <c r="AI166" i="43"/>
  <c r="U19" i="246"/>
  <c r="U52" i="246" s="1"/>
  <c r="AJ343" i="43" l="1"/>
  <c r="AJ43" i="43" s="1"/>
  <c r="I65" i="248" s="1"/>
  <c r="AI196" i="43"/>
  <c r="AJ13" i="43" l="1"/>
  <c r="AJ59" i="43"/>
  <c r="AJ44" i="43"/>
  <c r="AJ60" i="43" s="1"/>
  <c r="V18" i="246"/>
  <c r="V51" i="246" s="1"/>
  <c r="AJ345" i="43"/>
  <c r="V19" i="246" l="1"/>
  <c r="V52" i="246" s="1"/>
  <c r="AJ235" i="43"/>
  <c r="AJ329" i="43"/>
  <c r="AK342" i="43"/>
  <c r="AJ166" i="43"/>
  <c r="AJ196" i="43" l="1"/>
  <c r="AK343" i="43"/>
  <c r="AK43" i="43" s="1"/>
  <c r="J65" i="248" s="1"/>
  <c r="AK345" i="43" l="1"/>
  <c r="AK235" i="43" s="1"/>
  <c r="AK44" i="43"/>
  <c r="AK59" i="43"/>
  <c r="AK13" i="43"/>
  <c r="W18" i="246"/>
  <c r="W51" i="246" s="1"/>
  <c r="AK329" i="43" l="1"/>
  <c r="AL342" i="43"/>
  <c r="AL343" i="43" s="1"/>
  <c r="AL43" i="43" s="1"/>
  <c r="K65" i="248" s="1"/>
  <c r="W19" i="246"/>
  <c r="W52" i="246" s="1"/>
  <c r="AK60" i="43"/>
  <c r="AK166" i="43"/>
  <c r="AL13" i="43" l="1"/>
  <c r="AL44" i="43"/>
  <c r="AL60" i="43" s="1"/>
  <c r="AL59" i="43"/>
  <c r="X18" i="246"/>
  <c r="X51" i="246" s="1"/>
  <c r="AK196" i="43"/>
  <c r="AL345" i="43"/>
  <c r="AL166" i="43" l="1"/>
  <c r="AL235" i="43"/>
  <c r="AM342" i="43"/>
  <c r="AL329" i="43"/>
  <c r="X19" i="246"/>
  <c r="X52" i="246" s="1"/>
  <c r="AL196" i="43" l="1"/>
  <c r="AM343" i="43"/>
  <c r="AM43" i="43" s="1"/>
  <c r="L65" i="248" s="1"/>
  <c r="AP43" i="43" l="1"/>
  <c r="AM345" i="43"/>
  <c r="AM235" i="43" s="1"/>
  <c r="AM44" i="43"/>
  <c r="AM13" i="43"/>
  <c r="Y18" i="246"/>
  <c r="Y51" i="246" s="1"/>
  <c r="AM59" i="43"/>
  <c r="AP13" i="43" l="1"/>
  <c r="AM60" i="43"/>
  <c r="AP44" i="43"/>
  <c r="AN342" i="43"/>
  <c r="AN343" i="43" s="1"/>
  <c r="AN43" i="43" s="1"/>
  <c r="AM329" i="43"/>
  <c r="AM166" i="43"/>
  <c r="Y19" i="246"/>
  <c r="Y52" i="246" s="1"/>
  <c r="AN345" i="43" l="1"/>
  <c r="AN329" i="43" s="1"/>
  <c r="AM196" i="43"/>
  <c r="AN13" i="43"/>
  <c r="AN59" i="43"/>
  <c r="AN44" i="43"/>
  <c r="AN60" i="43" s="1"/>
  <c r="Z18" i="246"/>
  <c r="Z51" i="246" s="1"/>
  <c r="AN235" i="43" l="1"/>
  <c r="Z19" i="246"/>
  <c r="Z52" i="246" s="1"/>
  <c r="AN166" i="43"/>
  <c r="AN196" i="43" l="1"/>
  <c r="AB186" i="43"/>
  <c r="AB400" i="43"/>
  <c r="AB401" i="43"/>
  <c r="AB204" i="43" l="1"/>
  <c r="AB187" i="43"/>
  <c r="AB280" i="43" s="1"/>
  <c r="AB282" i="43" l="1"/>
  <c r="AB277" i="43"/>
  <c r="AB191" i="43"/>
  <c r="AB188" i="43"/>
  <c r="AB402" i="43"/>
  <c r="AB403" i="43" l="1"/>
  <c r="AB404" i="43"/>
  <c r="AD291" i="43"/>
  <c r="AD306" i="43" s="1"/>
  <c r="AD307" i="43" s="1"/>
  <c r="AD305" i="43" l="1"/>
  <c r="AD309" i="43" s="1"/>
  <c r="AD310" i="43" s="1"/>
  <c r="AC306" i="43" l="1"/>
  <c r="AD308" i="43" s="1"/>
  <c r="AD312" i="43" s="1"/>
  <c r="AD20" i="43" l="1"/>
  <c r="AD173" i="43" s="1"/>
  <c r="AC309" i="43"/>
  <c r="AC310" i="43" s="1"/>
  <c r="AC312" i="43" s="1"/>
  <c r="AC308" i="43"/>
  <c r="AC291" i="43"/>
  <c r="AD213" i="43" s="1"/>
  <c r="AC213" i="43" l="1"/>
  <c r="AC247" i="43" s="1"/>
  <c r="AC307" i="43"/>
  <c r="AC294" i="43"/>
  <c r="AD247" i="43"/>
  <c r="AC147" i="43"/>
  <c r="AD147" i="43"/>
  <c r="AE147" i="43"/>
  <c r="AF147" i="43"/>
  <c r="AG147" i="43"/>
  <c r="AH147" i="43"/>
  <c r="AI147" i="43"/>
  <c r="AJ147" i="43"/>
  <c r="AK147" i="43"/>
  <c r="AL147" i="43"/>
  <c r="AM147" i="43"/>
  <c r="AN147" i="43"/>
  <c r="C78" i="248" l="1"/>
  <c r="C38" i="248" s="1"/>
  <c r="D36" i="248" s="1"/>
  <c r="AC20" i="43"/>
  <c r="D37" i="248" l="1"/>
  <c r="D38" i="248"/>
  <c r="AC173" i="43"/>
  <c r="C40" i="248"/>
  <c r="C42" i="248" s="1"/>
  <c r="L38" i="248" s="1"/>
  <c r="L40" i="248" s="1"/>
  <c r="L37" i="248" s="1"/>
  <c r="J38" i="248" l="1"/>
  <c r="J40" i="248" s="1"/>
  <c r="J37" i="248" s="1"/>
  <c r="K38" i="248"/>
  <c r="K40" i="248" s="1"/>
  <c r="K37" i="248" s="1"/>
  <c r="C46" i="248"/>
  <c r="C74" i="248" l="1"/>
  <c r="E11" i="248"/>
  <c r="I23" i="248"/>
  <c r="K27" i="248"/>
  <c r="K28" i="248"/>
  <c r="J41" i="248"/>
  <c r="K41" i="248"/>
  <c r="L41" i="248"/>
  <c r="D46" i="248"/>
  <c r="E46" i="248"/>
  <c r="F46" i="248"/>
  <c r="G46" i="248"/>
  <c r="H46" i="248"/>
  <c r="I46" i="248"/>
  <c r="J46" i="248"/>
  <c r="K46" i="248"/>
  <c r="L46" i="248"/>
  <c r="M46" i="248"/>
  <c r="C53" i="248"/>
  <c r="D53" i="248"/>
  <c r="E53" i="248"/>
  <c r="F53" i="248"/>
  <c r="G53" i="248"/>
  <c r="H53" i="248"/>
  <c r="I53" i="248"/>
  <c r="J53" i="248"/>
  <c r="K53" i="248"/>
  <c r="L53" i="248"/>
  <c r="M53" i="248"/>
  <c r="D54" i="248"/>
  <c r="E54" i="248"/>
  <c r="F54" i="248"/>
  <c r="G54" i="248"/>
  <c r="H54" i="248"/>
  <c r="I54" i="248"/>
  <c r="J54" i="248"/>
  <c r="K54" i="248"/>
  <c r="L54" i="248"/>
  <c r="M54" i="248"/>
  <c r="C61" i="248"/>
  <c r="D61" i="248"/>
  <c r="E61" i="248"/>
  <c r="F61" i="248"/>
  <c r="G61" i="248"/>
  <c r="H61" i="248"/>
  <c r="I61" i="248"/>
  <c r="J61" i="248"/>
  <c r="K61" i="248"/>
  <c r="L61" i="248"/>
  <c r="M61" i="248"/>
  <c r="C62" i="248"/>
  <c r="D62" i="248"/>
  <c r="E62" i="248"/>
  <c r="F62" i="248"/>
  <c r="G62" i="248"/>
  <c r="H62" i="248"/>
  <c r="I62" i="248"/>
  <c r="J62" i="248"/>
  <c r="K62" i="248"/>
  <c r="L62" i="248"/>
  <c r="M62" i="248"/>
  <c r="C63" i="248"/>
  <c r="D63" i="248"/>
  <c r="E63" i="248"/>
  <c r="F63" i="248"/>
  <c r="G63" i="248"/>
  <c r="H63" i="248"/>
  <c r="I63" i="248"/>
  <c r="J63" i="248"/>
  <c r="K63" i="248"/>
  <c r="L63" i="248"/>
  <c r="M63" i="248"/>
  <c r="M65" i="248"/>
  <c r="C66" i="248"/>
  <c r="D66" i="248"/>
  <c r="E66" i="248"/>
  <c r="F66" i="248"/>
  <c r="G66" i="248"/>
  <c r="H66" i="248"/>
  <c r="I66" i="248"/>
  <c r="J66" i="248"/>
  <c r="K66" i="248"/>
  <c r="L66" i="248"/>
  <c r="M66" i="248"/>
  <c r="C68" i="248"/>
  <c r="D68" i="248"/>
  <c r="E68" i="248"/>
  <c r="F68" i="248"/>
  <c r="G68" i="248"/>
  <c r="H68" i="248"/>
  <c r="I68" i="248"/>
  <c r="J68" i="248"/>
  <c r="K68" i="248"/>
  <c r="L68" i="248"/>
  <c r="M68" i="248"/>
  <c r="C69" i="248"/>
  <c r="D69" i="248"/>
  <c r="E69" i="248"/>
  <c r="F69" i="248"/>
  <c r="G69" i="248"/>
  <c r="H69" i="248"/>
  <c r="I69" i="248"/>
  <c r="J69" i="248"/>
  <c r="K69" i="248"/>
  <c r="L69" i="248"/>
  <c r="M69" i="248"/>
  <c r="D70" i="248"/>
  <c r="E70" i="248"/>
  <c r="F70" i="248"/>
  <c r="G70" i="248"/>
  <c r="H70" i="248"/>
  <c r="I70" i="248"/>
  <c r="J70" i="248"/>
  <c r="K70" i="248"/>
  <c r="L70" i="248"/>
  <c r="M70" i="248"/>
  <c r="C71" i="248"/>
  <c r="D71" i="248"/>
  <c r="E71" i="248"/>
  <c r="F71" i="248"/>
  <c r="G71" i="248"/>
  <c r="H71" i="248"/>
  <c r="I71" i="248"/>
  <c r="J71" i="248"/>
  <c r="K71" i="248"/>
  <c r="L71" i="248"/>
  <c r="M71" i="248"/>
  <c r="C73" i="248"/>
  <c r="D73" i="248"/>
  <c r="E73" i="248"/>
  <c r="F73" i="248"/>
  <c r="G73" i="248"/>
  <c r="H73" i="248"/>
  <c r="I73" i="248"/>
  <c r="J73" i="248"/>
  <c r="K73" i="248"/>
  <c r="L73" i="248"/>
  <c r="D74" i="248"/>
  <c r="E74" i="248"/>
  <c r="F74" i="248"/>
  <c r="G74" i="248"/>
  <c r="H74" i="248"/>
  <c r="I74" i="248"/>
  <c r="J74" i="248"/>
  <c r="K74" i="248"/>
  <c r="L74" i="248"/>
  <c r="C75" i="248"/>
  <c r="D75" i="248"/>
  <c r="E75" i="248"/>
  <c r="F75" i="248"/>
  <c r="G75" i="248"/>
  <c r="H75" i="248"/>
  <c r="I75" i="248"/>
  <c r="J75" i="248"/>
  <c r="K75" i="248"/>
  <c r="L75" i="248"/>
  <c r="C77" i="248"/>
  <c r="L77" i="248"/>
  <c r="L78" i="248"/>
  <c r="C81" i="248"/>
  <c r="L81" i="248"/>
  <c r="C82" i="248"/>
  <c r="L82" i="248"/>
  <c r="L83" i="248"/>
  <c r="C84" i="248"/>
  <c r="L84" i="248"/>
  <c r="L85" i="248"/>
  <c r="L86" i="248"/>
  <c r="D1" i="43"/>
  <c r="E1" i="43"/>
  <c r="AC17" i="43"/>
  <c r="AD17" i="43"/>
  <c r="AE17" i="43"/>
  <c r="AF17" i="43"/>
  <c r="AG17" i="43"/>
  <c r="AH17" i="43"/>
  <c r="AI17" i="43"/>
  <c r="AJ17" i="43"/>
  <c r="AK17" i="43"/>
  <c r="AL17" i="43"/>
  <c r="AM17" i="43"/>
  <c r="AN17" i="43"/>
  <c r="AC18" i="43"/>
  <c r="AD18" i="43"/>
  <c r="AE18" i="43"/>
  <c r="AF18" i="43"/>
  <c r="AG18" i="43"/>
  <c r="AH18" i="43"/>
  <c r="AI18" i="43"/>
  <c r="AJ18" i="43"/>
  <c r="AK18" i="43"/>
  <c r="AL18" i="43"/>
  <c r="AM18" i="43"/>
  <c r="AN18" i="43"/>
  <c r="AP18" i="43"/>
  <c r="AQ18" i="43"/>
  <c r="AE20" i="43"/>
  <c r="AF20" i="43"/>
  <c r="AG20" i="43"/>
  <c r="AH20" i="43"/>
  <c r="AI20" i="43"/>
  <c r="AJ20" i="43"/>
  <c r="AK20" i="43"/>
  <c r="AC21" i="43"/>
  <c r="AD21" i="43"/>
  <c r="AE21" i="43"/>
  <c r="AF21" i="43"/>
  <c r="AG21" i="43"/>
  <c r="AH21" i="43"/>
  <c r="AI21" i="43"/>
  <c r="AJ21" i="43"/>
  <c r="AK21" i="43"/>
  <c r="AL21" i="43"/>
  <c r="AM21" i="43"/>
  <c r="AN21" i="43"/>
  <c r="AP21" i="43"/>
  <c r="AQ21" i="43"/>
  <c r="AC22" i="43"/>
  <c r="AD22" i="43"/>
  <c r="AE22" i="43"/>
  <c r="AF22" i="43"/>
  <c r="AG22" i="43"/>
  <c r="AH22" i="43"/>
  <c r="AI22" i="43"/>
  <c r="AJ22" i="43"/>
  <c r="AK22" i="43"/>
  <c r="AL22" i="43"/>
  <c r="AM22" i="43"/>
  <c r="AN22" i="43"/>
  <c r="AC24" i="43"/>
  <c r="AD24" i="43"/>
  <c r="AE24" i="43"/>
  <c r="AF24" i="43"/>
  <c r="AG24" i="43"/>
  <c r="AH24" i="43"/>
  <c r="AI24" i="43"/>
  <c r="AJ24" i="43"/>
  <c r="AK24" i="43"/>
  <c r="AL24" i="43"/>
  <c r="AM24" i="43"/>
  <c r="AN24" i="43"/>
  <c r="AC26" i="43"/>
  <c r="AD26" i="43"/>
  <c r="AE26" i="43"/>
  <c r="AF26" i="43"/>
  <c r="AG26" i="43"/>
  <c r="AH26" i="43"/>
  <c r="AI26" i="43"/>
  <c r="AJ26" i="43"/>
  <c r="AK26" i="43"/>
  <c r="AL26" i="43"/>
  <c r="AM26" i="43"/>
  <c r="AN26" i="43"/>
  <c r="AP26" i="43"/>
  <c r="AQ26" i="43"/>
  <c r="AC28" i="43"/>
  <c r="AD28" i="43"/>
  <c r="AE28" i="43"/>
  <c r="AF28" i="43"/>
  <c r="AG28" i="43"/>
  <c r="AH28" i="43"/>
  <c r="AI28" i="43"/>
  <c r="AJ28" i="43"/>
  <c r="AK28" i="43"/>
  <c r="AL28" i="43"/>
  <c r="AM28" i="43"/>
  <c r="AN28" i="43"/>
  <c r="Q83" i="43"/>
  <c r="R83" i="43"/>
  <c r="S83" i="43"/>
  <c r="T83" i="43"/>
  <c r="U83" i="43"/>
  <c r="Q84" i="43"/>
  <c r="R84" i="43"/>
  <c r="S84" i="43"/>
  <c r="T84" i="43"/>
  <c r="U84" i="43"/>
  <c r="AC139" i="43"/>
  <c r="AD139" i="43"/>
  <c r="AE139" i="43"/>
  <c r="AF139" i="43"/>
  <c r="AG139" i="43"/>
  <c r="AH139" i="43"/>
  <c r="AI139" i="43"/>
  <c r="AJ139" i="43"/>
  <c r="AK139" i="43"/>
  <c r="AL139" i="43"/>
  <c r="AM139" i="43"/>
  <c r="AN139" i="43"/>
  <c r="AC141" i="43"/>
  <c r="AD141" i="43"/>
  <c r="AE141" i="43"/>
  <c r="AF141" i="43"/>
  <c r="AG141" i="43"/>
  <c r="AH141" i="43"/>
  <c r="AI141" i="43"/>
  <c r="AJ141" i="43"/>
  <c r="AK141" i="43"/>
  <c r="AL141" i="43"/>
  <c r="AM141" i="43"/>
  <c r="AN141" i="43"/>
  <c r="I142" i="43"/>
  <c r="AC145" i="43"/>
  <c r="AD145" i="43"/>
  <c r="AE145" i="43"/>
  <c r="AF145" i="43"/>
  <c r="AG145" i="43"/>
  <c r="AH145" i="43"/>
  <c r="AI145" i="43"/>
  <c r="AJ145" i="43"/>
  <c r="AK145" i="43"/>
  <c r="AL145" i="43"/>
  <c r="AM145" i="43"/>
  <c r="AN145" i="43"/>
  <c r="F148" i="43"/>
  <c r="AC148" i="43"/>
  <c r="AD148" i="43"/>
  <c r="AE148" i="43"/>
  <c r="AF148" i="43"/>
  <c r="AG148" i="43"/>
  <c r="AH148" i="43"/>
  <c r="AI148" i="43"/>
  <c r="AJ148" i="43"/>
  <c r="AK148" i="43"/>
  <c r="AL148" i="43"/>
  <c r="AM148" i="43"/>
  <c r="AN148" i="43"/>
  <c r="AC149" i="43"/>
  <c r="AD149" i="43"/>
  <c r="AE149" i="43"/>
  <c r="AF149" i="43"/>
  <c r="AG149" i="43"/>
  <c r="AH149" i="43"/>
  <c r="AI149" i="43"/>
  <c r="AJ149" i="43"/>
  <c r="AK149" i="43"/>
  <c r="AL149" i="43"/>
  <c r="AM149" i="43"/>
  <c r="AN149" i="43"/>
  <c r="AC150" i="43"/>
  <c r="AD150" i="43"/>
  <c r="AE150" i="43"/>
  <c r="AF150" i="43"/>
  <c r="AG150" i="43"/>
  <c r="AH150" i="43"/>
  <c r="AI150" i="43"/>
  <c r="AJ150" i="43"/>
  <c r="AK150" i="43"/>
  <c r="AL150" i="43"/>
  <c r="AM150" i="43"/>
  <c r="AN150" i="43"/>
  <c r="AC151" i="43"/>
  <c r="AD151" i="43"/>
  <c r="AE151" i="43"/>
  <c r="AF151" i="43"/>
  <c r="AG151" i="43"/>
  <c r="AH151" i="43"/>
  <c r="AI151" i="43"/>
  <c r="AJ151" i="43"/>
  <c r="AK151" i="43"/>
  <c r="AL151" i="43"/>
  <c r="AM151" i="43"/>
  <c r="AN151" i="43"/>
  <c r="AC154" i="43"/>
  <c r="AD154" i="43"/>
  <c r="AE154" i="43"/>
  <c r="AF154" i="43"/>
  <c r="AG154" i="43"/>
  <c r="AH154" i="43"/>
  <c r="AI154" i="43"/>
  <c r="AJ154" i="43"/>
  <c r="AK154" i="43"/>
  <c r="AL154" i="43"/>
  <c r="AM154" i="43"/>
  <c r="AN154" i="43"/>
  <c r="AC170" i="43"/>
  <c r="AD170" i="43"/>
  <c r="AE170" i="43"/>
  <c r="AF170" i="43"/>
  <c r="AG170" i="43"/>
  <c r="AH170" i="43"/>
  <c r="AI170" i="43"/>
  <c r="AJ170" i="43"/>
  <c r="AK170" i="43"/>
  <c r="AL170" i="43"/>
  <c r="AM170" i="43"/>
  <c r="AN170" i="43"/>
  <c r="AC171" i="43"/>
  <c r="AD171" i="43"/>
  <c r="AE171" i="43"/>
  <c r="AF171" i="43"/>
  <c r="AG171" i="43"/>
  <c r="AH171" i="43"/>
  <c r="AI171" i="43"/>
  <c r="AJ171" i="43"/>
  <c r="AK171" i="43"/>
  <c r="AL171" i="43"/>
  <c r="AM171" i="43"/>
  <c r="AN171" i="43"/>
  <c r="AP171" i="43"/>
  <c r="AQ171" i="43"/>
  <c r="AE173" i="43"/>
  <c r="AF173" i="43"/>
  <c r="AG173" i="43"/>
  <c r="AH173" i="43"/>
  <c r="AI173" i="43"/>
  <c r="AJ173" i="43"/>
  <c r="AK173" i="43"/>
  <c r="AC174" i="43"/>
  <c r="AD174" i="43"/>
  <c r="AE174" i="43"/>
  <c r="AF174" i="43"/>
  <c r="AG174" i="43"/>
  <c r="AH174" i="43"/>
  <c r="AI174" i="43"/>
  <c r="AJ174" i="43"/>
  <c r="AK174" i="43"/>
  <c r="AL174" i="43"/>
  <c r="AM174" i="43"/>
  <c r="AN174" i="43"/>
  <c r="AP174" i="43"/>
  <c r="AQ174" i="43"/>
  <c r="AC175" i="43"/>
  <c r="AD175" i="43"/>
  <c r="AE175" i="43"/>
  <c r="AF175" i="43"/>
  <c r="AG175" i="43"/>
  <c r="AH175" i="43"/>
  <c r="AI175" i="43"/>
  <c r="AJ175" i="43"/>
  <c r="AK175" i="43"/>
  <c r="AL175" i="43"/>
  <c r="AM175" i="43"/>
  <c r="AN175" i="43"/>
  <c r="AC176" i="43"/>
  <c r="AD176" i="43"/>
  <c r="AE176" i="43"/>
  <c r="AF176" i="43"/>
  <c r="AG176" i="43"/>
  <c r="AH176" i="43"/>
  <c r="AI176" i="43"/>
  <c r="AJ176" i="43"/>
  <c r="AK176" i="43"/>
  <c r="AL176" i="43"/>
  <c r="AM176" i="43"/>
  <c r="AN176" i="43"/>
  <c r="AC177" i="43"/>
  <c r="AD177" i="43"/>
  <c r="AE177" i="43"/>
  <c r="AF177" i="43"/>
  <c r="AG177" i="43"/>
  <c r="AH177" i="43"/>
  <c r="AI177" i="43"/>
  <c r="AJ177" i="43"/>
  <c r="AK177" i="43"/>
  <c r="AL177" i="43"/>
  <c r="AM177" i="43"/>
  <c r="AN177" i="43"/>
  <c r="AC178" i="43"/>
  <c r="AD178" i="43"/>
  <c r="AE178" i="43"/>
  <c r="AF178" i="43"/>
  <c r="AG178" i="43"/>
  <c r="AH178" i="43"/>
  <c r="AI178" i="43"/>
  <c r="AJ178" i="43"/>
  <c r="AK178" i="43"/>
  <c r="AL178" i="43"/>
  <c r="AM178" i="43"/>
  <c r="AN178" i="43"/>
  <c r="AC179" i="43"/>
  <c r="AD179" i="43"/>
  <c r="AE179" i="43"/>
  <c r="AF179" i="43"/>
  <c r="AG179" i="43"/>
  <c r="AH179" i="43"/>
  <c r="AI179" i="43"/>
  <c r="AJ179" i="43"/>
  <c r="AK179" i="43"/>
  <c r="AL179" i="43"/>
  <c r="AM179" i="43"/>
  <c r="AN179" i="43"/>
  <c r="AP179" i="43"/>
  <c r="AQ179" i="43"/>
  <c r="AC183" i="43"/>
  <c r="AD183" i="43"/>
  <c r="AE183" i="43"/>
  <c r="AF183" i="43"/>
  <c r="AG183" i="43"/>
  <c r="AH183" i="43"/>
  <c r="AI183" i="43"/>
  <c r="AJ183" i="43"/>
  <c r="AK183" i="43"/>
  <c r="AL183" i="43"/>
  <c r="AM183" i="43"/>
  <c r="AN183" i="43"/>
  <c r="AP183" i="43"/>
  <c r="AQ183" i="43"/>
  <c r="AC184" i="43"/>
  <c r="AD184" i="43"/>
  <c r="AE184" i="43"/>
  <c r="AF184" i="43"/>
  <c r="AG184" i="43"/>
  <c r="AH184" i="43"/>
  <c r="AI184" i="43"/>
  <c r="AJ184" i="43"/>
  <c r="AK184" i="43"/>
  <c r="AL184" i="43"/>
  <c r="AM184" i="43"/>
  <c r="AN184" i="43"/>
  <c r="AC186" i="43"/>
  <c r="AD186" i="43"/>
  <c r="AE186" i="43"/>
  <c r="AF186" i="43"/>
  <c r="AG186" i="43"/>
  <c r="AH186" i="43"/>
  <c r="AI186" i="43"/>
  <c r="AJ186" i="43"/>
  <c r="AK186" i="43"/>
  <c r="AL186" i="43"/>
  <c r="AM186" i="43"/>
  <c r="AN186" i="43"/>
  <c r="AC187" i="43"/>
  <c r="AD187" i="43"/>
  <c r="AE187" i="43"/>
  <c r="AF187" i="43"/>
  <c r="AG187" i="43"/>
  <c r="AH187" i="43"/>
  <c r="AI187" i="43"/>
  <c r="AJ187" i="43"/>
  <c r="AK187" i="43"/>
  <c r="AL187" i="43"/>
  <c r="AM187" i="43"/>
  <c r="AN187" i="43"/>
  <c r="AP187" i="43"/>
  <c r="AQ187" i="43"/>
  <c r="AC188" i="43"/>
  <c r="AD188" i="43"/>
  <c r="AE188" i="43"/>
  <c r="AF188" i="43"/>
  <c r="AG188" i="43"/>
  <c r="AH188" i="43"/>
  <c r="AI188" i="43"/>
  <c r="AJ188" i="43"/>
  <c r="AK188" i="43"/>
  <c r="AL188" i="43"/>
  <c r="AM188" i="43"/>
  <c r="AN188" i="43"/>
  <c r="AC191" i="43"/>
  <c r="AD191" i="43"/>
  <c r="AE191" i="43"/>
  <c r="AF191" i="43"/>
  <c r="AG191" i="43"/>
  <c r="AH191" i="43"/>
  <c r="AI191" i="43"/>
  <c r="AJ191" i="43"/>
  <c r="AK191" i="43"/>
  <c r="AL191" i="43"/>
  <c r="AM191" i="43"/>
  <c r="AN191" i="43"/>
  <c r="AC195" i="43"/>
  <c r="AD195" i="43"/>
  <c r="AE195" i="43"/>
  <c r="AF195" i="43"/>
  <c r="AG195" i="43"/>
  <c r="AH195" i="43"/>
  <c r="AI195" i="43"/>
  <c r="AJ195" i="43"/>
  <c r="AK195" i="43"/>
  <c r="AL195" i="43"/>
  <c r="AM195" i="43"/>
  <c r="AN195" i="43"/>
  <c r="AC198" i="43"/>
  <c r="AD198" i="43"/>
  <c r="AE198" i="43"/>
  <c r="AF198" i="43"/>
  <c r="AG198" i="43"/>
  <c r="AH198" i="43"/>
  <c r="AI198" i="43"/>
  <c r="AJ198" i="43"/>
  <c r="AK198" i="43"/>
  <c r="AL198" i="43"/>
  <c r="AM198" i="43"/>
  <c r="AN198" i="43"/>
  <c r="AC201" i="43"/>
  <c r="AD201" i="43"/>
  <c r="AE201" i="43"/>
  <c r="AF201" i="43"/>
  <c r="AG201" i="43"/>
  <c r="AH201" i="43"/>
  <c r="AI201" i="43"/>
  <c r="AJ201" i="43"/>
  <c r="AK201" i="43"/>
  <c r="AL201" i="43"/>
  <c r="AM201" i="43"/>
  <c r="AN201" i="43"/>
  <c r="AC203" i="43"/>
  <c r="AD203" i="43"/>
  <c r="AE203" i="43"/>
  <c r="AF203" i="43"/>
  <c r="AG203" i="43"/>
  <c r="AH203" i="43"/>
  <c r="AI203" i="43"/>
  <c r="AJ203" i="43"/>
  <c r="AK203" i="43"/>
  <c r="AL203" i="43"/>
  <c r="AM203" i="43"/>
  <c r="AN203" i="43"/>
  <c r="AP203" i="43"/>
  <c r="AQ203" i="43"/>
  <c r="AC204" i="43"/>
  <c r="AD204" i="43"/>
  <c r="AE204" i="43"/>
  <c r="AF204" i="43"/>
  <c r="AG204" i="43"/>
  <c r="AH204" i="43"/>
  <c r="AI204" i="43"/>
  <c r="AJ204" i="43"/>
  <c r="AK204" i="43"/>
  <c r="AL204" i="43"/>
  <c r="AM204" i="43"/>
  <c r="AN204" i="43"/>
  <c r="AP204" i="43"/>
  <c r="AQ204" i="43"/>
  <c r="AC208" i="43"/>
  <c r="AD208" i="43"/>
  <c r="AE208" i="43"/>
  <c r="AF208" i="43"/>
  <c r="AG208" i="43"/>
  <c r="AH208" i="43"/>
  <c r="AI208" i="43"/>
  <c r="AJ208" i="43"/>
  <c r="AK208" i="43"/>
  <c r="AL208" i="43"/>
  <c r="AM208" i="43"/>
  <c r="AN208" i="43"/>
  <c r="AC211" i="43"/>
  <c r="AD211" i="43"/>
  <c r="AE211" i="43"/>
  <c r="AF211" i="43"/>
  <c r="AG211" i="43"/>
  <c r="AH211" i="43"/>
  <c r="AI211" i="43"/>
  <c r="AJ211" i="43"/>
  <c r="AK211" i="43"/>
  <c r="AL211" i="43"/>
  <c r="AM211" i="43"/>
  <c r="AN211" i="43"/>
  <c r="AE213" i="43"/>
  <c r="AF213" i="43"/>
  <c r="AG213" i="43"/>
  <c r="AH213" i="43"/>
  <c r="AI213" i="43"/>
  <c r="AJ213" i="43"/>
  <c r="AK213" i="43"/>
  <c r="AC218" i="43"/>
  <c r="AD218" i="43"/>
  <c r="AE218" i="43"/>
  <c r="AF218" i="43"/>
  <c r="AG218" i="43"/>
  <c r="AH218" i="43"/>
  <c r="AI218" i="43"/>
  <c r="AJ218" i="43"/>
  <c r="AK218" i="43"/>
  <c r="AL218" i="43"/>
  <c r="AM218" i="43"/>
  <c r="AN218" i="43"/>
  <c r="AC220" i="43"/>
  <c r="AD220" i="43"/>
  <c r="AE220" i="43"/>
  <c r="AF220" i="43"/>
  <c r="AG220" i="43"/>
  <c r="AH220" i="43"/>
  <c r="AI220" i="43"/>
  <c r="AJ220" i="43"/>
  <c r="AK220" i="43"/>
  <c r="AL220" i="43"/>
  <c r="AM220" i="43"/>
  <c r="AN220" i="43"/>
  <c r="AC223" i="43"/>
  <c r="AD223" i="43"/>
  <c r="AE223" i="43"/>
  <c r="AF223" i="43"/>
  <c r="AG223" i="43"/>
  <c r="AH223" i="43"/>
  <c r="AI223" i="43"/>
  <c r="AJ223" i="43"/>
  <c r="AK223" i="43"/>
  <c r="AL223" i="43"/>
  <c r="AM223" i="43"/>
  <c r="AN223" i="43"/>
  <c r="AC227" i="43"/>
  <c r="AD227" i="43"/>
  <c r="AE227" i="43"/>
  <c r="AF227" i="43"/>
  <c r="AG227" i="43"/>
  <c r="AH227" i="43"/>
  <c r="AI227" i="43"/>
  <c r="AJ227" i="43"/>
  <c r="AK227" i="43"/>
  <c r="AL227" i="43"/>
  <c r="AM227" i="43"/>
  <c r="AN227" i="43"/>
  <c r="AC232" i="43"/>
  <c r="AD232" i="43"/>
  <c r="AE232" i="43"/>
  <c r="AF232" i="43"/>
  <c r="AG232" i="43"/>
  <c r="AH232" i="43"/>
  <c r="AI232" i="43"/>
  <c r="AJ232" i="43"/>
  <c r="AK232" i="43"/>
  <c r="AL232" i="43"/>
  <c r="AM232" i="43"/>
  <c r="AN232" i="43"/>
  <c r="AC237" i="43"/>
  <c r="AD237" i="43"/>
  <c r="AE237" i="43"/>
  <c r="AF237" i="43"/>
  <c r="AG237" i="43"/>
  <c r="AH237" i="43"/>
  <c r="AI237" i="43"/>
  <c r="AJ237" i="43"/>
  <c r="AK237" i="43"/>
  <c r="AL237" i="43"/>
  <c r="AM237" i="43"/>
  <c r="AN237" i="43"/>
  <c r="AC240" i="43"/>
  <c r="AD240" i="43"/>
  <c r="AE240" i="43"/>
  <c r="AF240" i="43"/>
  <c r="AG240" i="43"/>
  <c r="AH240" i="43"/>
  <c r="AI240" i="43"/>
  <c r="AJ240" i="43"/>
  <c r="AK240" i="43"/>
  <c r="AL240" i="43"/>
  <c r="AM240" i="43"/>
  <c r="AN240" i="43"/>
  <c r="AE247" i="43"/>
  <c r="AF247" i="43"/>
  <c r="AG247" i="43"/>
  <c r="AH247" i="43"/>
  <c r="AI247" i="43"/>
  <c r="AJ247" i="43"/>
  <c r="AK247" i="43"/>
  <c r="AL247" i="43"/>
  <c r="AM247" i="43"/>
  <c r="AN247" i="43"/>
  <c r="AC249" i="43"/>
  <c r="AD249" i="43"/>
  <c r="AE249" i="43"/>
  <c r="AF249" i="43"/>
  <c r="AG249" i="43"/>
  <c r="AH249" i="43"/>
  <c r="AI249" i="43"/>
  <c r="AJ249" i="43"/>
  <c r="AK249" i="43"/>
  <c r="AL249" i="43"/>
  <c r="AM249" i="43"/>
  <c r="AN249" i="43"/>
  <c r="AC251" i="43"/>
  <c r="AD251" i="43"/>
  <c r="AE251" i="43"/>
  <c r="AF251" i="43"/>
  <c r="AG251" i="43"/>
  <c r="AH251" i="43"/>
  <c r="AI251" i="43"/>
  <c r="AJ251" i="43"/>
  <c r="AK251" i="43"/>
  <c r="AL251" i="43"/>
  <c r="AM251" i="43"/>
  <c r="AN251" i="43"/>
  <c r="AC254" i="43"/>
  <c r="AD254" i="43"/>
  <c r="AE254" i="43"/>
  <c r="AF254" i="43"/>
  <c r="AG254" i="43"/>
  <c r="AH254" i="43"/>
  <c r="AI254" i="43"/>
  <c r="AJ254" i="43"/>
  <c r="AK254" i="43"/>
  <c r="AL254" i="43"/>
  <c r="AM254" i="43"/>
  <c r="AN254" i="43"/>
  <c r="AC256" i="43"/>
  <c r="AD256" i="43"/>
  <c r="AE256" i="43"/>
  <c r="AF256" i="43"/>
  <c r="AG256" i="43"/>
  <c r="AH256" i="43"/>
  <c r="AI256" i="43"/>
  <c r="AJ256" i="43"/>
  <c r="AK256" i="43"/>
  <c r="AL256" i="43"/>
  <c r="AM256" i="43"/>
  <c r="AN256" i="43"/>
  <c r="AC257" i="43"/>
  <c r="AD257" i="43"/>
  <c r="AE257" i="43"/>
  <c r="AF257" i="43"/>
  <c r="AG257" i="43"/>
  <c r="AH257" i="43"/>
  <c r="AI257" i="43"/>
  <c r="AJ257" i="43"/>
  <c r="AK257" i="43"/>
  <c r="AL257" i="43"/>
  <c r="AM257" i="43"/>
  <c r="AN257" i="43"/>
  <c r="AC270" i="43"/>
  <c r="AD270" i="43"/>
  <c r="AE270" i="43"/>
  <c r="AF270" i="43"/>
  <c r="AG270" i="43"/>
  <c r="AH270" i="43"/>
  <c r="AI270" i="43"/>
  <c r="AJ270" i="43"/>
  <c r="AK270" i="43"/>
  <c r="AL270" i="43"/>
  <c r="AM270" i="43"/>
  <c r="AN270" i="43"/>
  <c r="AC271" i="43"/>
  <c r="AD271" i="43"/>
  <c r="AE271" i="43"/>
  <c r="AF271" i="43"/>
  <c r="AG271" i="43"/>
  <c r="AH271" i="43"/>
  <c r="AI271" i="43"/>
  <c r="AJ271" i="43"/>
  <c r="AK271" i="43"/>
  <c r="AL271" i="43"/>
  <c r="AM271" i="43"/>
  <c r="AN271" i="43"/>
  <c r="AC273" i="43"/>
  <c r="AD273" i="43"/>
  <c r="AE273" i="43"/>
  <c r="AF273" i="43"/>
  <c r="AG273" i="43"/>
  <c r="AH273" i="43"/>
  <c r="AI273" i="43"/>
  <c r="AJ273" i="43"/>
  <c r="AK273" i="43"/>
  <c r="AL273" i="43"/>
  <c r="AM273" i="43"/>
  <c r="AN273" i="43"/>
  <c r="AC274" i="43"/>
  <c r="AD274" i="43"/>
  <c r="AE274" i="43"/>
  <c r="AF274" i="43"/>
  <c r="AG274" i="43"/>
  <c r="AH274" i="43"/>
  <c r="AI274" i="43"/>
  <c r="AJ274" i="43"/>
  <c r="AK274" i="43"/>
  <c r="AL274" i="43"/>
  <c r="AM274" i="43"/>
  <c r="AN274" i="43"/>
  <c r="AC277" i="43"/>
  <c r="AD277" i="43"/>
  <c r="AE277" i="43"/>
  <c r="AF277" i="43"/>
  <c r="AG277" i="43"/>
  <c r="AH277" i="43"/>
  <c r="AI277" i="43"/>
  <c r="AJ277" i="43"/>
  <c r="AC278" i="43"/>
  <c r="AD278" i="43"/>
  <c r="AE278" i="43"/>
  <c r="AF278" i="43"/>
  <c r="AG278" i="43"/>
  <c r="AH278" i="43"/>
  <c r="AI278" i="43"/>
  <c r="AJ278" i="43"/>
  <c r="AK278" i="43"/>
  <c r="AL278" i="43"/>
  <c r="AM278" i="43"/>
  <c r="AN278" i="43"/>
  <c r="AC280" i="43"/>
  <c r="AD280" i="43"/>
  <c r="AE280" i="43"/>
  <c r="AF280" i="43"/>
  <c r="AG280" i="43"/>
  <c r="AH280" i="43"/>
  <c r="AI280" i="43"/>
  <c r="AJ280" i="43"/>
  <c r="AK280" i="43"/>
  <c r="AL280" i="43"/>
  <c r="AM280" i="43"/>
  <c r="AN280" i="43"/>
  <c r="AC282" i="43"/>
  <c r="AD282" i="43"/>
  <c r="AE282" i="43"/>
  <c r="AF282" i="43"/>
  <c r="AG282" i="43"/>
  <c r="AH282" i="43"/>
  <c r="AI282" i="43"/>
  <c r="AJ282" i="43"/>
  <c r="AK282" i="43"/>
  <c r="AL282" i="43"/>
  <c r="AM282" i="43"/>
  <c r="AN282" i="43"/>
  <c r="AC285" i="43"/>
  <c r="AD285" i="43"/>
  <c r="AE285" i="43"/>
  <c r="AF285" i="43"/>
  <c r="AG285" i="43"/>
  <c r="AH285" i="43"/>
  <c r="AI285" i="43"/>
  <c r="AJ285" i="43"/>
  <c r="AK285" i="43"/>
  <c r="AL285" i="43"/>
  <c r="AM285" i="43"/>
  <c r="AN285" i="43"/>
  <c r="AE291" i="43"/>
  <c r="AF291" i="43"/>
  <c r="AG291" i="43"/>
  <c r="AH291" i="43"/>
  <c r="AI291" i="43"/>
  <c r="AJ291" i="43"/>
  <c r="AC292" i="43"/>
  <c r="AD292" i="43"/>
  <c r="AE292" i="43"/>
  <c r="AF292" i="43"/>
  <c r="AG292" i="43"/>
  <c r="AH292" i="43"/>
  <c r="AI292" i="43"/>
  <c r="AJ292" i="43"/>
  <c r="AK292" i="43"/>
  <c r="AL292" i="43"/>
  <c r="AM292" i="43"/>
  <c r="AN292" i="43"/>
  <c r="AE294" i="43"/>
  <c r="AF294" i="43"/>
  <c r="AG294" i="43"/>
  <c r="AH294" i="43"/>
  <c r="AI294" i="43"/>
  <c r="AJ294" i="43"/>
  <c r="AC295" i="43"/>
  <c r="AD295" i="43"/>
  <c r="AE295" i="43"/>
  <c r="AF295" i="43"/>
  <c r="AG295" i="43"/>
  <c r="AH295" i="43"/>
  <c r="AI295" i="43"/>
  <c r="AJ295" i="43"/>
  <c r="AK295" i="43"/>
  <c r="AL295" i="43"/>
  <c r="AM295" i="43"/>
  <c r="AN295" i="43"/>
  <c r="AE305" i="43"/>
  <c r="AF305" i="43"/>
  <c r="AG305" i="43"/>
  <c r="AH305" i="43"/>
  <c r="AI305" i="43"/>
  <c r="AJ305" i="43"/>
  <c r="AE306" i="43"/>
  <c r="AF306" i="43"/>
  <c r="AG306" i="43"/>
  <c r="AH306" i="43"/>
  <c r="AI306" i="43"/>
  <c r="AJ306" i="43"/>
  <c r="AE307" i="43"/>
  <c r="AF307" i="43"/>
  <c r="AG307" i="43"/>
  <c r="AH307" i="43"/>
  <c r="AI307" i="43"/>
  <c r="AJ307" i="43"/>
  <c r="AE308" i="43"/>
  <c r="AF308" i="43"/>
  <c r="AG308" i="43"/>
  <c r="AH308" i="43"/>
  <c r="AI308" i="43"/>
  <c r="AJ308" i="43"/>
  <c r="AK308" i="43"/>
  <c r="AE309" i="43"/>
  <c r="AF309" i="43"/>
  <c r="AG309" i="43"/>
  <c r="AH309" i="43"/>
  <c r="AI309" i="43"/>
  <c r="AJ309" i="43"/>
  <c r="AE310" i="43"/>
  <c r="AF310" i="43"/>
  <c r="AG310" i="43"/>
  <c r="AH310" i="43"/>
  <c r="AI310" i="43"/>
  <c r="AJ310" i="43"/>
  <c r="AE312" i="43"/>
  <c r="AF312" i="43"/>
  <c r="AG312" i="43"/>
  <c r="AH312" i="43"/>
  <c r="AI312" i="43"/>
  <c r="AJ312" i="43"/>
  <c r="AK312" i="43"/>
  <c r="AC399" i="43"/>
  <c r="AD399" i="43"/>
  <c r="AE399" i="43"/>
  <c r="AF399" i="43"/>
  <c r="AG399" i="43"/>
  <c r="AH399" i="43"/>
  <c r="AI399" i="43"/>
  <c r="AJ399" i="43"/>
  <c r="AK399" i="43"/>
  <c r="AL399" i="43"/>
  <c r="AM399" i="43"/>
  <c r="AN399" i="43"/>
  <c r="AC400" i="43"/>
  <c r="AD400" i="43"/>
  <c r="AE400" i="43"/>
  <c r="AF400" i="43"/>
  <c r="AG400" i="43"/>
  <c r="AH400" i="43"/>
  <c r="AI400" i="43"/>
  <c r="AJ400" i="43"/>
  <c r="AK400" i="43"/>
  <c r="AL400" i="43"/>
  <c r="AM400" i="43"/>
  <c r="AN400" i="43"/>
  <c r="AC401" i="43"/>
  <c r="AD401" i="43"/>
  <c r="AE401" i="43"/>
  <c r="AF401" i="43"/>
  <c r="AG401" i="43"/>
  <c r="AH401" i="43"/>
  <c r="AI401" i="43"/>
  <c r="AJ401" i="43"/>
  <c r="AK401" i="43"/>
  <c r="AL401" i="43"/>
  <c r="AM401" i="43"/>
  <c r="AN401" i="43"/>
  <c r="AC402" i="43"/>
  <c r="AD402" i="43"/>
  <c r="AE402" i="43"/>
  <c r="AF402" i="43"/>
  <c r="AG402" i="43"/>
  <c r="AH402" i="43"/>
  <c r="AI402" i="43"/>
  <c r="AJ402" i="43"/>
  <c r="AK402" i="43"/>
  <c r="AL402" i="43"/>
  <c r="AM402" i="43"/>
  <c r="AN402" i="43"/>
  <c r="AC403" i="43"/>
  <c r="AD403" i="43"/>
  <c r="AE403" i="43"/>
  <c r="AF403" i="43"/>
  <c r="AG403" i="43"/>
  <c r="AH403" i="43"/>
  <c r="AI403" i="43"/>
  <c r="AJ403" i="43"/>
  <c r="AK403" i="43"/>
  <c r="AL403" i="43"/>
  <c r="AM403" i="43"/>
  <c r="AN403" i="43"/>
  <c r="AC404" i="43"/>
  <c r="AD404" i="43"/>
  <c r="AE404" i="43"/>
  <c r="AF404" i="43"/>
  <c r="AG404" i="43"/>
  <c r="AH404" i="43"/>
  <c r="AI404" i="43"/>
  <c r="AJ404" i="43"/>
  <c r="AK404" i="43"/>
  <c r="AL404" i="43"/>
  <c r="AM404" i="43"/>
  <c r="AN404" i="43"/>
  <c r="AC405" i="43"/>
  <c r="AD405" i="43"/>
  <c r="AE405" i="43"/>
  <c r="AF405" i="43"/>
  <c r="AG405" i="43"/>
  <c r="AH405" i="43"/>
  <c r="AI405" i="43"/>
  <c r="AJ405" i="43"/>
  <c r="AK405" i="43"/>
  <c r="AL405" i="43"/>
  <c r="AM405" i="43"/>
  <c r="AN405" i="43"/>
  <c r="AC406" i="43"/>
  <c r="AD406" i="43"/>
  <c r="AE406" i="43"/>
  <c r="AF406" i="43"/>
  <c r="AG406" i="43"/>
  <c r="AH406" i="43"/>
  <c r="AI406" i="43"/>
  <c r="AJ406" i="43"/>
  <c r="AK406" i="43"/>
  <c r="AL406" i="43"/>
  <c r="AM406" i="43"/>
  <c r="AN406" i="43"/>
  <c r="AC407" i="43"/>
  <c r="AD407" i="43"/>
  <c r="AE407" i="43"/>
  <c r="AF407" i="43"/>
  <c r="AG407" i="43"/>
  <c r="AH407" i="43"/>
  <c r="AI407" i="43"/>
  <c r="AJ407" i="43"/>
  <c r="AK407" i="43"/>
  <c r="AL407" i="43"/>
  <c r="AM407" i="43"/>
  <c r="AN407" i="43"/>
  <c r="AC408" i="43"/>
  <c r="AD408" i="43"/>
  <c r="AE408" i="43"/>
  <c r="AF408" i="43"/>
  <c r="AG408" i="43"/>
  <c r="AH408" i="43"/>
  <c r="AI408" i="43"/>
  <c r="AJ408" i="43"/>
  <c r="AK408" i="43"/>
  <c r="AL408" i="43"/>
  <c r="AM408" i="43"/>
  <c r="AN408" i="43"/>
  <c r="AC410" i="43"/>
  <c r="AD410" i="43"/>
  <c r="AE410" i="43"/>
  <c r="AF410" i="43"/>
  <c r="AG410" i="43"/>
  <c r="AH410" i="43"/>
  <c r="AI410" i="43"/>
  <c r="AJ410" i="43"/>
  <c r="AK410" i="43"/>
  <c r="AL410" i="43"/>
  <c r="AM410" i="43"/>
  <c r="AN410" i="43"/>
  <c r="AC411" i="43"/>
  <c r="AD411" i="43"/>
  <c r="AE411" i="43"/>
  <c r="AF411" i="43"/>
  <c r="AG411" i="43"/>
  <c r="AH411" i="43"/>
  <c r="AI411" i="43"/>
  <c r="AJ411" i="43"/>
  <c r="AK411" i="43"/>
  <c r="AL411" i="43"/>
  <c r="AM411" i="43"/>
  <c r="AN411" i="43"/>
  <c r="AC412" i="43"/>
  <c r="AD412" i="43"/>
  <c r="AE412" i="43"/>
  <c r="AF412" i="43"/>
  <c r="AG412" i="43"/>
  <c r="AH412" i="43"/>
  <c r="AI412" i="43"/>
  <c r="AJ412" i="43"/>
  <c r="AK412" i="43"/>
  <c r="AL412" i="43"/>
  <c r="AM412" i="43"/>
  <c r="AN412" i="43"/>
  <c r="AC413" i="43"/>
  <c r="AD413" i="43"/>
  <c r="AE413" i="43"/>
  <c r="AF413" i="43"/>
  <c r="AG413" i="43"/>
  <c r="AH413" i="43"/>
  <c r="AI413" i="43"/>
  <c r="AJ413" i="43"/>
  <c r="AK413" i="43"/>
  <c r="AL413" i="43"/>
  <c r="AM413" i="43"/>
  <c r="AN413" i="43"/>
  <c r="AC419" i="43"/>
  <c r="AD419" i="43"/>
  <c r="AE419" i="43"/>
  <c r="AF419" i="43"/>
  <c r="AG419" i="43"/>
  <c r="AH419" i="43"/>
  <c r="AI419" i="43"/>
  <c r="AJ419" i="43"/>
  <c r="AK419" i="43"/>
  <c r="AL419" i="43"/>
  <c r="AM419" i="43"/>
  <c r="AN419" i="43"/>
  <c r="AC420" i="43"/>
  <c r="AD420" i="43"/>
  <c r="AE420" i="43"/>
  <c r="AF420" i="43"/>
  <c r="AG420" i="43"/>
  <c r="AH420" i="43"/>
  <c r="AI420" i="43"/>
  <c r="AJ420" i="43"/>
  <c r="AK420" i="43"/>
  <c r="AL420" i="43"/>
  <c r="AM420" i="43"/>
  <c r="AN420" i="43"/>
  <c r="G81" i="246"/>
  <c r="H81" i="246"/>
  <c r="I81" i="246"/>
  <c r="J81" i="246"/>
  <c r="K81" i="24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<sst xmlns="http://schemas.openxmlformats.org/spreadsheetml/2006/main" count="827" uniqueCount="499">
  <si>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</si>
  <si>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</si>
  <si>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</si>
  <si>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</si>
  <si>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</si>
  <si>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</si>
  <si>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</si>
  <si>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</si>
  <si>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</si>
  <si>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</si>
  <si>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</si>
  <si>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</si>
  <si>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</si>
  <si>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</si>
  <si>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</si>
  <si>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</si>
  <si>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</si>
  <si>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</si>
  <si>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</si>
  <si>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</si>
  <si>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</si>
  <si>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</si>
  <si>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</si>
  <si>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</si>
  <si>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</si>
  <si>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</si>
  <si>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</si>
  <si>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</si>
  <si>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</si>
  <si>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</si>
  <si>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</si>
  <si>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</si>
  <si>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</si>
  <si>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</si>
  <si>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</si>
  <si>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</si>
  <si>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</si>
  <si>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</si>
  <si>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</si>
  <si>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</si>
  <si>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</si>
  <si>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</si>
  <si>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</si>
  <si>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</si>
  <si>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</si>
  <si>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</si>
  <si>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</si>
  <si>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</si>
  <si>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</si>
  <si>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</si>
  <si>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</si>
  <si>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</si>
  <si>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</si>
  <si>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</si>
  <si>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ROIC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</si>
  <si>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</si>
  <si>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</si>
  <si>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</si>
  <si>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</si>
  <si>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</si>
  <si>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</si>
  <si>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</si>
  <si>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</si>
  <si>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</si>
  <si>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</si>
  <si>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</si>
  <si>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</si>
  <si>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</si>
  <si>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</si>
  <si>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</si>
  <si>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</si>
  <si>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</si>
  <si>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</si>
  <si>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</si>
  <si>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</si>
  <si>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</si>
  <si>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</si>
  <si>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</si>
  <si>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</si>
  <si>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Graph Data</t>
  </si>
  <si>
    <t>Sector Comparison</t>
  </si>
  <si>
    <t>Valuation Summary (Sensitivity Based on TV)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</si>
  <si>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</si>
  <si>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</si>
  <si>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</si>
  <si>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</si>
  <si>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</si>
  <si>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</si>
  <si>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</si>
  <si>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</si>
  <si>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</si>
  <si>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</si>
  <si>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</si>
  <si>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</si>
  <si>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</si>
  <si>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</si>
  <si>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</si>
  <si>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</si>
  <si>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</si>
  <si>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</si>
  <si>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</si>
  <si>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</si>
  <si>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</si>
  <si>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</si>
  <si>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</si>
  <si>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</si>
  <si>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</si>
  <si>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</si>
  <si>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</si>
  <si>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</si>
  <si>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</si>
  <si>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</si>
  <si>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</si>
  <si>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</si>
  <si>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</si>
  <si>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</si>
  <si>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</si>
  <si>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</si>
  <si>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</si>
  <si>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</si>
  <si>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</si>
  <si>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</si>
  <si>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</si>
  <si>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</si>
  <si>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</si>
  <si>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</si>
  <si>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</si>
  <si>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</si>
  <si>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</si>
  <si>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</si>
  <si>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</si>
  <si>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</si>
  <si>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</si>
  <si>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Target P/E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</si>
  <si>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</si>
  <si>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</si>
  <si>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</si>
  <si>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</si>
  <si>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</si>
  <si>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</si>
  <si>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</si>
  <si>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</si>
  <si>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</si>
  <si>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</si>
  <si>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</si>
  <si>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</si>
  <si>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</si>
  <si>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</si>
  <si>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</si>
  <si>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</si>
  <si>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</si>
  <si>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</si>
  <si>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</si>
  <si>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</si>
  <si>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</si>
  <si>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</si>
  <si>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</si>
  <si>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</si>
  <si>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</si>
  <si>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</si>
  <si>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</si>
  <si>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</si>
  <si>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</si>
  <si>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</si>
  <si>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</si>
  <si>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</si>
  <si>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</si>
  <si>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Weighted-average basic (mln)</t>
  </si>
  <si>
    <t>Weighted-average diluted (mln)</t>
  </si>
  <si>
    <t>EPS (Diluted/share)</t>
  </si>
  <si>
    <t>Payout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</si>
  <si>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</si>
  <si>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</si>
  <si>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</si>
  <si>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</si>
  <si>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</si>
  <si>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</si>
  <si>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</si>
  <si>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</si>
  <si>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</si>
  <si>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</si>
  <si>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Change in Equity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</si>
  <si>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</si>
  <si>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</si>
  <si>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</si>
  <si>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</si>
  <si>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</si>
  <si>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</si>
  <si>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</si>
  <si>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</si>
  <si>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</si>
  <si>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</si>
  <si>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</si>
  <si>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</si>
  <si>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</si>
  <si>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</si>
  <si>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</si>
  <si>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</si>
  <si>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</si>
  <si>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</si>
  <si>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</si>
  <si>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</si>
  <si>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</si>
  <si>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</si>
  <si>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</si>
  <si>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</si>
  <si>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</si>
  <si>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</si>
  <si>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</si>
  <si>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</si>
  <si>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</si>
  <si>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</si>
  <si>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</si>
  <si>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</si>
  <si>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Gain(loss) assets held for sale</t>
  </si>
  <si>
    <t>Net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</si>
  <si>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</si>
  <si>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</si>
  <si>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</si>
  <si>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</si>
  <si>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</si>
  <si>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</si>
  <si>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</si>
  <si>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</si>
  <si>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</si>
  <si>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Model Drivers</t>
  </si>
  <si>
    <t>Impairments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</si>
  <si>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</si>
  <si>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</si>
  <si>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</si>
  <si>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TSX</t>
  </si>
  <si>
    <t>CSU</t>
  </si>
  <si>
    <t>Organic Growth</t>
  </si>
  <si>
    <t>Licenses</t>
  </si>
  <si>
    <t>Professional Services</t>
  </si>
  <si>
    <t>Hardware &amp; Other</t>
  </si>
  <si>
    <t>Maintenance and other recurring</t>
  </si>
  <si>
    <t>Organic growth</t>
  </si>
  <si>
    <t>M&amp;A Growth</t>
  </si>
  <si>
    <t>New Revenue from M&amp;A</t>
  </si>
  <si>
    <t>M&amp;A Spend</t>
  </si>
  <si>
    <t>EV/Sales</t>
  </si>
  <si>
    <t>Self-reported growth from acquisitions</t>
  </si>
  <si>
    <t>Number of acquisitions</t>
  </si>
  <si>
    <t>Average size/acquisition (C$ mln)</t>
  </si>
  <si>
    <t>Business Units (year-end)</t>
  </si>
  <si>
    <t>Total Growth</t>
  </si>
  <si>
    <t>Total Revenue</t>
  </si>
  <si>
    <t>Recurring as % of Total</t>
  </si>
  <si>
    <t>Public as % of Total</t>
  </si>
  <si>
    <t>Public Sector Revenue</t>
  </si>
  <si>
    <t>Public Sector Expenses</t>
  </si>
  <si>
    <t>Public Sector EBIT</t>
  </si>
  <si>
    <t>Public Sector Net Income</t>
  </si>
  <si>
    <t>Public Sector Net Margin</t>
  </si>
  <si>
    <t>Private Sector Revenue</t>
  </si>
  <si>
    <t>Private Sector Expenses</t>
  </si>
  <si>
    <t>Private Sector EBIT</t>
  </si>
  <si>
    <t>Private Sector Net Income</t>
  </si>
  <si>
    <t>Private Sector Net Margin</t>
  </si>
  <si>
    <t>New Maintenance</t>
  </si>
  <si>
    <t>Price Increases &amp; Other</t>
  </si>
  <si>
    <t>Attrition - lost modules</t>
  </si>
  <si>
    <t>Attrition - lost customers</t>
  </si>
  <si>
    <t>Organic Maintenance Growth</t>
  </si>
  <si>
    <t>Change in value of securities/investments</t>
  </si>
  <si>
    <t>Maintenance</t>
  </si>
  <si>
    <t>R&amp;D</t>
  </si>
  <si>
    <t>S&amp;M</t>
  </si>
  <si>
    <t>G&amp;A</t>
  </si>
  <si>
    <t>Total Staff Expenses</t>
  </si>
  <si>
    <t>Hardware</t>
  </si>
  <si>
    <t>Third party license, maint., prof. services</t>
  </si>
  <si>
    <t>Occupancy</t>
  </si>
  <si>
    <t>Travel, Telc, Supplies &amp; Software Equip</t>
  </si>
  <si>
    <t>Professional fees</t>
  </si>
  <si>
    <t>Other, net (TSS membership revaluation charge)</t>
  </si>
  <si>
    <t>Amortization of Intangibles</t>
  </si>
  <si>
    <t>Total Expenses</t>
  </si>
  <si>
    <t>Other, net</t>
  </si>
  <si>
    <t>Regular DPS</t>
  </si>
  <si>
    <t>Special DPS</t>
  </si>
  <si>
    <t>Total DPS</t>
  </si>
  <si>
    <t>Weighted Average Shares</t>
  </si>
  <si>
    <t>Dividend (paid as on-converted)</t>
  </si>
  <si>
    <t>Buybacks ($) (issue)</t>
  </si>
  <si>
    <t>Change in common shares</t>
  </si>
  <si>
    <t>CSI Facility ($700 mln)</t>
  </si>
  <si>
    <t>Non-recourse CNH</t>
  </si>
  <si>
    <t>Non-recourse Acceo</t>
  </si>
  <si>
    <t>2040 Debentures (Prefs)</t>
  </si>
  <si>
    <t>TSS Membership Liability</t>
  </si>
  <si>
    <t>Revaluation charge</t>
  </si>
  <si>
    <t>Slop Adjustment</t>
  </si>
  <si>
    <t>Topicus</t>
  </si>
  <si>
    <t>Topicus Prefs (# mln)</t>
  </si>
  <si>
    <t>Exercise Price (euro)</t>
  </si>
  <si>
    <t>Target Price (euro)</t>
  </si>
  <si>
    <t>Pref Value (euro)</t>
  </si>
  <si>
    <t>Dividend Yield</t>
  </si>
  <si>
    <t>Dividend (euro)</t>
  </si>
  <si>
    <t>EUR/CAD</t>
  </si>
  <si>
    <t>Actual Price (euro)</t>
  </si>
  <si>
    <t>Implied EV/EBITDA (rough)</t>
  </si>
  <si>
    <t>Other Capex</t>
  </si>
  <si>
    <t>Canada</t>
  </si>
  <si>
    <t>Europe</t>
  </si>
  <si>
    <t>USA</t>
  </si>
  <si>
    <t>Total</t>
  </si>
  <si>
    <t>Ending PP&amp;E</t>
  </si>
  <si>
    <t>Ending Intangibles</t>
  </si>
  <si>
    <t>Amortization</t>
  </si>
  <si>
    <t>Incremental ROIC</t>
  </si>
  <si>
    <t>CFO</t>
  </si>
  <si>
    <t>Organic Capex</t>
  </si>
  <si>
    <t>Delta</t>
  </si>
  <si>
    <t>Minority Interest Share</t>
  </si>
  <si>
    <t>Topicus Net Income (euro)</t>
  </si>
  <si>
    <t>ALL SUB INDUSTRIES</t>
  </si>
  <si>
    <t>World</t>
  </si>
  <si>
    <t>Advertising</t>
  </si>
  <si>
    <t>Aerospace/Defense</t>
  </si>
  <si>
    <t>JAPAN</t>
  </si>
  <si>
    <t>Agriculture</t>
  </si>
  <si>
    <t>BRITAIN</t>
  </si>
  <si>
    <t>Reinvestment</t>
  </si>
  <si>
    <t>Airlines</t>
  </si>
  <si>
    <t>CANADA</t>
  </si>
  <si>
    <t>Apparel</t>
  </si>
  <si>
    <t>AUSTRALIA</t>
  </si>
  <si>
    <t>Auto Manufacturers</t>
  </si>
  <si>
    <t>FRANCE</t>
  </si>
  <si>
    <t>Auto Parts&amp;Equipment</t>
  </si>
  <si>
    <t>GERMANY</t>
  </si>
  <si>
    <t>Banks</t>
  </si>
  <si>
    <t>SWITZERLAND</t>
  </si>
  <si>
    <t>Beverages</t>
  </si>
  <si>
    <t>HONG KONG</t>
  </si>
  <si>
    <t>Biotechnology</t>
  </si>
  <si>
    <t>ITALY</t>
  </si>
  <si>
    <t>Building Materials</t>
  </si>
  <si>
    <t>SWEDEN</t>
  </si>
  <si>
    <t>Chemicals</t>
  </si>
  <si>
    <t>SINGAPORE</t>
  </si>
  <si>
    <t>Coal</t>
  </si>
  <si>
    <t>SPAIN</t>
  </si>
  <si>
    <t>Commercial Services</t>
  </si>
  <si>
    <t>NETHERLANDS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</si>
  <si>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</si>
  <si>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</si>
  <si>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</si>
  <si>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</si>
  <si>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</si>
  <si>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</si>
  <si>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</si>
  <si>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</si>
  <si>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</si>
  <si>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</si>
  <si>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</si>
  <si>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</si>
  <si>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</si>
  <si>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</si>
  <si>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</si>
  <si>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</si>
  <si>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</si>
  <si>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</si>
  <si>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</si>
  <si>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</si>
  <si>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</si>
  <si>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</si>
  <si>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</si>
  <si>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</si>
  <si>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</si>
  <si>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</si>
  <si>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</si>
  <si>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</si>
  <si>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</si>
  <si>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</si>
  <si>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</si>
  <si>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</si>
  <si>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</si>
  <si>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</si>
  <si>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</si>
  <si>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</si>
  <si>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</si>
  <si>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</si>
  <si>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</si>
  <si>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</si>
  <si>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</si>
  <si>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</si>
  <si>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</si>
  <si>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Retail</t>
  </si>
  <si>
    <t>Savings&amp;Loans</t>
  </si>
  <si>
    <t>Semiconductors</t>
  </si>
  <si>
    <t>Shipbuilding</t>
  </si>
  <si>
    <t>Software</t>
  </si>
  <si>
    <t>Storage/Warehousing</t>
  </si>
  <si>
    <t>Telecommunications</t>
  </si>
  <si>
    <t>Textiles</t>
  </si>
  <si>
    <t>Toys/Games/Hobbies</t>
  </si>
  <si>
    <t>Transportation</t>
  </si>
  <si>
    <t>Water</t>
  </si>
  <si>
    <t>Hardware Margin</t>
  </si>
  <si>
    <t>PP&amp;E as % of Revenue</t>
  </si>
  <si>
    <t>M&amp;A Allocation</t>
  </si>
  <si>
    <t>NWC</t>
  </si>
  <si>
    <t>Acquired PP&amp;E</t>
  </si>
  <si>
    <t>Intangibles (Acquired)</t>
  </si>
  <si>
    <t>Goodwill (Acquired)</t>
  </si>
  <si>
    <t>NWC (Acquired)</t>
  </si>
  <si>
    <t>PP&amp;E (Acquired)</t>
  </si>
  <si>
    <t>Intangibles (Change)</t>
  </si>
  <si>
    <t>Goodwill (Change)</t>
  </si>
  <si>
    <t>NWC (Change)</t>
  </si>
  <si>
    <t>PP&amp;E (Change)</t>
  </si>
  <si>
    <t>Beginning Intangibles</t>
  </si>
  <si>
    <t>Additions</t>
  </si>
  <si>
    <t>Useful Life</t>
  </si>
  <si>
    <t>Beginning Goodwill</t>
  </si>
  <si>
    <t>Ending Goodwill</t>
  </si>
  <si>
    <t>Organic Change in non-cash NWC</t>
  </si>
  <si>
    <t>M&amp;A Change in non-cash NWC</t>
  </si>
  <si>
    <t>Beginning PP&amp;E</t>
  </si>
  <si>
    <t>Depreciation</t>
  </si>
  <si>
    <t>Beginning Right of Use</t>
  </si>
  <si>
    <t>Ending Right of Use</t>
  </si>
  <si>
    <t>Right of Use</t>
  </si>
  <si>
    <t>ROU (Change)</t>
  </si>
  <si>
    <t>ROU (Acquired)</t>
  </si>
  <si>
    <t>Organic Additions</t>
  </si>
  <si>
    <t>As % of Revenue</t>
  </si>
  <si>
    <t>ROU</t>
  </si>
  <si>
    <t>% of Revenue</t>
  </si>
  <si>
    <t>ROIC (Adj.)</t>
  </si>
  <si>
    <t>ROIC (Adj. excl. excess cash)</t>
  </si>
  <si>
    <t>Dividend (USD)</t>
  </si>
  <si>
    <t>Topicus Net Income(USD)</t>
  </si>
  <si>
    <t>Esimated Share Price (US$)</t>
  </si>
  <si>
    <t>'20-30</t>
  </si>
  <si>
    <t>'10-20</t>
  </si>
  <si>
    <t>non-cash NWC as % of revenue</t>
  </si>
  <si>
    <t>Operating Lease</t>
  </si>
  <si>
    <t>Core Business</t>
  </si>
  <si>
    <t>CSU 2.0</t>
  </si>
  <si>
    <t>Incremental NOPAT</t>
  </si>
  <si>
    <t>Cumulative NOPAT</t>
  </si>
  <si>
    <t>Other (Topicus/CSU 2.0)</t>
  </si>
  <si>
    <t>Cumulative EBIT</t>
  </si>
  <si>
    <t>CSU 2.0 Spend</t>
  </si>
  <si>
    <t>CSU 2.0 Net Assets</t>
  </si>
  <si>
    <t>% of CFO</t>
  </si>
  <si>
    <t>Maintenance Capex as % of EBIT</t>
  </si>
  <si>
    <t>Maintenance Capex</t>
  </si>
  <si>
    <t>Breakeven ROIC</t>
  </si>
  <si>
    <t>Risking</t>
  </si>
  <si>
    <t>FCF for CSU 2.0</t>
  </si>
  <si>
    <t>Core Capex/M&amp;A/Minority Interest</t>
  </si>
  <si>
    <t>CSU 2.0 Growth Capex/M&amp;A</t>
  </si>
  <si>
    <t>Value Creation Sensitivity from CSU 2.0</t>
  </si>
  <si>
    <t>*Assumes the majority of excess FCF (after VMS M&amp;A) is spent on CSU 2.0</t>
  </si>
  <si>
    <t>Average size/acquisition (US$ mln)</t>
  </si>
  <si>
    <t>Term Loan</t>
  </si>
  <si>
    <t>2022 Dollar Adjustment</t>
  </si>
  <si>
    <t>Other, net as % of Revenue</t>
  </si>
  <si>
    <t>Non-recourse Other</t>
  </si>
  <si>
    <t>FCFF ex. Growth Capital</t>
  </si>
  <si>
    <t>Reinvest. Rate (Capex/EBITA)</t>
  </si>
  <si>
    <t>Taxes</t>
  </si>
  <si>
    <t>Equity</t>
  </si>
  <si>
    <t>FCFE</t>
  </si>
  <si>
    <t>TOI IRGA Liability</t>
  </si>
  <si>
    <t>CSU Depreciation as % of EBIT</t>
  </si>
  <si>
    <t>Gross Purchase Price</t>
  </si>
  <si>
    <t>Implied EV/EBITDA</t>
  </si>
  <si>
    <t>Debt Funding</t>
  </si>
  <si>
    <t>Interest Expense</t>
  </si>
  <si>
    <t>Add back DD&amp;A</t>
  </si>
  <si>
    <t>Less Capex/ROU</t>
  </si>
  <si>
    <t>IRR</t>
  </si>
  <si>
    <t>Schedules</t>
  </si>
  <si>
    <t>Intangible Allocation</t>
  </si>
  <si>
    <t>Starting Intangibles</t>
  </si>
  <si>
    <t>Amortization Years</t>
  </si>
  <si>
    <t>PP&amp;E Allocation</t>
  </si>
  <si>
    <t>Starting PP&amp;E</t>
  </si>
  <si>
    <t>Useful Life (Years)</t>
  </si>
  <si>
    <t>PP&amp;E as % of Reveue</t>
  </si>
  <si>
    <t>ROU Allocation</t>
  </si>
  <si>
    <t>Starting ROU</t>
  </si>
  <si>
    <t>Lease Payment</t>
  </si>
  <si>
    <t>Ending ROU</t>
  </si>
  <si>
    <t>ROU as % of Reveue</t>
  </si>
  <si>
    <t>Interest Rate</t>
  </si>
  <si>
    <t>Starting Debt</t>
  </si>
  <si>
    <t>Repayment</t>
  </si>
  <si>
    <t>Ending Debt</t>
  </si>
  <si>
    <t>Term (years)</t>
  </si>
  <si>
    <t>Lumine IRRs</t>
  </si>
  <si>
    <t>Implied Incremental unlevered 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</si>
</sst>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6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  <numFmt numFmtId="294" formatCode="0.000"/>
    <numFmt numFmtId="295" formatCode="0.00\x"/>
    <numFmt numFmtId="296" formatCode="[$€-1809]#,##0"/>
    <numFmt numFmtId="297" formatCode="[$€-1809]#,##0.0"/>
    <numFmt numFmtId="298" formatCode="[$€-1809]#,##0.00"/>
    <numFmt numFmtId="299" formatCode="_-[$€-2]\ * #,##0.00_-;\-[$€-2]\ * #,##0.00_-;_-[$€-2]\ * &quot;-&quot;??_-;_-@_-"/>
    <numFmt numFmtId="300" formatCode="&quot;US&quot;&quot;$&quot;#,##0"/>
    <numFmt numFmtId="301" formatCode="&quot;C&quot;&quot;$&quot;#,##0"/>
    <numFmt numFmtId="302" formatCode="0&quot;E&quot;"/>
  </numFmts>
  <fonts count="27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1" fillId="0" borderId="0"/>
    <xf numFmtId="0" fontId="11" fillId="0" borderId="0"/>
    <xf numFmtId="0" fontId="11" fillId="0" borderId="0"/>
    <xf numFmtId="0" fontId="11" fillId="0" borderId="0"/>
    <xf numFmtId="9" fontId="48" fillId="0" borderId="0">
      <alignment horizontal="right"/>
    </xf>
    <xf numFmtId="0" fontId="11" fillId="0" borderId="0"/>
    <xf numFmtId="0" fontId="45" fillId="0" borderId="0"/>
    <xf numFmtId="0" fontId="49" fillId="0" borderId="0"/>
    <xf numFmtId="3" fontId="11" fillId="0" borderId="0"/>
    <xf numFmtId="178" fontId="26" fillId="0" borderId="0"/>
    <xf numFmtId="179" fontId="50" fillId="0" borderId="0">
      <alignment horizontal="right"/>
    </xf>
    <xf numFmtId="0" fontId="11" fillId="0" borderId="0"/>
    <xf numFmtId="0" fontId="51" fillId="0" borderId="0"/>
    <xf numFmtId="0" fontId="11" fillId="0" borderId="0">
      <alignment vertical="top"/>
    </xf>
    <xf numFmtId="0" fontId="52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2" fillId="0" borderId="0" applyFont="0" applyFill="0" applyBorder="0" applyAlignment="0" applyProtection="0"/>
    <xf numFmtId="0" fontId="11" fillId="0" borderId="0"/>
    <xf numFmtId="181" fontId="46" fillId="0" borderId="0"/>
    <xf numFmtId="182" fontId="11" fillId="0" borderId="0" applyFont="0" applyFill="0" applyBorder="0" applyAlignment="0" applyProtection="0"/>
    <xf numFmtId="166" fontId="53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53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3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3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6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3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3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3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3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3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3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3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3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3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3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3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3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3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3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3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3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3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3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205" fontId="53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6" fillId="0" borderId="0" applyFont="0" applyFill="0" applyBorder="0" applyAlignment="0" applyProtection="0"/>
    <xf numFmtId="207" fontId="53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5" fillId="0" borderId="0" applyNumberFormat="0" applyFill="0" applyBorder="0" applyProtection="0">
      <alignment vertical="top"/>
    </xf>
    <xf numFmtId="0" fontId="55" fillId="0" borderId="0" applyNumberFormat="0" applyFill="0" applyBorder="0" applyProtection="0">
      <alignment vertical="top"/>
    </xf>
    <xf numFmtId="0" fontId="55" fillId="0" borderId="0" applyNumberFormat="0" applyFill="0" applyBorder="0" applyProtection="0">
      <alignment vertical="top"/>
    </xf>
    <xf numFmtId="0" fontId="55" fillId="0" borderId="0" applyNumberFormat="0" applyFill="0" applyBorder="0" applyProtection="0">
      <alignment vertical="top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Protection="0">
      <alignment vertical="top"/>
    </xf>
    <xf numFmtId="0" fontId="55" fillId="0" borderId="0" applyNumberFormat="0" applyFill="0" applyBorder="0" applyAlignment="0" applyProtection="0">
      <alignment vertical="top"/>
    </xf>
    <xf numFmtId="0" fontId="55" fillId="0" borderId="0" applyNumberFormat="0" applyFill="0" applyBorder="0" applyProtection="0">
      <alignment vertical="top"/>
    </xf>
    <xf numFmtId="0" fontId="33" fillId="0" borderId="38" applyNumberFormat="0" applyFill="0" applyAlignment="0" applyProtection="0"/>
    <xf numFmtId="0" fontId="33" fillId="0" borderId="39" applyNumberFormat="0" applyFill="0" applyAlignment="0" applyProtection="0"/>
    <xf numFmtId="0" fontId="33" fillId="0" borderId="38" applyNumberFormat="0" applyFill="0" applyAlignment="0" applyProtection="0"/>
    <xf numFmtId="0" fontId="33" fillId="0" borderId="3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56" fillId="0" borderId="40" applyNumberFormat="0" applyFill="0" applyProtection="0">
      <alignment horizontal="center"/>
    </xf>
    <xf numFmtId="0" fontId="56" fillId="0" borderId="40" applyNumberFormat="0" applyFill="0" applyProtection="0">
      <alignment horizontal="center"/>
    </xf>
    <xf numFmtId="0" fontId="56" fillId="0" borderId="40" applyNumberFormat="0" applyFill="0" applyProtection="0">
      <alignment horizontal="center"/>
    </xf>
    <xf numFmtId="0" fontId="56" fillId="0" borderId="40" applyNumberFormat="0" applyFill="0" applyProtection="0">
      <alignment horizontal="center"/>
    </xf>
    <xf numFmtId="0" fontId="56" fillId="0" borderId="40" applyNumberFormat="0" applyFill="0" applyProtection="0">
      <alignment horizontal="center"/>
    </xf>
    <xf numFmtId="0" fontId="56" fillId="0" borderId="40" applyNumberFormat="0" applyFill="0" applyProtection="0">
      <alignment horizontal="center"/>
    </xf>
    <xf numFmtId="0" fontId="11" fillId="0" borderId="41" applyNumberFormat="0" applyFont="0" applyFill="0" applyAlignment="0" applyProtection="0"/>
    <xf numFmtId="0" fontId="56" fillId="0" borderId="0" applyNumberFormat="0" applyFill="0" applyBorder="0" applyProtection="0">
      <alignment horizontal="left"/>
    </xf>
    <xf numFmtId="0" fontId="56" fillId="0" borderId="0" applyNumberFormat="0" applyFill="0" applyBorder="0" applyProtection="0">
      <alignment horizontal="left"/>
    </xf>
    <xf numFmtId="0" fontId="56" fillId="0" borderId="0" applyNumberFormat="0" applyFill="0" applyBorder="0" applyProtection="0">
      <alignment horizontal="left"/>
    </xf>
    <xf numFmtId="0" fontId="56" fillId="0" borderId="0" applyNumberFormat="0" applyFill="0" applyBorder="0" applyProtection="0">
      <alignment horizontal="left"/>
    </xf>
    <xf numFmtId="0" fontId="56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centerContinuous"/>
    </xf>
    <xf numFmtId="0" fontId="57" fillId="0" borderId="0" applyNumberFormat="0" applyFill="0" applyProtection="0">
      <alignment horizontal="centerContinuous"/>
    </xf>
    <xf numFmtId="0" fontId="57" fillId="0" borderId="0" applyNumberFormat="0" applyFill="0" applyBorder="0" applyProtection="0">
      <alignment horizontal="centerContinuous"/>
    </xf>
    <xf numFmtId="0" fontId="57" fillId="0" borderId="0" applyNumberFormat="0" applyFill="0" applyBorder="0" applyProtection="0">
      <alignment horizontal="centerContinuous"/>
    </xf>
    <xf numFmtId="0" fontId="57" fillId="0" borderId="0" applyNumberFormat="0" applyFill="0" applyBorder="0" applyProtection="0">
      <alignment horizontal="centerContinuous"/>
    </xf>
    <xf numFmtId="0" fontId="57" fillId="0" borderId="0" applyNumberFormat="0" applyFill="0" applyBorder="0" applyProtection="0">
      <alignment horizontal="centerContinuous"/>
    </xf>
    <xf numFmtId="0" fontId="57" fillId="0" borderId="0" applyNumberFormat="0" applyFill="0" applyProtection="0">
      <alignment horizontal="centerContinuous"/>
    </xf>
    <xf numFmtId="0" fontId="57" fillId="0" borderId="0" applyNumberFormat="0" applyFill="0" applyBorder="0" applyProtection="0">
      <alignment horizontal="centerContinuous"/>
    </xf>
    <xf numFmtId="0" fontId="3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8" fillId="0" borderId="0"/>
    <xf numFmtId="0" fontId="59" fillId="0" borderId="0"/>
    <xf numFmtId="0" fontId="51" fillId="0" borderId="0"/>
    <xf numFmtId="208" fontId="33" fillId="0" borderId="0">
      <alignment horizontal="right" vertical="top"/>
    </xf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60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60" fillId="15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60" fillId="17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0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60" fillId="18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60" fillId="7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60" fillId="2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2" borderId="0" applyNumberFormat="0" applyBorder="0" applyAlignment="0" applyProtection="0"/>
    <xf numFmtId="0" fontId="61" fillId="12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11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60" fillId="2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60" fillId="26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60" fillId="6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8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8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8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8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8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60" fillId="29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9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9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9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9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60" fillId="30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24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0" fillId="31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3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3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3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3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32" borderId="0" applyNumberFormat="0" applyBorder="0" applyAlignment="0" applyProtection="0"/>
    <xf numFmtId="0" fontId="61" fillId="24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4" fillId="33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3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3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3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3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34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4" fillId="35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4" fillId="36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4" fillId="37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3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3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3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38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38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4" fillId="39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40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40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40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40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24" borderId="0" applyNumberFormat="0" applyBorder="0" applyAlignment="0" applyProtection="0"/>
    <xf numFmtId="0" fontId="63" fillId="40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4" fillId="41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4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4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4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4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42" borderId="0" applyNumberFormat="0" applyBorder="0" applyAlignment="0" applyProtection="0"/>
    <xf numFmtId="0" fontId="65" fillId="34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4" fillId="44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5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5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5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5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4" fillId="47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8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8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8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8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1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4" fillId="5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4" fillId="53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4" fillId="54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55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55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55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55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55" borderId="0" applyNumberFormat="0" applyBorder="0" applyAlignment="0" applyProtection="0"/>
    <xf numFmtId="41" fontId="11" fillId="0" borderId="0"/>
    <xf numFmtId="209" fontId="28" fillId="24" borderId="42">
      <alignment horizontal="center"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210" fontId="67" fillId="9" borderId="43" applyProtection="0">
      <alignment vertical="center"/>
    </xf>
    <xf numFmtId="0" fontId="11" fillId="0" borderId="0">
      <alignment horizontal="center" wrapText="1"/>
      <protection locked="0"/>
    </xf>
    <xf numFmtId="0" fontId="45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" fontId="11" fillId="56" borderId="0"/>
    <xf numFmtId="0" fontId="68" fillId="0" borderId="44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40" fillId="8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70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70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70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70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70" fillId="16" borderId="0" applyNumberFormat="0" applyBorder="0" applyAlignment="0" applyProtection="0"/>
    <xf numFmtId="3" fontId="71" fillId="57" borderId="0">
      <alignment horizontal="center" vertical="justify"/>
    </xf>
    <xf numFmtId="3" fontId="72" fillId="58" borderId="45">
      <alignment horizontal="center"/>
    </xf>
    <xf numFmtId="0" fontId="29" fillId="0" borderId="32" applyNumberFormat="0" applyFont="0" applyAlignment="0" applyProtection="0"/>
    <xf numFmtId="0" fontId="12" fillId="56" borderId="46">
      <alignment horizontal="center" vertical="center"/>
    </xf>
    <xf numFmtId="0" fontId="12" fillId="56" borderId="47">
      <alignment horizontal="center"/>
    </xf>
    <xf numFmtId="177" fontId="73" fillId="25" borderId="48">
      <alignment horizontal="center" vertical="center" wrapText="1"/>
    </xf>
    <xf numFmtId="0" fontId="74" fillId="0" borderId="0">
      <alignment vertical="center"/>
    </xf>
    <xf numFmtId="177" fontId="75" fillId="25" borderId="48">
      <alignment horizontal="left" vertical="center" wrapText="1"/>
    </xf>
    <xf numFmtId="0" fontId="76" fillId="25" borderId="0">
      <alignment horizontal="center"/>
    </xf>
    <xf numFmtId="177" fontId="77" fillId="25" borderId="48">
      <alignment horizontal="center" vertical="center" wrapTex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0" fontId="78" fillId="49" borderId="0">
      <alignment horizontal="left" vertical="center" indent="1"/>
    </xf>
    <xf numFmtId="5" fontId="79" fillId="0" borderId="1" applyAlignment="0" applyProtection="0"/>
    <xf numFmtId="0" fontId="45" fillId="0" borderId="32" applyNumberFormat="0" applyFont="0" applyFill="0" applyAlignment="0" applyProtection="0"/>
    <xf numFmtId="0" fontId="45" fillId="0" borderId="49" applyNumberFormat="0" applyFont="0" applyFill="0" applyAlignment="0" applyProtection="0"/>
    <xf numFmtId="0" fontId="80" fillId="0" borderId="0" applyFont="0" applyFill="0" applyBorder="0" applyAlignment="0" applyProtection="0"/>
    <xf numFmtId="211" fontId="81" fillId="0" borderId="0" applyFill="0" applyBorder="0" applyAlignment="0"/>
    <xf numFmtId="211" fontId="81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0" fontId="11" fillId="0" borderId="0" applyFill="0" applyBorder="0" applyAlignment="0"/>
    <xf numFmtId="214" fontId="30" fillId="0" borderId="0" applyFill="0" applyBorder="0" applyAlignment="0"/>
    <xf numFmtId="167" fontId="11" fillId="0" borderId="0" applyFill="0" applyBorder="0" applyAlignment="0"/>
    <xf numFmtId="215" fontId="30" fillId="0" borderId="0" applyFill="0" applyBorder="0" applyAlignment="0"/>
    <xf numFmtId="205" fontId="82" fillId="0" borderId="0" applyFill="0" applyBorder="0" applyAlignment="0"/>
    <xf numFmtId="216" fontId="30" fillId="0" borderId="0" applyFill="0" applyBorder="0" applyAlignment="0"/>
    <xf numFmtId="217" fontId="11" fillId="0" borderId="0" applyFill="0" applyBorder="0" applyAlignment="0"/>
    <xf numFmtId="218" fontId="30" fillId="0" borderId="0" applyFill="0" applyBorder="0" applyAlignment="0"/>
    <xf numFmtId="0" fontId="11" fillId="0" borderId="0" applyFill="0" applyBorder="0" applyAlignment="0"/>
    <xf numFmtId="219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0" fontId="83" fillId="0" borderId="50" applyNumberFormat="0" applyAlignment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44" fillId="59" borderId="25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5" fillId="25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5" fillId="25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5" fillId="25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5" fillId="25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4" fillId="9" borderId="51" applyNumberFormat="0" applyAlignment="0" applyProtection="0"/>
    <xf numFmtId="0" fontId="85" fillId="25" borderId="51" applyNumberFormat="0" applyAlignment="0" applyProtection="0"/>
    <xf numFmtId="0" fontId="38" fillId="0" borderId="0" applyNumberFormat="0" applyFill="0" applyBorder="0" applyAlignment="0"/>
    <xf numFmtId="37" fontId="86" fillId="60" borderId="0" applyNumberFormat="0" applyFont="0" applyBorder="0" applyAlignment="0">
      <alignment horizontal="center"/>
    </xf>
    <xf numFmtId="0" fontId="11" fillId="0" borderId="0"/>
    <xf numFmtId="220" fontId="27" fillId="0" borderId="0" applyFill="0" applyBorder="0" applyProtection="0">
      <alignment horizontal="center" vertical="center"/>
    </xf>
    <xf numFmtId="220" fontId="27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7" fillId="0" borderId="0" applyNumberFormat="0" applyFill="0" applyBorder="0" applyAlignment="0"/>
    <xf numFmtId="0" fontId="81" fillId="0" borderId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88" fillId="61" borderId="28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10" fillId="49" borderId="52" applyNumberFormat="0" applyAlignment="0" applyProtection="0"/>
    <xf numFmtId="0" fontId="89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0" fillId="62" borderId="0">
      <alignment horizontal="right"/>
    </xf>
    <xf numFmtId="41" fontId="91" fillId="9" borderId="0">
      <alignment horizontal="center"/>
    </xf>
    <xf numFmtId="0" fontId="92" fillId="63" borderId="0"/>
    <xf numFmtId="41" fontId="90" fillId="62" borderId="0">
      <alignment horizontal="right"/>
    </xf>
    <xf numFmtId="41" fontId="93" fillId="9" borderId="0">
      <alignment horizontal="left"/>
    </xf>
    <xf numFmtId="221" fontId="30" fillId="0" borderId="0"/>
    <xf numFmtId="221" fontId="30" fillId="0" borderId="0"/>
    <xf numFmtId="221" fontId="30" fillId="0" borderId="0"/>
    <xf numFmtId="221" fontId="30" fillId="0" borderId="0"/>
    <xf numFmtId="221" fontId="30" fillId="0" borderId="0"/>
    <xf numFmtId="221" fontId="30" fillId="0" borderId="0"/>
    <xf numFmtId="221" fontId="30" fillId="0" borderId="0"/>
    <xf numFmtId="221" fontId="30" fillId="0" borderId="0"/>
    <xf numFmtId="217" fontId="11" fillId="0" borderId="0" applyFont="0" applyFill="0" applyBorder="0" applyAlignment="0" applyProtection="0"/>
    <xf numFmtId="218" fontId="30" fillId="0" borderId="0" applyFont="0" applyFill="0" applyBorder="0" applyAlignment="0" applyProtection="0"/>
    <xf numFmtId="38" fontId="94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8" fillId="0" borderId="0"/>
    <xf numFmtId="3" fontId="11" fillId="0" borderId="0" applyFont="0" applyFill="0" applyBorder="0" applyAlignment="0" applyProtection="0"/>
    <xf numFmtId="3" fontId="30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5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0" fontId="96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224" fontId="51" fillId="25" borderId="0">
      <protection hidden="1"/>
    </xf>
    <xf numFmtId="0" fontId="11" fillId="25" borderId="0">
      <protection hidden="1"/>
    </xf>
    <xf numFmtId="0" fontId="82" fillId="0" borderId="0" applyNumberFormat="0" applyAlignment="0"/>
    <xf numFmtId="6" fontId="59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0" fillId="0" borderId="0" applyFont="0" applyFill="0" applyBorder="0" applyAlignment="0" applyProtection="0"/>
    <xf numFmtId="203" fontId="46" fillId="0" borderId="0"/>
    <xf numFmtId="8" fontId="97" fillId="0" borderId="53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8" fillId="0" borderId="0" applyFont="0" applyFill="0" applyBorder="0" applyAlignment="0" applyProtection="0"/>
    <xf numFmtId="226" fontId="30" fillId="0" borderId="0" applyFont="0" applyFill="0" applyBorder="0" applyAlignment="0" applyProtection="0"/>
    <xf numFmtId="227" fontId="28" fillId="0" borderId="0"/>
    <xf numFmtId="49" fontId="99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0" fillId="0" borderId="0"/>
    <xf numFmtId="0" fontId="28" fillId="0" borderId="0" applyNumberFormat="0" applyFont="0" applyBorder="0" applyAlignment="0"/>
    <xf numFmtId="17" fontId="101" fillId="0" borderId="54">
      <alignment horizontal="center" vertical="center"/>
    </xf>
    <xf numFmtId="0" fontId="11" fillId="0" borderId="0" applyFont="0" applyFill="0" applyBorder="0" applyAlignment="0" applyProtection="0"/>
    <xf numFmtId="229" fontId="11" fillId="0" borderId="55" applyFont="0" applyFill="0" applyAlignment="0" applyProtection="0"/>
    <xf numFmtId="230" fontId="11" fillId="0" borderId="0" applyFont="0" applyFill="0" applyAlignment="0" applyProtection="0"/>
    <xf numFmtId="231" fontId="11" fillId="0" borderId="41"/>
    <xf numFmtId="0" fontId="45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1" fillId="0" borderId="0" applyFont="0" applyFill="0" applyBorder="0" applyAlignment="0" applyProtection="0"/>
    <xf numFmtId="15" fontId="81" fillId="0" borderId="0" applyFont="0" applyFill="0" applyBorder="0" applyAlignment="0" applyProtection="0"/>
    <xf numFmtId="17" fontId="81" fillId="0" borderId="0" applyFont="0" applyFill="0" applyBorder="0" applyAlignment="0" applyProtection="0"/>
    <xf numFmtId="14" fontId="81" fillId="0" borderId="0" applyFill="0" applyBorder="0" applyAlignment="0"/>
    <xf numFmtId="0" fontId="45" fillId="0" borderId="0" applyFont="0" applyFill="0" applyBorder="0" applyProtection="0">
      <alignment horizontal="right"/>
    </xf>
    <xf numFmtId="232" fontId="102" fillId="0" borderId="0" applyFill="0" applyBorder="0">
      <alignment horizontal="right"/>
    </xf>
    <xf numFmtId="0" fontId="78" fillId="0" borderId="56">
      <alignment horizontal="center" vertical="center"/>
    </xf>
    <xf numFmtId="0" fontId="78" fillId="0" borderId="56" applyBorder="0">
      <alignment horizontal="center" vertical="center"/>
    </xf>
    <xf numFmtId="0" fontId="103" fillId="0" borderId="0" applyNumberFormat="0" applyFont="0" applyFill="0" applyBorder="0" applyAlignment="0" applyProtection="0">
      <alignment horizontal="left"/>
    </xf>
    <xf numFmtId="0" fontId="11" fillId="0" borderId="0"/>
    <xf numFmtId="0" fontId="96" fillId="0" borderId="0">
      <protection hidden="1"/>
    </xf>
    <xf numFmtId="0" fontId="11" fillId="0" borderId="0">
      <protection hidden="1"/>
    </xf>
    <xf numFmtId="0" fontId="104" fillId="0" borderId="0">
      <protection hidden="1"/>
    </xf>
    <xf numFmtId="233" fontId="46" fillId="65" borderId="0">
      <alignment horizontal="right"/>
    </xf>
    <xf numFmtId="0" fontId="26" fillId="0" borderId="0"/>
    <xf numFmtId="234" fontId="11" fillId="0" borderId="57">
      <alignment vertical="center"/>
    </xf>
    <xf numFmtId="15" fontId="105" fillId="66" borderId="0" applyNumberFormat="0" applyFont="0" applyBorder="0" applyAlignment="0" applyProtection="0"/>
    <xf numFmtId="3" fontId="96" fillId="0" borderId="58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6" fillId="9" borderId="0"/>
    <xf numFmtId="176" fontId="102" fillId="9" borderId="0"/>
    <xf numFmtId="0" fontId="106" fillId="0" borderId="0"/>
    <xf numFmtId="237" fontId="11" fillId="0" borderId="0"/>
    <xf numFmtId="0" fontId="107" fillId="0" borderId="0"/>
    <xf numFmtId="238" fontId="11" fillId="0" borderId="0"/>
    <xf numFmtId="238" fontId="11" fillId="0" borderId="45"/>
    <xf numFmtId="238" fontId="11" fillId="0" borderId="2"/>
    <xf numFmtId="238" fontId="11" fillId="0" borderId="32"/>
    <xf numFmtId="238" fontId="11" fillId="0" borderId="1"/>
    <xf numFmtId="0" fontId="11" fillId="0" borderId="59"/>
    <xf numFmtId="0" fontId="11" fillId="0" borderId="60" applyNumberFormat="0" applyFont="0" applyFill="0" applyAlignment="0" applyProtection="0"/>
    <xf numFmtId="208" fontId="108" fillId="65" borderId="0">
      <alignment horizontal="right"/>
    </xf>
    <xf numFmtId="175" fontId="109" fillId="0" borderId="0" applyFill="0" applyBorder="0" applyAlignment="0" applyProtection="0"/>
    <xf numFmtId="0" fontId="11" fillId="28" borderId="45" applyNumberFormat="0" applyFont="0" applyAlignment="0" applyProtection="0">
      <alignment horizontal="center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0" fontId="110" fillId="11" borderId="0" applyNumberFormat="0">
      <protection locked="0"/>
    </xf>
    <xf numFmtId="239" fontId="11" fillId="0" borderId="0" applyFill="0" applyBorder="0" applyAlignment="0"/>
    <xf numFmtId="218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217" fontId="11" fillId="0" borderId="0" applyFill="0" applyBorder="0" applyAlignment="0"/>
    <xf numFmtId="218" fontId="30" fillId="0" borderId="0" applyFill="0" applyBorder="0" applyAlignment="0"/>
    <xf numFmtId="0" fontId="11" fillId="0" borderId="0" applyFill="0" applyBorder="0" applyAlignment="0"/>
    <xf numFmtId="219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0" fontId="11" fillId="0" borderId="0" applyNumberFormat="0" applyAlignment="0">
      <alignment horizontal="left"/>
    </xf>
    <xf numFmtId="0" fontId="111" fillId="0" borderId="0" applyNumberFormat="0" applyAlignment="0">
      <alignment horizontal="left"/>
    </xf>
    <xf numFmtId="0" fontId="112" fillId="0" borderId="0"/>
    <xf numFmtId="166" fontId="112" fillId="0" borderId="0"/>
    <xf numFmtId="186" fontId="112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3" fillId="0" borderId="0" applyFont="0" applyFill="0" applyBorder="0" applyAlignment="0" applyProtection="0"/>
    <xf numFmtId="241" fontId="113" fillId="0" borderId="0" applyFont="0" applyFill="0" applyBorder="0" applyAlignment="0" applyProtection="0"/>
    <xf numFmtId="241" fontId="113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8" fillId="0" borderId="31"/>
    <xf numFmtId="3" fontId="115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6" fillId="0" borderId="45" applyFont="0" applyFill="0" applyBorder="0" applyAlignment="0" applyProtection="0"/>
    <xf numFmtId="0" fontId="46" fillId="0" borderId="45" applyFont="0" applyFill="0" applyBorder="0" applyAlignment="0" applyProtection="0"/>
    <xf numFmtId="0" fontId="116" fillId="0" borderId="0" applyFill="0" applyBorder="0" applyProtection="0">
      <alignment horizontal="left"/>
    </xf>
    <xf numFmtId="0" fontId="99" fillId="67" borderId="0">
      <alignment horizontal="right" vertical="center"/>
    </xf>
    <xf numFmtId="0" fontId="117" fillId="0" borderId="0"/>
    <xf numFmtId="0" fontId="46" fillId="0" borderId="0">
      <protection hidden="1"/>
    </xf>
    <xf numFmtId="0" fontId="118" fillId="0" borderId="0" applyNumberFormat="0" applyFill="0" applyBorder="0" applyAlignment="0" applyProtection="0"/>
    <xf numFmtId="244" fontId="11" fillId="0" borderId="0" applyAlignment="0">
      <alignment horizontal="right"/>
    </xf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39" fillId="68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0" fontId="119" fillId="10" borderId="0" applyNumberFormat="0" applyBorder="0" applyAlignment="0" applyProtection="0"/>
    <xf numFmtId="38" fontId="46" fillId="25" borderId="0" applyNumberFormat="0" applyBorder="0" applyAlignment="0" applyProtection="0"/>
    <xf numFmtId="0" fontId="120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1" fillId="0" borderId="0" applyProtection="0">
      <alignment horizontal="right"/>
    </xf>
    <xf numFmtId="210" fontId="122" fillId="0" borderId="61">
      <alignment vertical="center"/>
    </xf>
    <xf numFmtId="210" fontId="123" fillId="57" borderId="62">
      <alignment horizontal="left" vertical="center" indent="1"/>
    </xf>
    <xf numFmtId="0" fontId="29" fillId="0" borderId="63" applyNumberFormat="0" applyAlignment="0" applyProtection="0">
      <alignment horizontal="left" vertical="center"/>
    </xf>
    <xf numFmtId="0" fontId="29" fillId="0" borderId="34">
      <alignment horizontal="left" vertical="center"/>
    </xf>
    <xf numFmtId="0" fontId="122" fillId="0" borderId="64" applyNumberFormat="0" applyFill="0">
      <alignment horizontal="center" vertical="top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4" fillId="9" borderId="65" applyNumberFormat="0">
      <alignment horizontal="left" vertical="center" indent="1"/>
    </xf>
    <xf numFmtId="0" fontId="125" fillId="11" borderId="0" applyNumberFormat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8" fillId="0" borderId="67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8" fillId="0" borderId="67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8" fillId="0" borderId="67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6" fillId="0" borderId="66" applyNumberFormat="0" applyFill="0" applyAlignment="0" applyProtection="0"/>
    <xf numFmtId="0" fontId="128" fillId="0" borderId="67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6" fillId="0" borderId="66" applyNumberFormat="0" applyFill="0" applyAlignment="0" applyProtection="0"/>
    <xf numFmtId="0" fontId="127" fillId="0" borderId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1" fillId="0" borderId="69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1" fillId="0" borderId="69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1" fillId="0" borderId="69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29" fillId="0" borderId="68" applyNumberFormat="0" applyFill="0" applyAlignment="0" applyProtection="0"/>
    <xf numFmtId="0" fontId="131" fillId="0" borderId="69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29" fillId="0" borderId="68" applyNumberFormat="0" applyFill="0" applyAlignment="0" applyProtection="0"/>
    <xf numFmtId="0" fontId="130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4" fillId="0" borderId="71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4" fillId="0" borderId="71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4" fillId="0" borderId="71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70" applyNumberFormat="0" applyFill="0" applyAlignment="0" applyProtection="0"/>
    <xf numFmtId="0" fontId="134" fillId="0" borderId="71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2" fillId="0" borderId="70" applyNumberFormat="0" applyFill="0" applyAlignment="0" applyProtection="0"/>
    <xf numFmtId="0" fontId="133" fillId="0" borderId="0" applyProtection="0">
      <alignment horizontal="left"/>
    </xf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5" fillId="0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25" fillId="11" borderId="0" applyNumberFormat="0" applyAlignment="0" applyProtection="0"/>
    <xf numFmtId="0" fontId="136" fillId="0" borderId="0" applyNumberFormat="0">
      <protection locked="0"/>
    </xf>
    <xf numFmtId="186" fontId="46" fillId="0" borderId="31">
      <alignment horizontal="right" vertical="center"/>
    </xf>
    <xf numFmtId="245" fontId="28" fillId="0" borderId="0">
      <protection locked="0"/>
    </xf>
    <xf numFmtId="246" fontId="29" fillId="0" borderId="0"/>
    <xf numFmtId="245" fontId="28" fillId="0" borderId="0">
      <protection locked="0"/>
    </xf>
    <xf numFmtId="0" fontId="28" fillId="0" borderId="0"/>
    <xf numFmtId="0" fontId="11" fillId="0" borderId="32">
      <alignment horizontal="center"/>
    </xf>
    <xf numFmtId="0" fontId="137" fillId="0" borderId="32">
      <alignment horizontal="center"/>
    </xf>
    <xf numFmtId="0" fontId="11" fillId="0" borderId="0">
      <alignment horizontal="center"/>
    </xf>
    <xf numFmtId="0" fontId="137" fillId="0" borderId="0">
      <alignment horizontal="center"/>
    </xf>
    <xf numFmtId="0" fontId="138" fillId="0" borderId="0">
      <alignment vertical="center"/>
    </xf>
    <xf numFmtId="0" fontId="138" fillId="0" borderId="0"/>
    <xf numFmtId="0" fontId="96" fillId="0" borderId="0"/>
    <xf numFmtId="3" fontId="139" fillId="0" borderId="0">
      <protection hidden="1"/>
    </xf>
    <xf numFmtId="0" fontId="140" fillId="0" borderId="72" applyNumberFormat="0" applyFill="0" applyAlignment="0" applyProtection="0"/>
    <xf numFmtId="0" fontId="78" fillId="11" borderId="73">
      <alignment horizontal="left" vertical="center" wrapText="1"/>
    </xf>
    <xf numFmtId="0" fontId="35" fillId="0" borderId="74" applyNumberFormat="0" applyAlignment="0"/>
    <xf numFmtId="0" fontId="141" fillId="0" borderId="0"/>
    <xf numFmtId="9" fontId="142" fillId="0" borderId="44"/>
    <xf numFmtId="0" fontId="142" fillId="0" borderId="44"/>
    <xf numFmtId="10" fontId="142" fillId="0" borderId="44"/>
    <xf numFmtId="0" fontId="142" fillId="0" borderId="44"/>
    <xf numFmtId="4" fontId="142" fillId="0" borderId="44"/>
    <xf numFmtId="10" fontId="46" fillId="14" borderId="45" applyNumberFormat="0" applyBorder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42" fillId="22" borderId="25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143" fillId="22" borderId="51" applyNumberFormat="0" applyAlignment="0" applyProtection="0"/>
    <xf numFmtId="0" fontId="38" fillId="0" borderId="0" applyAlignment="0">
      <protection locked="0"/>
    </xf>
    <xf numFmtId="247" fontId="46" fillId="69" borderId="0"/>
    <xf numFmtId="14" fontId="144" fillId="0" borderId="0">
      <alignment horizontal="center"/>
      <protection locked="0"/>
    </xf>
    <xf numFmtId="8" fontId="46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11" fillId="11" borderId="0"/>
    <xf numFmtId="248" fontId="46" fillId="0" borderId="0"/>
    <xf numFmtId="249" fontId="46" fillId="0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/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>
      <protection locked="0"/>
    </xf>
    <xf numFmtId="3" fontId="96" fillId="11" borderId="0"/>
    <xf numFmtId="248" fontId="145" fillId="14" borderId="0" applyNumberFormat="0" applyBorder="0" applyAlignment="0">
      <protection locked="0"/>
    </xf>
    <xf numFmtId="250" fontId="48" fillId="14" borderId="75">
      <alignment horizontal="center"/>
      <protection locked="0"/>
    </xf>
    <xf numFmtId="37" fontId="48" fillId="14" borderId="75">
      <alignment horizontal="right"/>
      <protection locked="0"/>
    </xf>
    <xf numFmtId="9" fontId="146" fillId="14" borderId="75">
      <alignment horizontal="right"/>
      <protection locked="0"/>
    </xf>
    <xf numFmtId="37" fontId="67" fillId="0" borderId="75">
      <alignment horizontal="right"/>
    </xf>
    <xf numFmtId="166" fontId="46" fillId="0" borderId="75">
      <alignment horizontal="right"/>
    </xf>
    <xf numFmtId="0" fontId="147" fillId="0" borderId="0"/>
    <xf numFmtId="251" fontId="11" fillId="0" borderId="0">
      <alignment horizontal="right"/>
    </xf>
    <xf numFmtId="1" fontId="148" fillId="1" borderId="2">
      <protection locked="0"/>
    </xf>
    <xf numFmtId="248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1" fillId="9" borderId="0">
      <alignment horizontal="left"/>
    </xf>
    <xf numFmtId="239" fontId="11" fillId="0" borderId="0" applyFill="0" applyBorder="0" applyAlignment="0"/>
    <xf numFmtId="218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217" fontId="11" fillId="0" borderId="0" applyFill="0" applyBorder="0" applyAlignment="0"/>
    <xf numFmtId="218" fontId="30" fillId="0" borderId="0" applyFill="0" applyBorder="0" applyAlignment="0"/>
    <xf numFmtId="0" fontId="11" fillId="0" borderId="0" applyFill="0" applyBorder="0" applyAlignment="0"/>
    <xf numFmtId="219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37" fontId="152" fillId="0" borderId="0" applyNumberFormat="0" applyFill="0" applyBorder="0" applyAlignment="0" applyProtection="0">
      <alignment horizontal="right"/>
    </xf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4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4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4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4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3" fillId="0" borderId="76" applyNumberFormat="0" applyFill="0" applyAlignment="0" applyProtection="0"/>
    <xf numFmtId="0" fontId="154" fillId="0" borderId="76" applyNumberFormat="0" applyFill="0" applyAlignment="0" applyProtection="0"/>
    <xf numFmtId="247" fontId="46" fillId="62" borderId="0"/>
    <xf numFmtId="0" fontId="99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6" fillId="0" borderId="0" applyFont="0" applyFill="0" applyBorder="0" applyAlignment="0" applyProtection="0"/>
    <xf numFmtId="255" fontId="46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6" fillId="0" borderId="0" applyFont="0" applyFill="0" applyBorder="0" applyAlignment="0" applyProtection="0"/>
    <xf numFmtId="248" fontId="46" fillId="0" borderId="0" applyFont="0" applyFill="0" applyBorder="0" applyAlignment="0" applyProtection="0"/>
    <xf numFmtId="0" fontId="11" fillId="0" borderId="0"/>
    <xf numFmtId="0" fontId="59" fillId="0" borderId="77" applyNumberFormat="0">
      <alignment horizontal="left"/>
    </xf>
    <xf numFmtId="0" fontId="155" fillId="0" borderId="0" applyFont="0" applyFill="0" applyBorder="0" applyProtection="0">
      <alignment horizontal="right"/>
    </xf>
    <xf numFmtId="49" fontId="156" fillId="64" borderId="0">
      <alignment horizontal="centerContinuous" vertical="center"/>
    </xf>
    <xf numFmtId="259" fontId="46" fillId="25" borderId="0" applyFont="0" applyBorder="0" applyAlignment="0" applyProtection="0">
      <alignment horizontal="right"/>
      <protection hidden="1"/>
    </xf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41" fillId="70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8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8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8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8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7" fillId="11" borderId="0" applyNumberFormat="0" applyBorder="0" applyAlignment="0" applyProtection="0"/>
    <xf numFmtId="0" fontId="158" fillId="11" borderId="0" applyNumberFormat="0" applyBorder="0" applyAlignment="0" applyProtection="0"/>
    <xf numFmtId="0" fontId="12" fillId="56" borderId="46">
      <alignment horizontal="center" wrapText="1"/>
    </xf>
    <xf numFmtId="0" fontId="38" fillId="0" borderId="0"/>
    <xf numFmtId="0" fontId="159" fillId="45" borderId="0"/>
    <xf numFmtId="0" fontId="12" fillId="71" borderId="0"/>
    <xf numFmtId="0" fontId="12" fillId="71" borderId="0"/>
    <xf numFmtId="0" fontId="160" fillId="0" borderId="0"/>
    <xf numFmtId="37" fontId="161" fillId="0" borderId="0"/>
    <xf numFmtId="260" fontId="11" fillId="0" borderId="0"/>
    <xf numFmtId="0" fontId="162" fillId="25" borderId="0">
      <alignment horizontal="left" indent="1"/>
    </xf>
    <xf numFmtId="0" fontId="49" fillId="0" borderId="0"/>
    <xf numFmtId="16" fontId="38" fillId="0" borderId="0"/>
    <xf numFmtId="14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6" fillId="0" borderId="45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1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11" fillId="0" borderId="0"/>
    <xf numFmtId="4" fontId="67" fillId="9" borderId="39">
      <alignment horizontal="left" vertical="center" indent="2"/>
    </xf>
    <xf numFmtId="0" fontId="11" fillId="0" borderId="0"/>
    <xf numFmtId="4" fontId="67" fillId="9" borderId="39">
      <alignment horizontal="left" vertical="center" indent="2"/>
    </xf>
    <xf numFmtId="0" fontId="11" fillId="0" borderId="0"/>
    <xf numFmtId="4" fontId="67" fillId="9" borderId="39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11" fillId="0" borderId="0"/>
    <xf numFmtId="0" fontId="11" fillId="0" borderId="0"/>
    <xf numFmtId="220" fontId="8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31" fillId="0" borderId="0"/>
    <xf numFmtId="0" fontId="31" fillId="0" borderId="0"/>
    <xf numFmtId="4" fontId="67" fillId="9" borderId="39">
      <alignment horizontal="left" vertical="center" indent="2"/>
    </xf>
    <xf numFmtId="0" fontId="31" fillId="0" borderId="0"/>
    <xf numFmtId="0" fontId="31" fillId="0" borderId="0"/>
    <xf numFmtId="4" fontId="67" fillId="9" borderId="39">
      <alignment horizontal="left" vertical="center" indent="2"/>
    </xf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31" fillId="0" borderId="0"/>
    <xf numFmtId="0" fontId="31" fillId="0" borderId="0"/>
    <xf numFmtId="4" fontId="67" fillId="9" borderId="39">
      <alignment horizontal="left" vertical="center" indent="2"/>
    </xf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11" fillId="0" borderId="0"/>
    <xf numFmtId="220" fontId="81" fillId="0" borderId="0"/>
    <xf numFmtId="0" fontId="11" fillId="0" borderId="0"/>
    <xf numFmtId="0" fontId="11" fillId="0" borderId="0"/>
    <xf numFmtId="0" fontId="11" fillId="0" borderId="0"/>
    <xf numFmtId="4" fontId="67" fillId="9" borderId="39">
      <alignment horizontal="left" vertical="center" indent="2"/>
    </xf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3" fillId="0" borderId="0"/>
    <xf numFmtId="0" fontId="31" fillId="0" borderId="0"/>
    <xf numFmtId="0" fontId="46" fillId="0" borderId="0"/>
    <xf numFmtId="0" fontId="31" fillId="0" borderId="0"/>
    <xf numFmtId="0" fontId="31" fillId="0" borderId="0"/>
    <xf numFmtId="0" fontId="31" fillId="0" borderId="0"/>
    <xf numFmtId="0" fontId="46" fillId="0" borderId="0"/>
    <xf numFmtId="0" fontId="31" fillId="0" borderId="0"/>
    <xf numFmtId="0" fontId="31" fillId="0" borderId="0"/>
    <xf numFmtId="0" fontId="46" fillId="0" borderId="0"/>
    <xf numFmtId="0" fontId="46" fillId="0" borderId="0"/>
    <xf numFmtId="0" fontId="31" fillId="0" borderId="0"/>
    <xf numFmtId="0" fontId="11" fillId="0" borderId="0">
      <alignment vertical="center"/>
    </xf>
    <xf numFmtId="0" fontId="11" fillId="0" borderId="0"/>
    <xf numFmtId="0" fontId="31" fillId="0" borderId="0"/>
    <xf numFmtId="0" fontId="31" fillId="0" borderId="0"/>
    <xf numFmtId="0" fontId="11" fillId="0" borderId="0" applyNumberFormat="0" applyFill="0" applyAlignment="0" applyProtection="0"/>
    <xf numFmtId="263" fontId="81" fillId="0" borderId="0" applyFont="0" applyFill="0" applyBorder="0" applyAlignment="0" applyProtection="0"/>
    <xf numFmtId="264" fontId="81" fillId="0" borderId="0" applyFont="0" applyFill="0" applyBorder="0" applyAlignment="0" applyProtection="0"/>
    <xf numFmtId="265" fontId="11" fillId="0" borderId="0" applyFont="0" applyFill="0" applyAlignment="0" applyProtection="0"/>
    <xf numFmtId="266" fontId="81" fillId="0" borderId="0" applyFont="0" applyFill="0" applyBorder="0" applyAlignment="0" applyProtection="0"/>
    <xf numFmtId="267" fontId="81" fillId="0" borderId="0" applyFont="0" applyFill="0" applyBorder="0" applyAlignment="0" applyProtection="0"/>
    <xf numFmtId="0" fontId="164" fillId="0" borderId="0"/>
    <xf numFmtId="0" fontId="28" fillId="25" borderId="34" applyNumberFormat="0" applyFont="0" applyFill="0">
      <alignment horizontal="center"/>
    </xf>
    <xf numFmtId="14" fontId="11" fillId="0" borderId="0">
      <alignment horizontal="center"/>
    </xf>
    <xf numFmtId="0" fontId="165" fillId="0" borderId="0"/>
    <xf numFmtId="0" fontId="166" fillId="0" borderId="0"/>
    <xf numFmtId="0" fontId="11" fillId="0" borderId="0">
      <alignment horizontal="left"/>
      <protection locked="0"/>
    </xf>
    <xf numFmtId="0" fontId="11" fillId="0" borderId="35">
      <protection locked="0"/>
    </xf>
    <xf numFmtId="0" fontId="11" fillId="0" borderId="1">
      <protection locked="0"/>
    </xf>
    <xf numFmtId="0" fontId="11" fillId="0" borderId="33">
      <protection locked="0"/>
    </xf>
    <xf numFmtId="0" fontId="11" fillId="0" borderId="31"/>
    <xf numFmtId="37" fontId="167" fillId="0" borderId="0" applyNumberFormat="0" applyFont="0" applyFill="0" applyBorder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60" fillId="14" borderId="29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3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3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1" fillId="14" borderId="78" applyNumberFormat="0" applyFont="0" applyAlignment="0" applyProtection="0"/>
    <xf numFmtId="0" fontId="168" fillId="0" borderId="79"/>
    <xf numFmtId="268" fontId="46" fillId="0" borderId="0" applyFont="0" applyFill="0" applyBorder="0" applyAlignment="0" applyProtection="0"/>
    <xf numFmtId="37" fontId="11" fillId="0" borderId="0"/>
    <xf numFmtId="269" fontId="169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0" fillId="0" borderId="0"/>
    <xf numFmtId="270" fontId="46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1" fillId="0" borderId="80">
      <alignment horizontal="center" vertical="top" wrapText="1"/>
      <protection locked="0"/>
    </xf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43" fillId="59" borderId="26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25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25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25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25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9" borderId="81" applyNumberFormat="0" applyAlignment="0" applyProtection="0"/>
    <xf numFmtId="0" fontId="172" fillId="25" borderId="81" applyNumberFormat="0" applyAlignment="0" applyProtection="0"/>
    <xf numFmtId="40" fontId="173" fillId="9" borderId="0">
      <alignment horizontal="right"/>
    </xf>
    <xf numFmtId="0" fontId="174" fillId="72" borderId="0">
      <alignment horizontal="center"/>
    </xf>
    <xf numFmtId="0" fontId="175" fillId="9" borderId="36"/>
    <xf numFmtId="0" fontId="176" fillId="9" borderId="0" applyBorder="0">
      <alignment horizontal="centerContinuous"/>
    </xf>
    <xf numFmtId="0" fontId="177" fillId="73" borderId="0" applyBorder="0">
      <alignment horizontal="centerContinuous"/>
    </xf>
    <xf numFmtId="3" fontId="28" fillId="19" borderId="45" applyNumberFormat="0" applyAlignment="0">
      <alignment horizontal="center"/>
      <protection locked="0"/>
    </xf>
    <xf numFmtId="0" fontId="178" fillId="0" borderId="0" applyFill="0" applyBorder="0" applyProtection="0">
      <alignment horizontal="left"/>
    </xf>
    <xf numFmtId="0" fontId="179" fillId="0" borderId="0" applyFill="0" applyBorder="0" applyProtection="0">
      <alignment horizontal="left"/>
    </xf>
    <xf numFmtId="1" fontId="180" fillId="0" borderId="0" applyProtection="0">
      <alignment horizontal="right" vertical="center"/>
    </xf>
    <xf numFmtId="0" fontId="181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5" fillId="0" borderId="0">
      <alignment horizontal="center" wrapText="1"/>
      <protection locked="0"/>
    </xf>
    <xf numFmtId="205" fontId="82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0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6" fillId="0" borderId="0"/>
    <xf numFmtId="275" fontId="51" fillId="0" borderId="0">
      <protection hidden="1"/>
    </xf>
    <xf numFmtId="3" fontId="96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5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6" fillId="0" borderId="0"/>
    <xf numFmtId="0" fontId="182" fillId="11" borderId="56">
      <alignment horizontal="center" vertical="center"/>
    </xf>
    <xf numFmtId="276" fontId="46" fillId="0" borderId="0" applyFont="0" applyFill="0" applyBorder="0" applyAlignment="0" applyProtection="0"/>
    <xf numFmtId="0" fontId="11" fillId="0" borderId="0">
      <protection locked="0"/>
    </xf>
    <xf numFmtId="0" fontId="183" fillId="0" borderId="0">
      <protection locked="0"/>
    </xf>
    <xf numFmtId="0" fontId="11" fillId="0" borderId="0">
      <protection locked="0"/>
    </xf>
    <xf numFmtId="0" fontId="28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217" fontId="11" fillId="0" borderId="0" applyFill="0" applyBorder="0" applyAlignment="0"/>
    <xf numFmtId="218" fontId="30" fillId="0" borderId="0" applyFill="0" applyBorder="0" applyAlignment="0"/>
    <xf numFmtId="0" fontId="11" fillId="0" borderId="0" applyFill="0" applyBorder="0" applyAlignment="0"/>
    <xf numFmtId="219" fontId="30" fillId="0" borderId="0" applyFill="0" applyBorder="0" applyAlignment="0"/>
    <xf numFmtId="212" fontId="11" fillId="0" borderId="0" applyFill="0" applyBorder="0" applyAlignment="0"/>
    <xf numFmtId="213" fontId="30" fillId="0" borderId="0" applyFill="0" applyBorder="0" applyAlignment="0"/>
    <xf numFmtId="0" fontId="184" fillId="0" borderId="0" applyNumberFormat="0" applyFill="0" applyBorder="0" applyAlignment="0" applyProtection="0"/>
    <xf numFmtId="5" fontId="185" fillId="0" borderId="0"/>
    <xf numFmtId="5" fontId="186" fillId="0" borderId="0"/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0" fontId="187" fillId="49" borderId="0">
      <alignment horizontal="left" indent="1"/>
    </xf>
    <xf numFmtId="9" fontId="188" fillId="0" borderId="58"/>
    <xf numFmtId="9" fontId="188" fillId="0" borderId="58"/>
    <xf numFmtId="3" fontId="110" fillId="0" borderId="0">
      <protection locked="0"/>
    </xf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79" fillId="0" borderId="32">
      <alignment horizontal="center"/>
    </xf>
    <xf numFmtId="3" fontId="59" fillId="0" borderId="0" applyFont="0" applyFill="0" applyBorder="0" applyAlignment="0" applyProtection="0"/>
    <xf numFmtId="0" fontId="59" fillId="74" borderId="0" applyNumberFormat="0" applyFont="0" applyBorder="0" applyAlignment="0" applyProtection="0"/>
    <xf numFmtId="248" fontId="189" fillId="0" borderId="0" applyNumberFormat="0" applyFill="0" applyBorder="0" applyAlignment="0" applyProtection="0">
      <alignment horizontal="left"/>
    </xf>
    <xf numFmtId="0" fontId="37" fillId="0" borderId="37" applyNumberFormat="0" applyFill="0" applyBorder="0" applyAlignment="0" applyProtection="0">
      <alignment horizontal="center"/>
    </xf>
    <xf numFmtId="3" fontId="190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0" fontId="188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4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90" fillId="25" borderId="0"/>
    <xf numFmtId="3" fontId="11" fillId="25" borderId="0"/>
    <xf numFmtId="0" fontId="191" fillId="75" borderId="0" applyNumberFormat="0" applyFont="0" applyBorder="0" applyAlignment="0">
      <alignment horizontal="center"/>
    </xf>
    <xf numFmtId="41" fontId="151" fillId="11" borderId="0">
      <alignment horizontal="center"/>
    </xf>
    <xf numFmtId="49" fontId="192" fillId="9" borderId="0">
      <alignment horizontal="center"/>
    </xf>
    <xf numFmtId="278" fontId="193" fillId="0" borderId="0" applyNumberFormat="0" applyFill="0" applyBorder="0" applyAlignment="0" applyProtection="0">
      <alignment horizontal="left"/>
    </xf>
    <xf numFmtId="278" fontId="194" fillId="0" borderId="0" applyNumberFormat="0" applyFill="0" applyBorder="0" applyAlignment="0" applyProtection="0">
      <alignment horizontal="left"/>
    </xf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0" fontId="195" fillId="9" borderId="0" applyFont="0" applyFill="0" applyAlignment="0"/>
    <xf numFmtId="37" fontId="28" fillId="49" borderId="0" applyBorder="0" applyAlignment="0" applyProtection="0"/>
    <xf numFmtId="37" fontId="46" fillId="0" borderId="0" applyNumberFormat="0" applyFont="0" applyFill="0" applyBorder="0" applyAlignment="0" applyProtection="0"/>
    <xf numFmtId="37" fontId="46" fillId="0" borderId="0" applyNumberFormat="0" applyFont="0" applyFill="0" applyBorder="0" applyAlignment="0" applyProtection="0"/>
    <xf numFmtId="37" fontId="46" fillId="0" borderId="0" applyNumberFormat="0" applyFont="0" applyFill="0" applyBorder="0" applyAlignment="0" applyProtection="0"/>
    <xf numFmtId="41" fontId="90" fillId="62" borderId="0">
      <alignment horizontal="center"/>
    </xf>
    <xf numFmtId="41" fontId="90" fillId="62" borderId="0">
      <alignment horizontal="centerContinuous"/>
    </xf>
    <xf numFmtId="41" fontId="196" fillId="9" borderId="0">
      <alignment horizontal="left"/>
    </xf>
    <xf numFmtId="49" fontId="196" fillId="9" borderId="0">
      <alignment horizontal="center"/>
    </xf>
    <xf numFmtId="41" fontId="12" fillId="62" borderId="0">
      <alignment horizontal="left"/>
    </xf>
    <xf numFmtId="49" fontId="196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1" fillId="9" borderId="0">
      <alignment horizontal="left"/>
    </xf>
    <xf numFmtId="5" fontId="11" fillId="0" borderId="0"/>
    <xf numFmtId="41" fontId="90" fillId="62" borderId="0">
      <alignment horizontal="right"/>
    </xf>
    <xf numFmtId="0" fontId="89" fillId="0" borderId="0" applyNumberFormat="0" applyFill="0" applyBorder="0" applyAlignment="0" applyProtection="0">
      <alignment vertical="top"/>
    </xf>
    <xf numFmtId="0" fontId="197" fillId="25" borderId="50" applyNumberFormat="0" applyAlignment="0">
      <protection locked="0"/>
    </xf>
    <xf numFmtId="0" fontId="198" fillId="0" borderId="82">
      <alignment vertical="center"/>
    </xf>
    <xf numFmtId="41" fontId="196" fillId="22" borderId="0">
      <alignment horizontal="center"/>
    </xf>
    <xf numFmtId="41" fontId="48" fillId="22" borderId="0">
      <alignment horizontal="center"/>
    </xf>
    <xf numFmtId="0" fontId="199" fillId="76" borderId="0"/>
    <xf numFmtId="0" fontId="200" fillId="58" borderId="0" applyNumberFormat="0" applyBorder="0" applyAlignment="0" applyProtection="0"/>
    <xf numFmtId="0" fontId="38" fillId="71" borderId="0" applyNumberFormat="0" applyFont="0" applyBorder="0" applyAlignment="0" applyProtection="0"/>
    <xf numFmtId="0" fontId="191" fillId="1" borderId="34" applyNumberFormat="0" applyFont="0" applyAlignment="0">
      <alignment horizontal="center"/>
    </xf>
    <xf numFmtId="1" fontId="11" fillId="0" borderId="0"/>
    <xf numFmtId="0" fontId="201" fillId="0" borderId="83">
      <alignment horizontal="center" vertical="center"/>
    </xf>
    <xf numFmtId="208" fontId="34" fillId="65" borderId="0">
      <alignment horizontal="right"/>
    </xf>
    <xf numFmtId="175" fontId="80" fillId="0" borderId="0" applyFill="0" applyBorder="0" applyAlignment="0" applyProtection="0"/>
    <xf numFmtId="0" fontId="99" fillId="64" borderId="0">
      <alignment horizontal="right" vertical="center"/>
    </xf>
    <xf numFmtId="0" fontId="100" fillId="0" borderId="0" applyNumberFormat="0" applyFill="0" applyBorder="0" applyAlignment="0">
      <alignment horizontal="center"/>
    </xf>
    <xf numFmtId="0" fontId="202" fillId="0" borderId="0"/>
    <xf numFmtId="174" fontId="169" fillId="0" borderId="0"/>
    <xf numFmtId="0" fontId="203" fillId="0" borderId="84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6" fillId="0" borderId="7" applyBorder="0"/>
    <xf numFmtId="37" fontId="46" fillId="0" borderId="7" applyBorder="0"/>
    <xf numFmtId="37" fontId="102" fillId="0" borderId="7" applyBorder="0"/>
    <xf numFmtId="37" fontId="11" fillId="0" borderId="7" applyBorder="0"/>
    <xf numFmtId="37" fontId="87" fillId="0" borderId="7" applyBorder="0"/>
    <xf numFmtId="37" fontId="204" fillId="72" borderId="85" applyBorder="0">
      <alignment vertical="center"/>
    </xf>
    <xf numFmtId="0" fontId="205" fillId="0" borderId="0"/>
    <xf numFmtId="0" fontId="28" fillId="0" borderId="0"/>
    <xf numFmtId="40" fontId="206" fillId="0" borderId="0" applyBorder="0">
      <alignment horizontal="right"/>
    </xf>
    <xf numFmtId="40" fontId="207" fillId="0" borderId="0" applyBorder="0">
      <alignment horizontal="right"/>
    </xf>
    <xf numFmtId="0" fontId="28" fillId="0" borderId="0" applyNumberFormat="0" applyFont="0"/>
    <xf numFmtId="0" fontId="138" fillId="0" borderId="0"/>
    <xf numFmtId="0" fontId="208" fillId="0" borderId="0"/>
    <xf numFmtId="0" fontId="27" fillId="0" borderId="0" applyFill="0" applyBorder="0" applyProtection="0">
      <alignment horizontal="center" vertical="center"/>
    </xf>
    <xf numFmtId="0" fontId="209" fillId="0" borderId="0" applyBorder="0" applyProtection="0">
      <alignment vertical="center"/>
    </xf>
    <xf numFmtId="0" fontId="11" fillId="0" borderId="31" applyBorder="0" applyProtection="0">
      <alignment horizontal="right" vertical="center"/>
    </xf>
    <xf numFmtId="0" fontId="210" fillId="77" borderId="0" applyBorder="0" applyProtection="0">
      <alignment horizontal="centerContinuous" vertical="center"/>
    </xf>
    <xf numFmtId="0" fontId="210" fillId="57" borderId="31" applyBorder="0" applyProtection="0">
      <alignment horizontal="centerContinuous" vertical="center"/>
    </xf>
    <xf numFmtId="0" fontId="211" fillId="0" borderId="0"/>
    <xf numFmtId="0" fontId="27" fillId="0" borderId="0" applyFill="0" applyBorder="0" applyProtection="0"/>
    <xf numFmtId="0" fontId="165" fillId="0" borderId="0"/>
    <xf numFmtId="0" fontId="28" fillId="0" borderId="0" applyFill="0" applyBorder="0" applyProtection="0">
      <alignment horizontal="left"/>
    </xf>
    <xf numFmtId="0" fontId="47" fillId="0" borderId="0" applyFill="0" applyBorder="0" applyProtection="0">
      <alignment horizontal="left" vertical="top"/>
    </xf>
    <xf numFmtId="0" fontId="37" fillId="0" borderId="0">
      <alignment horizontal="centerContinuous"/>
    </xf>
    <xf numFmtId="2" fontId="96" fillId="0" borderId="0"/>
    <xf numFmtId="0" fontId="11" fillId="0" borderId="0" applyNumberFormat="0" applyFont="0" applyAlignment="0" applyProtection="0"/>
    <xf numFmtId="0" fontId="11" fillId="0" borderId="0"/>
    <xf numFmtId="279" fontId="11" fillId="0" borderId="45" applyFont="0" applyFill="0" applyBorder="0" applyAlignment="0" applyProtection="0">
      <protection locked="0" hidden="1"/>
    </xf>
    <xf numFmtId="0" fontId="78" fillId="0" borderId="73">
      <alignment horizontal="left" vertical="top" wrapText="1"/>
    </xf>
    <xf numFmtId="0" fontId="212" fillId="49" borderId="0">
      <alignment horizontal="left" vertical="center" indent="1"/>
    </xf>
    <xf numFmtId="0" fontId="213" fillId="0" borderId="0"/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2" fillId="49" borderId="0">
      <alignment horizontal="left" vertical="center" indent="1"/>
    </xf>
    <xf numFmtId="0" fontId="214" fillId="0" borderId="0"/>
    <xf numFmtId="49" fontId="81" fillId="0" borderId="0" applyFill="0" applyBorder="0" applyAlignment="0"/>
    <xf numFmtId="239" fontId="59" fillId="0" borderId="0" applyFill="0" applyBorder="0" applyAlignment="0"/>
    <xf numFmtId="280" fontId="30" fillId="0" borderId="0" applyFill="0" applyBorder="0" applyAlignment="0"/>
    <xf numFmtId="281" fontId="11" fillId="0" borderId="0" applyFill="0" applyBorder="0" applyAlignment="0"/>
    <xf numFmtId="282" fontId="30" fillId="0" borderId="0" applyFill="0" applyBorder="0" applyAlignment="0"/>
    <xf numFmtId="0" fontId="102" fillId="65" borderId="0"/>
    <xf numFmtId="0" fontId="46" fillId="65" borderId="0">
      <alignment horizontal="left"/>
    </xf>
    <xf numFmtId="0" fontId="46" fillId="65" borderId="0">
      <alignment horizontal="left" indent="1"/>
    </xf>
    <xf numFmtId="0" fontId="46" fillId="65" borderId="0">
      <alignment horizontal="left" vertical="center" indent="2"/>
    </xf>
    <xf numFmtId="0" fontId="26" fillId="0" borderId="0">
      <alignment horizontal="centerContinuous" wrapText="1"/>
    </xf>
    <xf numFmtId="0" fontId="104" fillId="0" borderId="0" applyNumberFormat="0" applyFont="0" applyFill="0" applyBorder="0" applyProtection="0">
      <alignment wrapText="1"/>
    </xf>
    <xf numFmtId="0" fontId="91" fillId="0" borderId="0">
      <alignment vertical="top"/>
    </xf>
    <xf numFmtId="0" fontId="215" fillId="0" borderId="0"/>
    <xf numFmtId="0" fontId="196" fillId="0" borderId="0">
      <alignment vertical="top"/>
    </xf>
    <xf numFmtId="283" fontId="216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17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8" fillId="65" borderId="0">
      <alignment horizontal="left" vertical="center" indent="1"/>
    </xf>
    <xf numFmtId="0" fontId="221" fillId="0" borderId="0">
      <alignment vertical="top"/>
    </xf>
    <xf numFmtId="0" fontId="78" fillId="22" borderId="73">
      <alignment horizontal="center" wrapText="1"/>
    </xf>
    <xf numFmtId="0" fontId="78" fillId="22" borderId="73">
      <alignment horizontal="left" vertical="top" wrapText="1"/>
    </xf>
    <xf numFmtId="0" fontId="78" fillId="14" borderId="83">
      <alignment horizontal="left" vertical="center" wrapText="1" indent="1"/>
    </xf>
    <xf numFmtId="0" fontId="222" fillId="0" borderId="0">
      <alignment horizontal="right"/>
    </xf>
    <xf numFmtId="0" fontId="35" fillId="0" borderId="0" applyNumberFormat="0" applyBorder="0" applyAlignment="0"/>
    <xf numFmtId="285" fontId="11" fillId="0" borderId="1" applyNumberFormat="0" applyFont="0" applyFill="0" applyAlignment="0" applyProtection="0"/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78" fillId="14" borderId="73">
      <alignment horizontal="center" vertical="center" wrapText="1"/>
    </xf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223" fillId="0" borderId="30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8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8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8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0" fontId="32" fillId="0" borderId="86" applyNumberFormat="0" applyFill="0" applyAlignment="0" applyProtection="0"/>
    <xf numFmtId="0" fontId="32" fillId="0" borderId="88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2" fillId="0" borderId="86" applyNumberFormat="0" applyFill="0" applyAlignment="0" applyProtection="0"/>
    <xf numFmtId="0" fontId="30" fillId="0" borderId="87" applyNumberFormat="0" applyFont="0" applyFill="0" applyAlignment="0" applyProtection="0"/>
    <xf numFmtId="15" fontId="224" fillId="22" borderId="89">
      <alignment horizontal="center" vertical="center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78" fillId="11" borderId="73">
      <alignment horizontal="center" vertical="center" wrapText="1"/>
    </xf>
    <xf numFmtId="0" fontId="225" fillId="0" borderId="0">
      <alignment horizontal="centerContinuous"/>
    </xf>
    <xf numFmtId="0" fontId="11" fillId="0" borderId="31"/>
    <xf numFmtId="37" fontId="46" fillId="11" borderId="0" applyNumberFormat="0" applyBorder="0" applyAlignment="0" applyProtection="0"/>
    <xf numFmtId="37" fontId="46" fillId="0" borderId="0"/>
    <xf numFmtId="37" fontId="226" fillId="11" borderId="0" applyNumberFormat="0" applyBorder="0" applyAlignment="0" applyProtection="0"/>
    <xf numFmtId="3" fontId="48" fillId="0" borderId="72" applyProtection="0"/>
    <xf numFmtId="41" fontId="227" fillId="9" borderId="0">
      <alignment horizontal="center"/>
    </xf>
    <xf numFmtId="0" fontId="82" fillId="0" borderId="90"/>
    <xf numFmtId="278" fontId="46" fillId="0" borderId="0">
      <alignment horizontal="center"/>
    </xf>
    <xf numFmtId="250" fontId="46" fillId="0" borderId="75">
      <alignment horizontal="center"/>
    </xf>
    <xf numFmtId="37" fontId="46" fillId="0" borderId="75">
      <alignment horizontal="right"/>
    </xf>
    <xf numFmtId="9" fontId="67" fillId="0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37" fontId="67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166" fontId="46" fillId="25" borderId="75">
      <alignment horizontal="right"/>
    </xf>
    <xf numFmtId="41" fontId="228" fillId="0" borderId="0" applyNumberFormat="0" applyAlignment="0">
      <alignment horizontal="right"/>
    </xf>
    <xf numFmtId="37" fontId="102" fillId="25" borderId="75">
      <alignment horizontal="right"/>
    </xf>
    <xf numFmtId="37" fontId="229" fillId="25" borderId="75">
      <alignment horizontal="right"/>
    </xf>
    <xf numFmtId="37" fontId="46" fillId="25" borderId="75">
      <alignment horizontal="right"/>
    </xf>
    <xf numFmtId="9" fontId="67" fillId="25" borderId="75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0" fillId="0" borderId="0">
      <protection hidden="1"/>
    </xf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37" fontId="46" fillId="0" borderId="0" applyNumberFormat="0" applyFont="0" applyFill="0" applyBorder="0" applyAlignment="0" applyProtection="0"/>
    <xf numFmtId="10" fontId="11" fillId="28" borderId="45" applyNumberFormat="0" applyFont="0" applyBorder="0" applyAlignment="0" applyProtection="0">
      <protection locked="0"/>
    </xf>
    <xf numFmtId="195" fontId="26" fillId="0" borderId="0"/>
    <xf numFmtId="0" fontId="45" fillId="0" borderId="0" applyFont="0" applyFill="0" applyBorder="0" applyProtection="0">
      <alignment horizontal="right"/>
    </xf>
    <xf numFmtId="0" fontId="46" fillId="11" borderId="0"/>
    <xf numFmtId="175" fontId="8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3" fillId="0" borderId="0" applyFont="0" applyFill="0" applyBorder="0" applyAlignment="0" applyProtection="0"/>
    <xf numFmtId="0" fontId="234" fillId="0" borderId="0"/>
    <xf numFmtId="0" fontId="62" fillId="0" borderId="0"/>
    <xf numFmtId="0" fontId="235" fillId="11" borderId="0" applyNumberFormat="0" applyBorder="0" applyAlignment="0" applyProtection="0">
      <alignment vertical="center"/>
    </xf>
    <xf numFmtId="0" fontId="236" fillId="14" borderId="78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7" fillId="0" borderId="88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3" fillId="0" borderId="0" applyFont="0" applyFill="0" applyBorder="0" applyAlignment="0" applyProtection="0"/>
    <xf numFmtId="290" fontId="233" fillId="0" borderId="0" applyFont="0" applyFill="0" applyBorder="0" applyAlignment="0" applyProtection="0"/>
    <xf numFmtId="0" fontId="238" fillId="16" borderId="0" applyNumberFormat="0" applyBorder="0" applyAlignment="0" applyProtection="0">
      <alignment vertical="center"/>
    </xf>
    <xf numFmtId="0" fontId="239" fillId="0" borderId="0"/>
    <xf numFmtId="0" fontId="240" fillId="10" borderId="0" applyNumberFormat="0" applyBorder="0" applyAlignment="0" applyProtection="0">
      <alignment vertical="center"/>
    </xf>
    <xf numFmtId="0" fontId="241" fillId="10" borderId="0" applyNumberFormat="0" applyBorder="0" applyAlignment="0" applyProtection="0">
      <alignment vertical="center"/>
    </xf>
    <xf numFmtId="0" fontId="242" fillId="16" borderId="0" applyNumberFormat="0" applyBorder="0" applyAlignment="0" applyProtection="0">
      <alignment vertical="center"/>
    </xf>
    <xf numFmtId="0" fontId="11" fillId="0" borderId="0"/>
    <xf numFmtId="0" fontId="65" fillId="45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55" borderId="0" applyNumberFormat="0" applyBorder="0" applyAlignment="0" applyProtection="0">
      <alignment vertical="center"/>
    </xf>
    <xf numFmtId="0" fontId="243" fillId="0" borderId="0" applyNumberFormat="0" applyFill="0" applyBorder="0" applyAlignment="0" applyProtection="0">
      <alignment vertical="center"/>
    </xf>
    <xf numFmtId="0" fontId="244" fillId="0" borderId="67" applyNumberFormat="0" applyFill="0" applyAlignment="0" applyProtection="0">
      <alignment vertical="center"/>
    </xf>
    <xf numFmtId="0" fontId="245" fillId="0" borderId="69" applyNumberFormat="0" applyFill="0" applyAlignment="0" applyProtection="0">
      <alignment vertical="center"/>
    </xf>
    <xf numFmtId="0" fontId="246" fillId="0" borderId="71" applyNumberFormat="0" applyFill="0" applyAlignment="0" applyProtection="0">
      <alignment vertical="center"/>
    </xf>
    <xf numFmtId="0" fontId="246" fillId="0" borderId="0" applyNumberFormat="0" applyFill="0" applyBorder="0" applyAlignment="0" applyProtection="0">
      <alignment vertical="center"/>
    </xf>
    <xf numFmtId="0" fontId="247" fillId="49" borderId="52" applyNumberFormat="0" applyAlignment="0" applyProtection="0">
      <alignment vertical="center"/>
    </xf>
    <xf numFmtId="0" fontId="248" fillId="0" borderId="0" applyNumberFormat="0" applyFill="0" applyBorder="0" applyAlignment="0" applyProtection="0">
      <alignment vertical="center"/>
    </xf>
    <xf numFmtId="0" fontId="249" fillId="0" borderId="67" applyNumberFormat="0" applyFill="0" applyAlignment="0" applyProtection="0">
      <alignment vertical="center"/>
    </xf>
    <xf numFmtId="0" fontId="250" fillId="0" borderId="69" applyNumberFormat="0" applyFill="0" applyAlignment="0" applyProtection="0">
      <alignment vertical="center"/>
    </xf>
    <xf numFmtId="0" fontId="251" fillId="0" borderId="71" applyNumberFormat="0" applyFill="0" applyAlignment="0" applyProtection="0">
      <alignment vertical="center"/>
    </xf>
    <xf numFmtId="0" fontId="251" fillId="0" borderId="0" applyNumberFormat="0" applyFill="0" applyBorder="0" applyAlignment="0" applyProtection="0">
      <alignment vertical="center"/>
    </xf>
    <xf numFmtId="0" fontId="252" fillId="49" borderId="52" applyNumberFormat="0" applyAlignment="0" applyProtection="0">
      <alignment vertical="center"/>
    </xf>
    <xf numFmtId="0" fontId="253" fillId="0" borderId="88" applyNumberFormat="0" applyFill="0" applyAlignment="0" applyProtection="0">
      <alignment vertical="center"/>
    </xf>
    <xf numFmtId="0" fontId="11" fillId="14" borderId="78" applyNumberFormat="0" applyFont="0" applyAlignment="0" applyProtection="0">
      <alignment vertical="center"/>
    </xf>
    <xf numFmtId="0" fontId="254" fillId="0" borderId="0" applyNumberFormat="0" applyFill="0" applyBorder="0" applyAlignment="0" applyProtection="0">
      <alignment vertical="center"/>
    </xf>
    <xf numFmtId="0" fontId="255" fillId="25" borderId="51" applyNumberFormat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25" borderId="51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60" fillId="22" borderId="51" applyNumberFormat="0" applyAlignment="0" applyProtection="0">
      <alignment vertical="center"/>
    </xf>
    <xf numFmtId="0" fontId="261" fillId="25" borderId="81" applyNumberFormat="0" applyAlignment="0" applyProtection="0">
      <alignment vertical="center"/>
    </xf>
    <xf numFmtId="0" fontId="262" fillId="22" borderId="51" applyNumberFormat="0" applyAlignment="0" applyProtection="0">
      <alignment vertical="center"/>
    </xf>
    <xf numFmtId="0" fontId="263" fillId="25" borderId="81" applyNumberFormat="0" applyAlignment="0" applyProtection="0">
      <alignment vertical="center"/>
    </xf>
    <xf numFmtId="0" fontId="264" fillId="11" borderId="0" applyNumberFormat="0" applyBorder="0" applyAlignment="0" applyProtection="0">
      <alignment vertical="center"/>
    </xf>
    <xf numFmtId="0" fontId="265" fillId="0" borderId="76" applyNumberFormat="0" applyFill="0" applyAlignment="0" applyProtection="0">
      <alignment vertical="center"/>
    </xf>
    <xf numFmtId="0" fontId="266" fillId="0" borderId="76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0" fillId="13" borderId="0" applyNumberFormat="0" applyBorder="0" applyAlignment="0" applyProtection="0"/>
    <xf numFmtId="0" fontId="60" fillId="15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7" borderId="0" applyNumberFormat="0" applyBorder="0" applyAlignment="0" applyProtection="0"/>
    <xf numFmtId="0" fontId="60" fillId="21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6" borderId="0" applyNumberFormat="0" applyBorder="0" applyAlignment="0" applyProtection="0"/>
    <xf numFmtId="0" fontId="60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4" fillId="33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9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7" borderId="0" applyNumberFormat="0" applyBorder="0" applyAlignment="0" applyProtection="0"/>
    <xf numFmtId="0" fontId="64" fillId="50" borderId="0" applyNumberFormat="0" applyBorder="0" applyAlignment="0" applyProtection="0"/>
    <xf numFmtId="0" fontId="64" fillId="52" borderId="0" applyNumberFormat="0" applyBorder="0" applyAlignment="0" applyProtection="0"/>
    <xf numFmtId="0" fontId="64" fillId="53" borderId="0" applyNumberFormat="0" applyBorder="0" applyAlignment="0" applyProtection="0"/>
    <xf numFmtId="0" fontId="64" fillId="54" borderId="0" applyNumberFormat="0" applyBorder="0" applyAlignment="0" applyProtection="0"/>
    <xf numFmtId="0" fontId="40" fillId="8" borderId="0" applyNumberFormat="0" applyBorder="0" applyAlignment="0" applyProtection="0"/>
    <xf numFmtId="0" fontId="44" fillId="59" borderId="25" applyNumberFormat="0" applyAlignment="0" applyProtection="0"/>
    <xf numFmtId="0" fontId="88" fillId="61" borderId="28" applyNumberFormat="0" applyAlignment="0" applyProtection="0"/>
    <xf numFmtId="0" fontId="267" fillId="0" borderId="0" applyNumberFormat="0" applyFill="0" applyBorder="0" applyAlignment="0" applyProtection="0"/>
    <xf numFmtId="0" fontId="39" fillId="68" borderId="0" applyNumberFormat="0" applyBorder="0" applyAlignment="0" applyProtection="0"/>
    <xf numFmtId="0" fontId="268" fillId="0" borderId="22" applyNumberFormat="0" applyFill="0" applyAlignment="0" applyProtection="0"/>
    <xf numFmtId="0" fontId="269" fillId="0" borderId="23" applyNumberFormat="0" applyFill="0" applyAlignment="0" applyProtection="0"/>
    <xf numFmtId="0" fontId="270" fillId="0" borderId="24" applyNumberFormat="0" applyFill="0" applyAlignment="0" applyProtection="0"/>
    <xf numFmtId="0" fontId="270" fillId="0" borderId="0" applyNumberFormat="0" applyFill="0" applyBorder="0" applyAlignment="0" applyProtection="0"/>
    <xf numFmtId="0" fontId="42" fillId="22" borderId="25" applyNumberFormat="0" applyAlignment="0" applyProtection="0"/>
    <xf numFmtId="0" fontId="271" fillId="0" borderId="27" applyNumberFormat="0" applyFill="0" applyAlignment="0" applyProtection="0"/>
    <xf numFmtId="0" fontId="41" fillId="70" borderId="0" applyNumberFormat="0" applyBorder="0" applyAlignment="0" applyProtection="0"/>
    <xf numFmtId="0" fontId="60" fillId="14" borderId="29" applyNumberFormat="0" applyFont="0" applyAlignment="0" applyProtection="0"/>
    <xf numFmtId="0" fontId="43" fillId="59" borderId="26" applyNumberFormat="0" applyAlignment="0" applyProtection="0"/>
    <xf numFmtId="0" fontId="219" fillId="0" borderId="0" applyNumberFormat="0" applyFill="0" applyBorder="0" applyAlignment="0" applyProtection="0"/>
    <xf numFmtId="0" fontId="223" fillId="0" borderId="30" applyNumberFormat="0" applyFill="0" applyAlignment="0" applyProtection="0"/>
    <xf numFmtId="0" fontId="232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2" fillId="25" borderId="78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54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10" fontId="5" fillId="0" borderId="8" xfId="0" applyNumberFormat="1" applyFont="1" applyBorder="1" applyAlignment="1">
      <alignment horizontal="center"/>
    </xf>
    <xf numFmtId="168" fontId="0" fillId="0" borderId="0" xfId="0" applyNumberFormat="1"/>
    <xf numFmtId="10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0" xfId="0" applyFont="1"/>
    <xf numFmtId="9" fontId="0" fillId="0" borderId="0" xfId="0" applyNumberFormat="1" applyAlignment="1">
      <alignment horizontal="center"/>
    </xf>
    <xf numFmtId="170" fontId="0" fillId="0" borderId="0" xfId="0" applyNumberForma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10" fontId="2" fillId="0" borderId="0" xfId="0" applyNumberFormat="1" applyFont="1" applyAlignment="1">
      <alignment horizontal="right"/>
    </xf>
    <xf numFmtId="166" fontId="4" fillId="0" borderId="0" xfId="0" applyNumberFormat="1" applyFont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/>
    <xf numFmtId="3" fontId="19" fillId="0" borderId="0" xfId="0" applyNumberFormat="1" applyFont="1"/>
    <xf numFmtId="2" fontId="0" fillId="0" borderId="0" xfId="0" applyNumberFormat="1" applyAlignment="1">
      <alignment horizontal="right"/>
    </xf>
    <xf numFmtId="3" fontId="9" fillId="0" borderId="0" xfId="0" applyNumberFormat="1" applyFont="1"/>
    <xf numFmtId="165" fontId="0" fillId="0" borderId="0" xfId="0" applyNumberFormat="1"/>
    <xf numFmtId="3" fontId="9" fillId="0" borderId="1" xfId="0" applyNumberFormat="1" applyFont="1" applyBorder="1"/>
    <xf numFmtId="10" fontId="0" fillId="0" borderId="0" xfId="0" applyNumberFormat="1" applyAlignment="1">
      <alignment horizontal="right"/>
    </xf>
    <xf numFmtId="174" fontId="4" fillId="0" borderId="0" xfId="0" applyNumberFormat="1" applyFont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0" fontId="21" fillId="5" borderId="0" xfId="0" applyFont="1" applyFill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 indent="1"/>
    </xf>
    <xf numFmtId="0" fontId="24" fillId="0" borderId="0" xfId="0" applyFont="1"/>
    <xf numFmtId="166" fontId="8" fillId="0" borderId="0" xfId="0" applyNumberFormat="1" applyFont="1" applyAlignment="1">
      <alignment horizontal="right"/>
    </xf>
    <xf numFmtId="10" fontId="0" fillId="0" borderId="11" xfId="0" applyNumberFormat="1" applyBorder="1"/>
    <xf numFmtId="4" fontId="0" fillId="2" borderId="10" xfId="0" applyNumberFormat="1" applyFill="1" applyBorder="1"/>
    <xf numFmtId="3" fontId="0" fillId="2" borderId="12" xfId="0" applyNumberFormat="1" applyFill="1" applyBorder="1"/>
    <xf numFmtId="3" fontId="0" fillId="2" borderId="13" xfId="0" applyNumberFormat="1" applyFill="1" applyBorder="1"/>
    <xf numFmtId="3" fontId="0" fillId="0" borderId="11" xfId="0" applyNumberFormat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2" borderId="14" xfId="0" applyNumberFormat="1" applyFill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3" fontId="0" fillId="0" borderId="18" xfId="0" applyNumberFormat="1" applyBorder="1"/>
    <xf numFmtId="0" fontId="0" fillId="0" borderId="16" xfId="0" applyBorder="1" applyAlignment="1">
      <alignment horizontal="right"/>
    </xf>
    <xf numFmtId="0" fontId="0" fillId="0" borderId="14" xfId="0" applyBorder="1" applyAlignment="1">
      <alignment horizontal="right"/>
    </xf>
    <xf numFmtId="3" fontId="0" fillId="2" borderId="20" xfId="0" applyNumberFormat="1" applyFill="1" applyBorder="1"/>
    <xf numFmtId="3" fontId="0" fillId="2" borderId="21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0" fontId="8" fillId="0" borderId="0" xfId="0" applyFont="1" applyAlignment="1">
      <alignment horizontal="left" indent="1"/>
    </xf>
    <xf numFmtId="3" fontId="25" fillId="0" borderId="0" xfId="0" applyNumberFormat="1" applyFont="1"/>
    <xf numFmtId="0" fontId="1" fillId="0" borderId="0" xfId="0" applyFont="1"/>
    <xf numFmtId="165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4" fontId="5" fillId="0" borderId="0" xfId="0" applyNumberFormat="1" applyFont="1"/>
    <xf numFmtId="3" fontId="0" fillId="2" borderId="19" xfId="0" applyNumberFormat="1" applyFill="1" applyBorder="1"/>
    <xf numFmtId="9" fontId="17" fillId="0" borderId="0" xfId="0" applyNumberFormat="1" applyFont="1"/>
    <xf numFmtId="4" fontId="18" fillId="0" borderId="0" xfId="0" applyNumberFormat="1" applyFont="1"/>
    <xf numFmtId="167" fontId="0" fillId="0" borderId="0" xfId="0" applyNumberFormat="1"/>
    <xf numFmtId="0" fontId="0" fillId="78" borderId="0" xfId="0" applyFill="1"/>
    <xf numFmtId="166" fontId="0" fillId="78" borderId="0" xfId="0" applyNumberFormat="1" applyFill="1"/>
    <xf numFmtId="3" fontId="0" fillId="6" borderId="0" xfId="0" applyNumberFormat="1" applyFill="1"/>
    <xf numFmtId="0" fontId="16" fillId="78" borderId="0" xfId="0" applyFont="1" applyFill="1"/>
    <xf numFmtId="3" fontId="0" fillId="78" borderId="0" xfId="0" applyNumberFormat="1" applyFill="1"/>
    <xf numFmtId="2" fontId="0" fillId="6" borderId="0" xfId="0" applyNumberFormat="1" applyFill="1"/>
    <xf numFmtId="10" fontId="0" fillId="0" borderId="1" xfId="0" applyNumberFormat="1" applyBorder="1"/>
    <xf numFmtId="0" fontId="2" fillId="0" borderId="1" xfId="0" applyFont="1" applyBorder="1" applyAlignment="1">
      <alignment horizontal="left"/>
    </xf>
    <xf numFmtId="166" fontId="5" fillId="0" borderId="0" xfId="0" applyNumberFormat="1" applyFont="1"/>
    <xf numFmtId="2" fontId="5" fillId="0" borderId="0" xfId="0" applyNumberFormat="1" applyFont="1"/>
    <xf numFmtId="171" fontId="0" fillId="0" borderId="0" xfId="0" applyNumberFormat="1"/>
    <xf numFmtId="0" fontId="273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9" fontId="6" fillId="0" borderId="1" xfId="0" applyNumberFormat="1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18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274" fillId="0" borderId="0" xfId="0" applyNumberFormat="1" applyFont="1" applyAlignment="1">
      <alignment horizontal="right"/>
    </xf>
    <xf numFmtId="175" fontId="4" fillId="0" borderId="0" xfId="0" applyNumberFormat="1" applyFont="1" applyAlignment="1">
      <alignment horizontal="right"/>
    </xf>
    <xf numFmtId="293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172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7" fillId="0" borderId="1" xfId="0" applyNumberFormat="1" applyFont="1" applyBorder="1"/>
    <xf numFmtId="9" fontId="2" fillId="0" borderId="1" xfId="0" applyNumberFormat="1" applyFont="1" applyBorder="1"/>
    <xf numFmtId="166" fontId="2" fillId="0" borderId="1" xfId="0" applyNumberFormat="1" applyFont="1" applyBorder="1"/>
    <xf numFmtId="4" fontId="2" fillId="0" borderId="1" xfId="0" applyNumberFormat="1" applyFont="1" applyBorder="1"/>
    <xf numFmtId="294" fontId="0" fillId="0" borderId="0" xfId="0" applyNumberFormat="1" applyAlignment="1">
      <alignment horizontal="right"/>
    </xf>
    <xf numFmtId="294" fontId="17" fillId="0" borderId="0" xfId="0" applyNumberFormat="1" applyFont="1" applyAlignment="1">
      <alignment horizontal="right"/>
    </xf>
    <xf numFmtId="294" fontId="4" fillId="0" borderId="0" xfId="0" applyNumberFormat="1" applyFont="1" applyAlignment="1">
      <alignment horizontal="right"/>
    </xf>
    <xf numFmtId="294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72" fontId="0" fillId="0" borderId="0" xfId="0" applyNumberFormat="1" applyAlignment="1">
      <alignment horizontal="right"/>
    </xf>
    <xf numFmtId="1" fontId="2" fillId="0" borderId="1" xfId="0" applyNumberFormat="1" applyFont="1" applyBorder="1"/>
    <xf numFmtId="0" fontId="20" fillId="0" borderId="0" xfId="0" applyFont="1"/>
    <xf numFmtId="0" fontId="17" fillId="0" borderId="0" xfId="0" applyFont="1" applyAlignment="1">
      <alignment horizontal="left"/>
    </xf>
    <xf numFmtId="10" fontId="4" fillId="0" borderId="0" xfId="0" applyNumberFormat="1" applyFont="1" applyAlignment="1">
      <alignment horizontal="right"/>
    </xf>
    <xf numFmtId="295" fontId="4" fillId="0" borderId="0" xfId="0" applyNumberFormat="1" applyFont="1"/>
    <xf numFmtId="171" fontId="0" fillId="0" borderId="1" xfId="0" applyNumberFormat="1" applyBorder="1"/>
    <xf numFmtId="166" fontId="4" fillId="0" borderId="0" xfId="0" applyNumberFormat="1" applyFont="1" applyAlignment="1">
      <alignment horizontal="center"/>
    </xf>
    <xf numFmtId="294" fontId="2" fillId="0" borderId="0" xfId="0" applyNumberFormat="1" applyFont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0" fontId="6" fillId="0" borderId="0" xfId="0" applyNumberFormat="1" applyFont="1" applyAlignment="1">
      <alignment horizontal="center"/>
    </xf>
    <xf numFmtId="0" fontId="4" fillId="78" borderId="2" xfId="0" applyFont="1" applyFill="1" applyBorder="1"/>
    <xf numFmtId="296" fontId="0" fillId="0" borderId="0" xfId="0" applyNumberFormat="1"/>
    <xf numFmtId="297" fontId="0" fillId="0" borderId="0" xfId="0" applyNumberFormat="1"/>
    <xf numFmtId="298" fontId="4" fillId="0" borderId="0" xfId="0" applyNumberFormat="1" applyFont="1"/>
    <xf numFmtId="9" fontId="5" fillId="0" borderId="0" xfId="0" applyNumberFormat="1" applyFont="1"/>
    <xf numFmtId="166" fontId="6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3" fontId="275" fillId="0" borderId="0" xfId="0" applyNumberFormat="1" applyFont="1" applyAlignment="1">
      <alignment horizontal="right"/>
    </xf>
    <xf numFmtId="299" fontId="0" fillId="0" borderId="0" xfId="0" applyNumberFormat="1"/>
    <xf numFmtId="300" fontId="14" fillId="0" borderId="0" xfId="0" applyNumberFormat="1" applyFont="1" applyAlignment="1">
      <alignment horizontal="center"/>
    </xf>
    <xf numFmtId="301" fontId="14" fillId="0" borderId="0" xfId="0" applyNumberFormat="1" applyFont="1" applyAlignment="1">
      <alignment horizontal="center"/>
    </xf>
    <xf numFmtId="10" fontId="0" fillId="6" borderId="0" xfId="0" applyNumberFormat="1" applyFill="1"/>
    <xf numFmtId="0" fontId="276" fillId="5" borderId="0" xfId="0" applyFont="1" applyFill="1"/>
    <xf numFmtId="0" fontId="277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2" fontId="18" fillId="0" borderId="0" xfId="0" applyNumberFormat="1" applyFont="1"/>
    <xf numFmtId="165" fontId="18" fillId="0" borderId="0" xfId="0" applyNumberFormat="1" applyFont="1"/>
    <xf numFmtId="171" fontId="2" fillId="0" borderId="0" xfId="0" applyNumberFormat="1" applyFont="1"/>
    <xf numFmtId="171" fontId="4" fillId="2" borderId="10" xfId="0" applyNumberFormat="1" applyFont="1" applyFill="1" applyBorder="1"/>
    <xf numFmtId="3" fontId="4" fillId="2" borderId="20" xfId="0" applyNumberFormat="1" applyFont="1" applyFill="1" applyBorder="1"/>
    <xf numFmtId="171" fontId="4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10" fontId="18" fillId="0" borderId="0" xfId="0" applyNumberFormat="1" applyFont="1"/>
    <xf numFmtId="1" fontId="4" fillId="0" borderId="0" xfId="0" applyNumberFormat="1" applyFont="1"/>
    <xf numFmtId="166" fontId="18" fillId="0" borderId="0" xfId="0" applyNumberFormat="1" applyFont="1"/>
    <xf numFmtId="9" fontId="9" fillId="0" borderId="1" xfId="0" applyNumberFormat="1" applyFont="1" applyBorder="1"/>
    <xf numFmtId="166" fontId="6" fillId="0" borderId="1" xfId="0" applyNumberFormat="1" applyFont="1" applyBorder="1"/>
    <xf numFmtId="0" fontId="0" fillId="17" borderId="0" xfId="0" applyFill="1"/>
    <xf numFmtId="3" fontId="3" fillId="5" borderId="0" xfId="0" applyNumberFormat="1" applyFont="1" applyFill="1"/>
    <xf numFmtId="168" fontId="0" fillId="17" borderId="0" xfId="0" applyNumberFormat="1" applyFill="1"/>
    <xf numFmtId="3" fontId="2" fillId="79" borderId="0" xfId="0" applyNumberFormat="1" applyFont="1" applyFill="1"/>
    <xf numFmtId="2" fontId="2" fillId="79" borderId="0" xfId="0" applyNumberFormat="1" applyFont="1" applyFill="1" applyAlignment="1">
      <alignment horizontal="right"/>
    </xf>
    <xf numFmtId="9" fontId="4" fillId="17" borderId="0" xfId="0" applyNumberFormat="1" applyFont="1" applyFill="1" applyAlignment="1">
      <alignment horizontal="center"/>
    </xf>
    <xf numFmtId="3" fontId="4" fillId="78" borderId="0" xfId="0" applyNumberFormat="1" applyFont="1" applyFill="1" applyAlignment="1">
      <alignment horizontal="center"/>
    </xf>
    <xf numFmtId="3" fontId="0" fillId="78" borderId="0" xfId="0" applyNumberFormat="1" applyFill="1" applyAlignment="1">
      <alignment horizontal="center"/>
    </xf>
    <xf numFmtId="3" fontId="0" fillId="13" borderId="91" xfId="0" applyNumberFormat="1" applyFill="1" applyBorder="1" applyAlignment="1">
      <alignment horizontal="center"/>
    </xf>
    <xf numFmtId="3" fontId="0" fillId="13" borderId="1" xfId="0" applyNumberFormat="1" applyFill="1" applyBorder="1" applyAlignment="1">
      <alignment horizontal="center"/>
    </xf>
    <xf numFmtId="3" fontId="0" fillId="13" borderId="92" xfId="0" applyNumberFormat="1" applyFill="1" applyBorder="1" applyAlignment="1">
      <alignment horizontal="center"/>
    </xf>
    <xf numFmtId="3" fontId="0" fillId="13" borderId="93" xfId="0" applyNumberFormat="1" applyFill="1" applyBorder="1" applyAlignment="1">
      <alignment horizontal="center"/>
    </xf>
    <xf numFmtId="3" fontId="0" fillId="13" borderId="0" xfId="0" applyNumberFormat="1" applyFill="1" applyAlignment="1">
      <alignment horizontal="center"/>
    </xf>
    <xf numFmtId="3" fontId="0" fillId="13" borderId="36" xfId="0" applyNumberFormat="1" applyFill="1" applyBorder="1" applyAlignment="1">
      <alignment horizontal="center"/>
    </xf>
    <xf numFmtId="3" fontId="0" fillId="13" borderId="94" xfId="0" applyNumberFormat="1" applyFill="1" applyBorder="1" applyAlignment="1">
      <alignment horizontal="center"/>
    </xf>
    <xf numFmtId="3" fontId="0" fillId="13" borderId="31" xfId="0" applyNumberFormat="1" applyFill="1" applyBorder="1" applyAlignment="1">
      <alignment horizontal="center"/>
    </xf>
    <xf numFmtId="3" fontId="0" fillId="13" borderId="95" xfId="0" applyNumberFormat="1" applyFill="1" applyBorder="1" applyAlignment="1">
      <alignment horizontal="center"/>
    </xf>
    <xf numFmtId="294" fontId="0" fillId="0" borderId="0" xfId="0" applyNumberFormat="1"/>
    <xf numFmtId="1" fontId="4" fillId="0" borderId="0" xfId="0" applyNumberFormat="1" applyFont="1" applyAlignment="1">
      <alignment horizontal="center"/>
    </xf>
    <xf numFmtId="3" fontId="23" fillId="0" borderId="0" xfId="0" applyNumberFormat="1" applyFont="1"/>
    <xf numFmtId="10" fontId="25" fillId="0" borderId="0" xfId="0" applyNumberFormat="1" applyFont="1"/>
    <xf numFmtId="3" fontId="274" fillId="0" borderId="0" xfId="0" applyNumberFormat="1" applyFont="1"/>
    <xf numFmtId="10" fontId="18" fillId="0" borderId="0" xfId="0" applyNumberFormat="1" applyFont="1" applyAlignment="1">
      <alignment horizontal="right"/>
    </xf>
    <xf numFmtId="295" fontId="6" fillId="0" borderId="0" xfId="0" applyNumberFormat="1" applyFont="1"/>
    <xf numFmtId="9" fontId="0" fillId="6" borderId="0" xfId="0" applyNumberFormat="1" applyFill="1"/>
    <xf numFmtId="302" fontId="1" fillId="5" borderId="0" xfId="0" applyNumberFormat="1" applyFont="1" applyFill="1"/>
    <xf numFmtId="295" fontId="5" fillId="0" borderId="0" xfId="0" applyNumberFormat="1" applyFont="1"/>
    <xf numFmtId="0" fontId="2" fillId="78" borderId="0" xfId="0" applyFont="1" applyFill="1"/>
    <xf numFmtId="0" fontId="274" fillId="0" borderId="0" xfId="0" applyFont="1"/>
    <xf numFmtId="3" fontId="25" fillId="0" borderId="1" xfId="0" applyNumberFormat="1" applyFont="1" applyBorder="1"/>
    <xf numFmtId="175" fontId="4" fillId="0" borderId="0" xfId="0" applyNumberFormat="1" applyFont="1"/>
    <xf numFmtId="10" fontId="274" fillId="0" borderId="0" xfId="0" applyNumberFormat="1" applyFont="1"/>
    <xf numFmtId="10" fontId="2" fillId="78" borderId="2" xfId="0" applyNumberFormat="1" applyFont="1" applyFill="1" applyBorder="1"/>
    <xf numFmtId="0" fontId="2" fillId="17" borderId="0" xfId="0" applyFont="1" applyFill="1" applyAlignment="1">
      <alignment horizontal="center" vertical="center" textRotation="90"/>
    </xf>
    <xf numFmtId="0" fontId="2" fillId="17" borderId="0" xfId="0" applyFont="1" applyFill="1" applyAlignment="1">
      <alignment horizontal="center"/>
    </xf>
    <xf numFmtId="3" fontId="5" fillId="0" borderId="0" xfId="0" applyNumberFormat="1" applyFont="1" applyFill="1"/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3D69B"/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World-Technology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17.453759387533303</c:v>
                </c:pt>
                <c:pt idx="1">
                  <c:v>17.205916063909996</c:v>
                </c:pt>
                <c:pt idx="2">
                  <c:v>17.767847570322242</c:v>
                </c:pt>
                <c:pt idx="3">
                  <c:v>21.420825743769456</c:v>
                </c:pt>
                <c:pt idx="4">
                  <c:v>15.064414579761264</c:v>
                </c:pt>
                <c:pt idx="5">
                  <c:v>12.283334541279425</c:v>
                </c:pt>
                <c:pt idx="6">
                  <c:v>11.507237778422699</c:v>
                </c:pt>
                <c:pt idx="7">
                  <c:v>12.371121712117059</c:v>
                </c:pt>
                <c:pt idx="8">
                  <c:v>14.506058981906175</c:v>
                </c:pt>
                <c:pt idx="9">
                  <c:v>13.203915896800043</c:v>
                </c:pt>
                <c:pt idx="10">
                  <c:v>13.249938119441936</c:v>
                </c:pt>
                <c:pt idx="11">
                  <c:v>11.170127560656576</c:v>
                </c:pt>
                <c:pt idx="12">
                  <c:v>17.986182477147128</c:v>
                </c:pt>
                <c:pt idx="13">
                  <c:v>12.076310332695046</c:v>
                </c:pt>
                <c:pt idx="14">
                  <c:v>16.697031956096691</c:v>
                </c:pt>
                <c:pt idx="15">
                  <c:v>16.140104503321894</c:v>
                </c:pt>
                <c:pt idx="16">
                  <c:v>10.866274424550083</c:v>
                </c:pt>
                <c:pt idx="17">
                  <c:v>11.568124892932982</c:v>
                </c:pt>
                <c:pt idx="18">
                  <c:v>9.9606001287195625</c:v>
                </c:pt>
                <c:pt idx="19">
                  <c:v>12.480220928628807</c:v>
                </c:pt>
                <c:pt idx="20">
                  <c:v>10.291423822573385</c:v>
                </c:pt>
                <c:pt idx="21">
                  <c:v>11.703550027232945</c:v>
                </c:pt>
                <c:pt idx="22">
                  <c:v>14.68975926385297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9-4A0A-82F7-D0DB1B18A91B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STATES-Technology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18.56192007086797</c:v>
                </c:pt>
                <c:pt idx="1">
                  <c:v>17.735070626065259</c:v>
                </c:pt>
                <c:pt idx="2">
                  <c:v>17.000717410669655</c:v>
                </c:pt>
                <c:pt idx="3">
                  <c:v>17.441647778385544</c:v>
                </c:pt>
                <c:pt idx="4">
                  <c:v>18.007281483233708</c:v>
                </c:pt>
                <c:pt idx="5">
                  <c:v>11.851184900426819</c:v>
                </c:pt>
                <c:pt idx="6">
                  <c:v>10.322957858009042</c:v>
                </c:pt>
                <c:pt idx="7">
                  <c:v>12.761764989568331</c:v>
                </c:pt>
                <c:pt idx="8">
                  <c:v>14.120721214416504</c:v>
                </c:pt>
                <c:pt idx="9">
                  <c:v>14.503738428126637</c:v>
                </c:pt>
                <c:pt idx="10">
                  <c:v>14.733749939303189</c:v>
                </c:pt>
                <c:pt idx="11">
                  <c:v>10.303017586171588</c:v>
                </c:pt>
                <c:pt idx="12">
                  <c:v>17.933714426642151</c:v>
                </c:pt>
                <c:pt idx="13">
                  <c:v>13.125461267698405</c:v>
                </c:pt>
                <c:pt idx="14">
                  <c:v>16.957149241775024</c:v>
                </c:pt>
                <c:pt idx="15">
                  <c:v>17.504960136719536</c:v>
                </c:pt>
                <c:pt idx="16">
                  <c:v>13.676414354593136</c:v>
                </c:pt>
                <c:pt idx="17">
                  <c:v>12.740379391713986</c:v>
                </c:pt>
                <c:pt idx="18">
                  <c:v>11.802772200139815</c:v>
                </c:pt>
                <c:pt idx="19">
                  <c:v>10.99643237200601</c:v>
                </c:pt>
                <c:pt idx="20">
                  <c:v>8.3769353647614864</c:v>
                </c:pt>
                <c:pt idx="21">
                  <c:v>11.268986435724145</c:v>
                </c:pt>
                <c:pt idx="22">
                  <c:v>15.986357142464458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9-4A0A-82F7-D0DB1B18A91B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World-Software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20.48356880019838</c:v>
                </c:pt>
                <c:pt idx="1">
                  <c:v>20.341424147073234</c:v>
                </c:pt>
                <c:pt idx="2">
                  <c:v>21.138487118545449</c:v>
                </c:pt>
                <c:pt idx="3">
                  <c:v>22.119871288482653</c:v>
                </c:pt>
                <c:pt idx="4">
                  <c:v>17.176512666679333</c:v>
                </c:pt>
                <c:pt idx="5">
                  <c:v>16.741947021079252</c:v>
                </c:pt>
                <c:pt idx="6">
                  <c:v>16.333691465758665</c:v>
                </c:pt>
                <c:pt idx="7">
                  <c:v>14.836331484543635</c:v>
                </c:pt>
                <c:pt idx="8">
                  <c:v>16.02537532695165</c:v>
                </c:pt>
                <c:pt idx="9">
                  <c:v>17.630133528244404</c:v>
                </c:pt>
                <c:pt idx="10">
                  <c:v>13.764024418006265</c:v>
                </c:pt>
                <c:pt idx="11">
                  <c:v>13.777257201778625</c:v>
                </c:pt>
                <c:pt idx="12">
                  <c:v>20.56540297762707</c:v>
                </c:pt>
                <c:pt idx="13">
                  <c:v>23.904219076756124</c:v>
                </c:pt>
                <c:pt idx="14">
                  <c:v>17.650295098476793</c:v>
                </c:pt>
                <c:pt idx="15">
                  <c:v>19.277194746266478</c:v>
                </c:pt>
                <c:pt idx="16">
                  <c:v>18.525152835535884</c:v>
                </c:pt>
                <c:pt idx="17">
                  <c:v>13.595495546291083</c:v>
                </c:pt>
                <c:pt idx="18">
                  <c:v>9.4411887694125642</c:v>
                </c:pt>
                <c:pt idx="19">
                  <c:v>11.78235545910978</c:v>
                </c:pt>
                <c:pt idx="20">
                  <c:v>9.5683607991192012</c:v>
                </c:pt>
                <c:pt idx="21">
                  <c:v>10.74813228900017</c:v>
                </c:pt>
                <c:pt idx="22">
                  <c:v>13.002469237861472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9-4A0A-82F7-D0DB1B18A91B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STATES-Software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22.864794385200298</c:v>
                </c:pt>
                <c:pt idx="1">
                  <c:v>23.416278952493716</c:v>
                </c:pt>
                <c:pt idx="2">
                  <c:v>21.627258668790805</c:v>
                </c:pt>
                <c:pt idx="3">
                  <c:v>24.915096296833266</c:v>
                </c:pt>
                <c:pt idx="4">
                  <c:v>19.850091975348828</c:v>
                </c:pt>
                <c:pt idx="5">
                  <c:v>19.650813244781475</c:v>
                </c:pt>
                <c:pt idx="6">
                  <c:v>16.348921417159648</c:v>
                </c:pt>
                <c:pt idx="7">
                  <c:v>15.535215584271382</c:v>
                </c:pt>
                <c:pt idx="8">
                  <c:v>16.036010944793464</c:v>
                </c:pt>
                <c:pt idx="9">
                  <c:v>18.205442123878889</c:v>
                </c:pt>
                <c:pt idx="10">
                  <c:v>13.905778870397754</c:v>
                </c:pt>
                <c:pt idx="11">
                  <c:v>14.208885677584306</c:v>
                </c:pt>
                <c:pt idx="12">
                  <c:v>21.132777432199532</c:v>
                </c:pt>
                <c:pt idx="13">
                  <c:v>26.301316248637015</c:v>
                </c:pt>
                <c:pt idx="14">
                  <c:v>17.802580732621365</c:v>
                </c:pt>
                <c:pt idx="15">
                  <c:v>17.943074775372242</c:v>
                </c:pt>
                <c:pt idx="16">
                  <c:v>18.178749452800286</c:v>
                </c:pt>
                <c:pt idx="17">
                  <c:v>14.046163017667121</c:v>
                </c:pt>
                <c:pt idx="18">
                  <c:v>10.091730913497409</c:v>
                </c:pt>
                <c:pt idx="19">
                  <c:v>7.629889039323734</c:v>
                </c:pt>
                <c:pt idx="20">
                  <c:v>6.0802164924068922</c:v>
                </c:pt>
                <c:pt idx="21">
                  <c:v>9.0662833642298644</c:v>
                </c:pt>
                <c:pt idx="22">
                  <c:v>12.281444248234671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9-4A0A-82F7-D0DB1B18A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Model!#REF!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8-4C01-8679-28B6C4DCC52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Model!#REF!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8-4C01-8679-28B6C4DCC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2347023"/>
        <c:axId val="1942350767"/>
      </c:lineChart>
      <c:catAx>
        <c:axId val="1942347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350767"/>
        <c:crosses val="autoZero"/>
        <c:auto val="1"/>
        <c:lblAlgn val="ctr"/>
        <c:lblOffset val="100"/>
        <c:noMultiLvlLbl val="0"/>
      </c:catAx>
      <c:valAx>
        <c:axId val="194235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347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'Regression Analysis'!$B$57</c:f>
              <c:strCache>
                <c:ptCount val="1"/>
                <c:pt idx="0">
                  <c:v>Travel, Telc, Supplies &amp; Software Equip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Analysis'!$C$59:$N$59</c:f>
              <c:numCache>
                <c:formatCode>#,##0</c:formatCode>
                <c:ptCount val="12"/>
                <c:pt idx="0">
                  <c:v>633.96500000000003</c:v>
                </c:pt>
                <c:pt idx="1">
                  <c:v>773.34099999999989</c:v>
                </c:pt>
                <c:pt idx="2">
                  <c:v>891.3</c:v>
                </c:pt>
                <c:pt idx="3">
                  <c:v>1210.8</c:v>
                </c:pt>
                <c:pt idx="4">
                  <c:v>1669.3</c:v>
                </c:pt>
                <c:pt idx="5">
                  <c:v>1838.3090000000002</c:v>
                </c:pt>
                <c:pt idx="6">
                  <c:v>2125.0860000000002</c:v>
                </c:pt>
                <c:pt idx="7">
                  <c:v>2479.4</c:v>
                </c:pt>
                <c:pt idx="8">
                  <c:v>3060.1</c:v>
                </c:pt>
                <c:pt idx="9">
                  <c:v>3489.5</c:v>
                </c:pt>
                <c:pt idx="10">
                  <c:v>3969</c:v>
                </c:pt>
                <c:pt idx="11">
                  <c:v>5107</c:v>
                </c:pt>
              </c:numCache>
            </c:numRef>
          </c:xVal>
          <c:yVal>
            <c:numRef>
              <c:f>'Regression Analysis'!$C$57:$N$57</c:f>
              <c:numCache>
                <c:formatCode>0.00%</c:formatCode>
                <c:ptCount val="12"/>
                <c:pt idx="0">
                  <c:v>6.8451728407719667E-2</c:v>
                </c:pt>
                <c:pt idx="1">
                  <c:v>7.1564807762681676E-2</c:v>
                </c:pt>
                <c:pt idx="2">
                  <c:v>6.989790194098508E-2</c:v>
                </c:pt>
                <c:pt idx="3">
                  <c:v>6.6815328708292043E-2</c:v>
                </c:pt>
                <c:pt idx="4">
                  <c:v>6.1882226082789191E-2</c:v>
                </c:pt>
                <c:pt idx="5">
                  <c:v>6.2285502600487722E-2</c:v>
                </c:pt>
                <c:pt idx="6">
                  <c:v>6.1079881002462956E-2</c:v>
                </c:pt>
                <c:pt idx="7">
                  <c:v>6.2353795273049926E-2</c:v>
                </c:pt>
                <c:pt idx="8">
                  <c:v>5.9181072513970132E-2</c:v>
                </c:pt>
                <c:pt idx="9">
                  <c:v>5.7601375555237137E-2</c:v>
                </c:pt>
                <c:pt idx="10">
                  <c:v>3.8296800201562106E-2</c:v>
                </c:pt>
                <c:pt idx="11">
                  <c:v>3.6420599177599371E-2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79-4320-A837-A4648DEC273F}"/>
            </c:ext>
          </c:extLst>
        </c:ser>
        <c:ser>
          <c:idx val="1"/>
          <c:order val="1"/>
          <c:tx>
            <c:strRef>
              <c:f>'Regression Analysis'!$B$57</c:f>
              <c:strCache>
                <c:ptCount val="1"/>
                <c:pt idx="0">
                  <c:v>Travel, Telc, Supplies &amp; Software Equip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3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Analysis'!$M$59:$W$59</c:f>
              <c:numCache>
                <c:formatCode>#,##0</c:formatCode>
                <c:ptCount val="11"/>
                <c:pt idx="0">
                  <c:v>3969</c:v>
                </c:pt>
                <c:pt idx="1">
                  <c:v>5107</c:v>
                </c:pt>
                <c:pt idx="2">
                  <c:v>6540.0749999999998</c:v>
                </c:pt>
                <c:pt idx="3">
                  <c:v>7770.6579000000002</c:v>
                </c:pt>
                <c:pt idx="4">
                  <c:v>9221.6304645</c:v>
                </c:pt>
                <c:pt idx="5">
                  <c:v>10894.601046247501</c:v>
                </c:pt>
                <c:pt idx="6">
                  <c:v>12656.947516412063</c:v>
                </c:pt>
                <c:pt idx="7">
                  <c:v>14582.022995874502</c:v>
                </c:pt>
                <c:pt idx="8">
                  <c:v>16658.716523076258</c:v>
                </c:pt>
                <c:pt idx="9">
                  <c:v>18786.345174664901</c:v>
                </c:pt>
                <c:pt idx="10">
                  <c:v>21003.324228556859</c:v>
                </c:pt>
              </c:numCache>
            </c:numRef>
          </c:xVal>
          <c:yVal>
            <c:numRef>
              <c:f>'Regression Analysis'!$M$58:$W$58</c:f>
              <c:numCache>
                <c:formatCode>0.00%</c:formatCode>
                <c:ptCount val="11"/>
                <c:pt idx="2">
                  <c:v>4.9128481325321945E-2</c:v>
                </c:pt>
                <c:pt idx="3">
                  <c:v>4.9765695467496165E-2</c:v>
                </c:pt>
                <c:pt idx="4">
                  <c:v>5.0255195277019826E-2</c:v>
                </c:pt>
                <c:pt idx="5">
                  <c:v>5.0610854157861471E-2</c:v>
                </c:pt>
                <c:pt idx="6">
                  <c:v>5.0822324642263821E-2</c:v>
                </c:pt>
                <c:pt idx="7">
                  <c:v>5.0946787805428002E-2</c:v>
                </c:pt>
                <c:pt idx="8">
                  <c:v>5.1001857522842135E-2</c:v>
                </c:pt>
                <c:pt idx="9">
                  <c:v>5.0992450475621252E-2</c:v>
                </c:pt>
                <c:pt idx="10">
                  <c:v>5.0940010534751237E-2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179-4320-A837-A4648DEC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8543"/>
        <c:axId val="194019375"/>
      </c:scatterChart>
      <c:valAx>
        <c:axId val="19401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9375"/>
        <c:crosses val="autoZero"/>
        <c:crossBetween val="midCat"/>
      </c:valAx>
      <c:valAx>
        <c:axId val="19401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8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'Regression Analysis'!$B$57</c:f>
              <c:strCache>
                <c:ptCount val="1"/>
                <c:pt idx="0">
                  <c:v>Travel, Telc, Supplies &amp; Software Equip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Analysis'!$C$59:$N$59</c:f>
              <c:numCache>
                <c:formatCode>#,##0</c:formatCode>
                <c:ptCount val="12"/>
                <c:pt idx="0">
                  <c:v>633.96500000000003</c:v>
                </c:pt>
                <c:pt idx="1">
                  <c:v>773.34099999999989</c:v>
                </c:pt>
                <c:pt idx="2">
                  <c:v>891.3</c:v>
                </c:pt>
                <c:pt idx="3">
                  <c:v>1210.8</c:v>
                </c:pt>
                <c:pt idx="4">
                  <c:v>1669.3</c:v>
                </c:pt>
                <c:pt idx="5">
                  <c:v>1838.3090000000002</c:v>
                </c:pt>
                <c:pt idx="6">
                  <c:v>2125.0860000000002</c:v>
                </c:pt>
                <c:pt idx="7">
                  <c:v>2479.4</c:v>
                </c:pt>
                <c:pt idx="8">
                  <c:v>3060.1</c:v>
                </c:pt>
                <c:pt idx="9">
                  <c:v>3489.5</c:v>
                </c:pt>
                <c:pt idx="10">
                  <c:v>3969</c:v>
                </c:pt>
                <c:pt idx="11">
                  <c:v>5107</c:v>
                </c:pt>
              </c:numCache>
            </c:numRef>
          </c:xVal>
          <c:yVal>
            <c:numRef>
              <c:f>'Regression Analysis'!$C$57:$N$57</c:f>
              <c:numCache>
                <c:formatCode>0.00%</c:formatCode>
                <c:ptCount val="12"/>
                <c:pt idx="0">
                  <c:v>6.8451728407719667E-2</c:v>
                </c:pt>
                <c:pt idx="1">
                  <c:v>7.1564807762681676E-2</c:v>
                </c:pt>
                <c:pt idx="2">
                  <c:v>6.989790194098508E-2</c:v>
                </c:pt>
                <c:pt idx="3">
                  <c:v>6.6815328708292043E-2</c:v>
                </c:pt>
                <c:pt idx="4">
                  <c:v>6.1882226082789191E-2</c:v>
                </c:pt>
                <c:pt idx="5">
                  <c:v>6.2285502600487722E-2</c:v>
                </c:pt>
                <c:pt idx="6">
                  <c:v>6.1079881002462956E-2</c:v>
                </c:pt>
                <c:pt idx="7">
                  <c:v>6.2353795273049926E-2</c:v>
                </c:pt>
                <c:pt idx="8">
                  <c:v>5.9181072513970132E-2</c:v>
                </c:pt>
                <c:pt idx="9">
                  <c:v>5.7601375555237137E-2</c:v>
                </c:pt>
                <c:pt idx="10">
                  <c:v>3.8296800201562106E-2</c:v>
                </c:pt>
                <c:pt idx="11">
                  <c:v>3.6420599177599371E-2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9E-444D-B919-447531B5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8543"/>
        <c:axId val="194019375"/>
      </c:scatterChart>
      <c:valAx>
        <c:axId val="19401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9375"/>
        <c:crosses val="autoZero"/>
        <c:crossBetween val="midCat"/>
      </c:valAx>
      <c:valAx>
        <c:axId val="19401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8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2008-20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dPt>
            <c:idx val="13"/>
            <c:marker>
              <c:symbol val="diamond"/>
              <c:size val="10"/>
              <c:spPr>
                <a:solidFill>
                  <a:schemeClr val="bg1">
                    <a:lumMod val="6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DF9-40EA-B164-56638FF2B3CC}"/>
              </c:ext>
            </c:extLst>
          </c:dPt>
          <c:dPt>
            <c:idx val="14"/>
            <c:marker>
              <c:symbol val="diamond"/>
              <c:size val="10"/>
              <c:spPr>
                <a:solidFill>
                  <a:schemeClr val="bg1">
                    <a:lumMod val="6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DF9-40EA-B164-56638FF2B3CC}"/>
              </c:ext>
            </c:extLst>
          </c:dPt>
          <c:trendline>
            <c:spPr>
              <a:ln w="28575" cap="rnd">
                <a:solidFill>
                  <a:schemeClr val="accent3">
                    <a:lumMod val="50000"/>
                  </a:schemeClr>
                </a:solidFill>
                <a:prstDash val="sysDot"/>
              </a:ln>
              <a:effectLst/>
            </c:spPr>
            <c:trendlineType val="log"/>
            <c:dispRSqr val="1"/>
            <c:dispEq val="0"/>
            <c:trendlineLbl>
              <c:layout>
                <c:manualLayout>
                  <c:x val="9.8518159498478433E-2"/>
                  <c:y val="2.95654981735989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'Regression Analysis'!$E$81:$Q$81</c:f>
              <c:numCache>
                <c:formatCode>0.00</c:formatCode>
                <c:ptCount val="13"/>
                <c:pt idx="0">
                  <c:v>4.9020000000000001</c:v>
                </c:pt>
                <c:pt idx="1">
                  <c:v>2.7279444444444443</c:v>
                </c:pt>
                <c:pt idx="2">
                  <c:v>5.1483499999999989</c:v>
                </c:pt>
                <c:pt idx="3">
                  <c:v>1.7059999999999993</c:v>
                </c:pt>
                <c:pt idx="4">
                  <c:v>4.3263749999999987</c:v>
                </c:pt>
                <c:pt idx="5">
                  <c:v>19.891384615384606</c:v>
                </c:pt>
                <c:pt idx="6">
                  <c:v>4.3388214285714275</c:v>
                </c:pt>
                <c:pt idx="7">
                  <c:v>8.2923999999999989</c:v>
                </c:pt>
                <c:pt idx="8">
                  <c:v>4.432925</c:v>
                </c:pt>
                <c:pt idx="9">
                  <c:v>5.0640000000000001</c:v>
                </c:pt>
                <c:pt idx="10">
                  <c:v>7.3353383458646624</c:v>
                </c:pt>
                <c:pt idx="11">
                  <c:v>5.5483870967741939</c:v>
                </c:pt>
                <c:pt idx="12">
                  <c:v>5.8214285714285712</c:v>
                </c:pt>
              </c:numCache>
            </c:numRef>
          </c:xVal>
          <c:yVal>
            <c:numRef>
              <c:f>'Regression Analysis'!$E$80:$Q$80</c:f>
              <c:numCache>
                <c:formatCode>0.0\x</c:formatCode>
                <c:ptCount val="13"/>
                <c:pt idx="0">
                  <c:v>1.1058436513249787</c:v>
                </c:pt>
                <c:pt idx="1">
                  <c:v>0.41852491170601464</c:v>
                </c:pt>
                <c:pt idx="2">
                  <c:v>0.50280832761185201</c:v>
                </c:pt>
                <c:pt idx="3">
                  <c:v>0.39468004279941843</c:v>
                </c:pt>
                <c:pt idx="4">
                  <c:v>0.89510319509763492</c:v>
                </c:pt>
                <c:pt idx="5">
                  <c:v>1.7066149246639075</c:v>
                </c:pt>
                <c:pt idx="6">
                  <c:v>0.31355044185662367</c:v>
                </c:pt>
                <c:pt idx="7">
                  <c:v>0.99351824117893728</c:v>
                </c:pt>
                <c:pt idx="8">
                  <c:v>0.60285362798093245</c:v>
                </c:pt>
                <c:pt idx="9">
                  <c:v>0.88818772415822012</c:v>
                </c:pt>
                <c:pt idx="10">
                  <c:v>0.93123592073613137</c:v>
                </c:pt>
                <c:pt idx="11">
                  <c:v>1.1122847103964124</c:v>
                </c:pt>
                <c:pt idx="12">
                  <c:v>0.85570574396855392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F9-40EA-B164-56638FF2B3CC}"/>
            </c:ext>
          </c:extLst>
        </c:ser>
        <c:ser>
          <c:idx val="1"/>
          <c:order val="1"/>
          <c:tx>
            <c:v>2021-22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'Regression Analysis'!$R$81:$S$81</c:f>
              <c:numCache>
                <c:formatCode>0.00</c:formatCode>
                <c:ptCount val="2"/>
                <c:pt idx="0">
                  <c:v>12.071428571428571</c:v>
                </c:pt>
                <c:pt idx="1">
                  <c:v>12.825932835820895</c:v>
                </c:pt>
              </c:numCache>
            </c:numRef>
          </c:xVal>
          <c:yVal>
            <c:numRef>
              <c:f>'Regression Analysis'!$R$80:$S$80</c:f>
              <c:numCache>
                <c:formatCode>0.0\x</c:formatCode>
                <c:ptCount val="2"/>
                <c:pt idx="0">
                  <c:v>1.3994369129580995</c:v>
                </c:pt>
                <c:pt idx="1">
                  <c:v>1.1499999999999999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F9-40EA-B164-56638FF2B3CC}"/>
            </c:ext>
          </c:extLst>
        </c:ser>
        <c:ser>
          <c:idx val="2"/>
          <c:order val="2"/>
          <c:tx>
            <c:v>2023-32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3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'Regression Analysis'!$T$81:$AC$81</c:f>
              <c:numCache>
                <c:formatCode>0.00</c:formatCode>
                <c:ptCount val="10"/>
                <c:pt idx="0">
                  <c:v>12.145853571428574</c:v>
                </c:pt>
                <c:pt idx="1">
                  <c:v>12.355346061000006</c:v>
                </c:pt>
                <c:pt idx="2">
                  <c:v>12.426147050913753</c:v>
                </c:pt>
                <c:pt idx="3">
                  <c:v>12.291673415707486</c:v>
                </c:pt>
                <c:pt idx="4">
                  <c:v>12.706168978975878</c:v>
                </c:pt>
                <c:pt idx="5">
                  <c:v>13.19400155562548</c:v>
                </c:pt>
                <c:pt idx="6">
                  <c:v>12.982085727944186</c:v>
                </c:pt>
                <c:pt idx="7">
                  <c:v>13.112102142317127</c:v>
                </c:pt>
                <c:pt idx="8">
                  <c:v>13.096580391758598</c:v>
                </c:pt>
                <c:pt idx="9">
                  <c:v>12.788206276510959</c:v>
                </c:pt>
              </c:numCache>
            </c:numRef>
          </c:xVal>
          <c:yVal>
            <c:numRef>
              <c:f>'Regression Analysis'!$T$80:$AC$80</c:f>
              <c:numCache>
                <c:formatCode>0.0\x</c:formatCode>
                <c:ptCount val="10"/>
                <c:pt idx="0">
                  <c:v>1.3</c:v>
                </c:pt>
                <c:pt idx="1">
                  <c:v>1.325</c:v>
                </c:pt>
                <c:pt idx="2">
                  <c:v>1.3474999999999999</c:v>
                </c:pt>
                <c:pt idx="3">
                  <c:v>1.3699999999999999</c:v>
                </c:pt>
                <c:pt idx="4">
                  <c:v>1.39</c:v>
                </c:pt>
                <c:pt idx="5">
                  <c:v>1.41</c:v>
                </c:pt>
                <c:pt idx="6">
                  <c:v>1.4249999999999998</c:v>
                </c:pt>
                <c:pt idx="7">
                  <c:v>1.4399999999999997</c:v>
                </c:pt>
                <c:pt idx="8">
                  <c:v>1.4524999999999997</c:v>
                </c:pt>
                <c:pt idx="9">
                  <c:v>1.4649999999999996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8B3-46E1-A570-C830C19D8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1840527"/>
        <c:axId val="1651829295"/>
      </c:scatterChart>
      <c:valAx>
        <c:axId val="1651840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Average Deal Size (US$ mln)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29295"/>
        <c:crosses val="autoZero"/>
        <c:crossBetween val="midCat"/>
      </c:valAx>
      <c:valAx>
        <c:axId val="165182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EV/Sales (2008-20)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40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49690609944000114"/>
          <c:y val="0.55635559245470667"/>
          <c:w val="0.3230517174253319"/>
          <c:h val="7.241686595628746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190500</xdr:colOff>
      <xdr:row>7</xdr:row>
      <xdr:rowOff>1120</xdr:rowOff>
    </xdr:from>
    <xdr:to>
      <xdr:col>51</xdr:col>
      <xdr:colOff>44823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2CBF47-29F0-4075-BB1B-2A67E4B7F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460189</xdr:colOff>
      <xdr:row>442</xdr:row>
      <xdr:rowOff>155576</xdr:rowOff>
    </xdr:from>
    <xdr:to>
      <xdr:col>21</xdr:col>
      <xdr:colOff>165661</xdr:colOff>
      <xdr:row>459</xdr:row>
      <xdr:rowOff>14196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414DFC-ABC1-13AE-4AF2-4343D103D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173690</xdr:colOff>
      <xdr:row>59</xdr:row>
      <xdr:rowOff>68355</xdr:rowOff>
    </xdr:from>
    <xdr:to>
      <xdr:col>9</xdr:col>
      <xdr:colOff>509867</xdr:colOff>
      <xdr:row>73</xdr:row>
      <xdr:rowOff>144555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8AAF534-23B4-4E60-9024-B078E499A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549089</xdr:colOff>
      <xdr:row>59</xdr:row>
      <xdr:rowOff>67235</xdr:rowOff>
    </xdr:from>
    <xdr:to>
      <xdr:col>17</xdr:col>
      <xdr:colOff>280148</xdr:colOff>
      <xdr:row>73</xdr:row>
      <xdr:rowOff>143435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E2576A-3AFA-48CD-87AB-41412EA3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239353</xdr:colOff>
      <xdr:row>82</xdr:row>
      <xdr:rowOff>98453</xdr:rowOff>
    </xdr:from>
    <xdr:to>
      <xdr:col>12</xdr:col>
      <xdr:colOff>488230</xdr:colOff>
      <xdr:row>100</xdr:row>
      <xdr:rowOff>42423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1F6E625-35D8-4AB5-BD38-C7C4E69DE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0.46331</cdr:x>
      <cdr:y>0.10507</cdr:y>
    </cdr:from>
    <cdr:to>
      <cdr:x>0.56911</cdr:x>
      <cdr:y>0.21518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B9789D-B957-C0A0-3753-9664AC8E17D9}"/>
            </a:ext>
          </a:extLst>
        </cdr:cNvPr>
        <cdr:cNvSpPr txBox="1"/>
      </cdr:nvSpPr>
      <cdr:spPr>
        <a:xfrm xmlns:a="http://schemas.openxmlformats.org/drawingml/2006/main">
          <a:off x="2698936" y="299383"/>
          <a:ext cx="616323" cy="313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CA" sz="1100" b="1"/>
            <a:t>2021</a:t>
          </a:r>
        </a:p>
      </cdr:txBody>
    </cdr:sp>
  </cdr:relSizeAnchor>
  <cdr:relSizeAnchor xmlns:cdr="http://schemas.openxmlformats.org/drawingml/2006/chartDrawing">
    <cdr:from>
      <cdr:x>0.53195</cdr:x>
      <cdr:y>0.29311</cdr:y>
    </cdr:from>
    <cdr:to>
      <cdr:x>0.63775</cdr:x>
      <cdr:y>0.40322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BCC4070-7ACB-AE7A-FD84-D9815BB39662}"/>
            </a:ext>
          </a:extLst>
        </cdr:cNvPr>
        <cdr:cNvSpPr txBox="1"/>
      </cdr:nvSpPr>
      <cdr:spPr>
        <a:xfrm xmlns:a="http://schemas.openxmlformats.org/drawingml/2006/main">
          <a:off x="3098800" y="835212"/>
          <a:ext cx="616323" cy="313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100" b="1"/>
            <a:t>2022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4.5"/>
  <sheetData>
    <row r="1" spans="1:4">
      <c r="A1">
        <v>4</v>
      </c>
      <c r="B1" t="s">
        <v>227</v>
      </c>
      <c r="C1" t="s">
        <v>228</v>
      </c>
      <c r="D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2A2E-7BE0-4F02-B826-B3B064AB3F7A}">
  <sheetPr>
    <tabColor theme="6" tint="-0.499984740745262"/>
  </sheetPr>
  <dimension ref="B3:XFC171"/>
  <sheetViews>
    <sheetView showGridLines="0" tabSelected="1" zoomScale="85" zoomScaleNormal="85" workbookViewId="0">
      <selection activeCell="H14" sqref="H14"/>
    </sheetView>
  </sheetViews>
  <sheetFormatPr defaultRowHeight="14.5" outlineLevelRow="1" outlineLevelCol="1"/>
  <cols>
    <col min="2" max="2" width="25.26953125" bestFit="1" customWidth="1"/>
    <col min="3" max="13" width="9.7265625" customWidth="1"/>
    <col min="15" max="15" width="15.7265625" customWidth="1"/>
    <col min="16" max="16" width="28.54296875" customWidth="1"/>
    <col min="18" max="18" width="24.26953125" hidden="1" customWidth="1" outlineLevel="1"/>
    <col min="19" max="41" width="9.1796875" hidden="1" customWidth="1" outlineLevel="1"/>
    <col min="42" max="42" width="8.7265625" collapsed="1"/>
  </cols>
  <sheetData>
    <row r="3" spans="2:41" ht="5.15" customHeight="1"/>
    <row r="7" spans="2:41" ht="5.15" customHeight="1"/>
    <row r="8" spans="2:41">
      <c r="B8" s="43" t="s">
        <v>81</v>
      </c>
      <c r="C8" s="43"/>
      <c r="D8" s="43"/>
      <c r="E8" s="43"/>
      <c r="G8" s="43" t="s">
        <v>91</v>
      </c>
      <c r="H8" s="43"/>
      <c r="I8" s="43"/>
      <c r="J8" s="43"/>
      <c r="K8" s="43"/>
      <c r="L8" s="43"/>
      <c r="M8" s="43"/>
      <c r="O8" s="43" t="s">
        <v>80</v>
      </c>
      <c r="P8" s="44"/>
      <c r="Q8" s="44"/>
      <c r="R8" s="14" t="s">
        <v>79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2:41" ht="5.15" customHeight="1"/>
    <row r="10" spans="2:41">
      <c r="C10" s="18" t="s">
        <v>59</v>
      </c>
      <c r="D10" s="18" t="s">
        <v>59</v>
      </c>
      <c r="E10" s="18" t="s">
        <v>58</v>
      </c>
      <c r="G10" s="3" t="s">
        <v>83</v>
      </c>
      <c r="M10" s="35">
        <f ca="1">TODAY()</f>
        <v>44945</v>
      </c>
      <c r="O10" s="3" t="s">
        <v>62</v>
      </c>
      <c r="P10" s="5" t="s">
        <v>73</v>
      </c>
      <c r="Q10" s="5"/>
      <c r="S10" s="5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18" t="s">
        <v>0</v>
      </c>
      <c r="D11" s="18" t="s">
        <v>60</v>
      </c>
      <c r="E11" s="29">
        <f ca="1">+C84</f>
        <v>1802.7026309076996</v>
      </c>
      <c r="G11" s="3" t="s">
        <v>84</v>
      </c>
      <c r="M11" s="126" t="s">
        <v>230</v>
      </c>
      <c r="O11" s="3" t="s">
        <v>63</v>
      </c>
      <c r="P11" s="5" t="s">
        <v>395</v>
      </c>
      <c r="Q11" s="5"/>
      <c r="R11" t="str">
        <f>("World-"&amp;$P$10)</f>
        <v>World-Technology</v>
      </c>
      <c r="S11" s="4">
        <v>17.453759387533303</v>
      </c>
      <c r="T11" s="4">
        <v>17.205916063909996</v>
      </c>
      <c r="U11" s="4">
        <v>17.767847570322242</v>
      </c>
      <c r="V11" s="4">
        <v>21.420825743769456</v>
      </c>
      <c r="W11" s="4">
        <v>15.064414579761264</v>
      </c>
      <c r="X11" s="4">
        <v>12.283334541279425</v>
      </c>
      <c r="Y11" s="4">
        <v>11.507237778422699</v>
      </c>
      <c r="Z11" s="4">
        <v>12.371121712117059</v>
      </c>
      <c r="AA11" s="4">
        <v>14.506058981906175</v>
      </c>
      <c r="AB11" s="4">
        <v>13.203915896800043</v>
      </c>
      <c r="AC11" s="4">
        <v>13.249938119441936</v>
      </c>
      <c r="AD11" s="4">
        <v>11.170127560656576</v>
      </c>
      <c r="AE11" s="4">
        <v>17.986182477147128</v>
      </c>
      <c r="AF11" s="4">
        <v>12.076310332695046</v>
      </c>
      <c r="AG11" s="4">
        <v>16.697031956096691</v>
      </c>
      <c r="AH11" s="4">
        <v>16.140104503321894</v>
      </c>
      <c r="AI11" s="4">
        <v>10.866274424550083</v>
      </c>
      <c r="AJ11" s="4">
        <v>11.568124892932982</v>
      </c>
      <c r="AK11" s="4">
        <v>9.9606001287195625</v>
      </c>
      <c r="AL11" s="4">
        <v>12.480220928628807</v>
      </c>
      <c r="AM11" s="4">
        <v>10.291423822573385</v>
      </c>
      <c r="AN11" s="4">
        <v>11.703550027232945</v>
      </c>
      <c r="AO11" s="4">
        <v>14.68975926385297</v>
      </c>
    </row>
    <row r="12" spans="2:41" ht="15" thickBot="1">
      <c r="B12" s="3" t="s">
        <v>55</v>
      </c>
      <c r="C12" s="27">
        <f t="array" ref="C12:C14">TRANSPOSE(J23:L23)</f>
        <v>20.176688766236239</v>
      </c>
      <c r="D12" s="28">
        <f t="array" ref="D12:D14">TRANSPOSE(J36:L36)</f>
        <v>2.4999999999999998E-2</v>
      </c>
      <c r="E12" s="40">
        <f t="dataTable" ref="E12:E14" dt2D="0" dtr="0" r1="L87" ca="1"/>
        <v>1650.9743009333301</v>
      </c>
      <c r="G12" s="3" t="s">
        <v>85</v>
      </c>
      <c r="M12" s="126" t="s">
        <v>231</v>
      </c>
      <c r="O12" s="3" t="s">
        <v>64</v>
      </c>
      <c r="P12" s="5" t="s">
        <v>75</v>
      </c>
      <c r="Q12" s="5"/>
      <c r="R12" t="str">
        <f>($P$12&amp;"-"&amp;$P$10)</f>
        <v>UNITED STATES-Technology</v>
      </c>
      <c r="S12" s="4">
        <v>18.56192007086797</v>
      </c>
      <c r="T12" s="4">
        <v>17.735070626065259</v>
      </c>
      <c r="U12" s="4">
        <v>17.000717410669655</v>
      </c>
      <c r="V12" s="4">
        <v>17.441647778385544</v>
      </c>
      <c r="W12" s="4">
        <v>18.007281483233708</v>
      </c>
      <c r="X12" s="4">
        <v>11.851184900426819</v>
      </c>
      <c r="Y12" s="4">
        <v>10.322957858009042</v>
      </c>
      <c r="Z12" s="4">
        <v>12.761764989568331</v>
      </c>
      <c r="AA12" s="4">
        <v>14.120721214416504</v>
      </c>
      <c r="AB12" s="4">
        <v>14.503738428126637</v>
      </c>
      <c r="AC12" s="4">
        <v>14.733749939303189</v>
      </c>
      <c r="AD12" s="4">
        <v>10.303017586171588</v>
      </c>
      <c r="AE12" s="4">
        <v>17.933714426642151</v>
      </c>
      <c r="AF12" s="4">
        <v>13.125461267698405</v>
      </c>
      <c r="AG12" s="4">
        <v>16.957149241775024</v>
      </c>
      <c r="AH12" s="4">
        <v>17.504960136719536</v>
      </c>
      <c r="AI12" s="4">
        <v>13.676414354593136</v>
      </c>
      <c r="AJ12" s="4">
        <v>12.740379391713986</v>
      </c>
      <c r="AK12" s="4">
        <v>11.802772200139815</v>
      </c>
      <c r="AL12" s="4">
        <v>10.99643237200601</v>
      </c>
      <c r="AM12" s="4">
        <v>8.3769353647614864</v>
      </c>
      <c r="AN12" s="4">
        <v>11.268986435724145</v>
      </c>
      <c r="AO12" s="4">
        <v>15.986357142464458</v>
      </c>
    </row>
    <row r="13" spans="2:41" ht="15" thickBot="1">
      <c r="B13" s="3" t="s">
        <v>57</v>
      </c>
      <c r="C13" s="27">
        <v>22.190484526438318</v>
      </c>
      <c r="D13" s="28">
        <v>0.03</v>
      </c>
      <c r="E13" s="119">
        <v>1802.7026252299895</v>
      </c>
      <c r="F13" s="141"/>
      <c r="O13" s="3" t="s">
        <v>66</v>
      </c>
      <c r="P13" s="5" t="s">
        <v>54</v>
      </c>
      <c r="Q13" s="5"/>
      <c r="R13" t="str">
        <f>("World-"&amp;$P$11)</f>
        <v>World-Software</v>
      </c>
      <c r="S13" s="4">
        <v>20.48356880019838</v>
      </c>
      <c r="T13" s="4">
        <v>20.341424147073234</v>
      </c>
      <c r="U13" s="4">
        <v>21.138487118545449</v>
      </c>
      <c r="V13" s="4">
        <v>22.119871288482653</v>
      </c>
      <c r="W13" s="4">
        <v>17.176512666679333</v>
      </c>
      <c r="X13" s="4">
        <v>16.741947021079252</v>
      </c>
      <c r="Y13" s="4">
        <v>16.333691465758665</v>
      </c>
      <c r="Z13" s="4">
        <v>14.836331484543635</v>
      </c>
      <c r="AA13" s="4">
        <v>16.02537532695165</v>
      </c>
      <c r="AB13" s="4">
        <v>17.630133528244404</v>
      </c>
      <c r="AC13" s="4">
        <v>13.764024418006265</v>
      </c>
      <c r="AD13" s="4">
        <v>13.777257201778625</v>
      </c>
      <c r="AE13" s="4">
        <v>20.56540297762707</v>
      </c>
      <c r="AF13" s="4">
        <v>23.904219076756124</v>
      </c>
      <c r="AG13" s="4">
        <v>17.650295098476793</v>
      </c>
      <c r="AH13" s="4">
        <v>19.277194746266478</v>
      </c>
      <c r="AI13" s="4">
        <v>18.525152835535884</v>
      </c>
      <c r="AJ13" s="4">
        <v>13.595495546291083</v>
      </c>
      <c r="AK13" s="4">
        <v>9.4411887694125642</v>
      </c>
      <c r="AL13" s="4">
        <v>11.78235545910978</v>
      </c>
      <c r="AM13" s="4">
        <v>9.5683607991192012</v>
      </c>
      <c r="AN13" s="4">
        <v>10.74813228900017</v>
      </c>
      <c r="AO13" s="4">
        <v>13.002469237861472</v>
      </c>
    </row>
    <row r="14" spans="2:41">
      <c r="B14" s="3" t="s">
        <v>56</v>
      </c>
      <c r="C14" s="27">
        <v>24.5321192572477</v>
      </c>
      <c r="D14" s="28">
        <v>3.4999999999999996E-2</v>
      </c>
      <c r="E14" s="40">
        <v>1979.1791261332153</v>
      </c>
      <c r="R14" t="str">
        <f>($P$12&amp;"-"&amp;$P$11)</f>
        <v>UNITED STATES-Software</v>
      </c>
      <c r="S14" s="4">
        <v>22.864794385200298</v>
      </c>
      <c r="T14" s="4">
        <v>23.416278952493716</v>
      </c>
      <c r="U14" s="4">
        <v>21.627258668790805</v>
      </c>
      <c r="V14" s="4">
        <v>24.915096296833266</v>
      </c>
      <c r="W14" s="4">
        <v>19.850091975348828</v>
      </c>
      <c r="X14" s="4">
        <v>19.650813244781475</v>
      </c>
      <c r="Y14" s="4">
        <v>16.348921417159648</v>
      </c>
      <c r="Z14" s="4">
        <v>15.535215584271382</v>
      </c>
      <c r="AA14" s="4">
        <v>16.036010944793464</v>
      </c>
      <c r="AB14" s="4">
        <v>18.205442123878889</v>
      </c>
      <c r="AC14" s="4">
        <v>13.905778870397754</v>
      </c>
      <c r="AD14" s="4">
        <v>14.208885677584306</v>
      </c>
      <c r="AE14" s="4">
        <v>21.132777432199532</v>
      </c>
      <c r="AF14" s="4">
        <v>26.301316248637015</v>
      </c>
      <c r="AG14" s="4">
        <v>17.802580732621365</v>
      </c>
      <c r="AH14" s="4">
        <v>17.943074775372242</v>
      </c>
      <c r="AI14" s="4">
        <v>18.178749452800286</v>
      </c>
      <c r="AJ14" s="4">
        <v>14.046163017667121</v>
      </c>
      <c r="AK14" s="4">
        <v>10.091730913497409</v>
      </c>
      <c r="AL14" s="4">
        <v>7.629889039323734</v>
      </c>
      <c r="AM14" s="4">
        <v>6.0802164924068922</v>
      </c>
      <c r="AN14" s="4">
        <v>9.0662833642298644</v>
      </c>
      <c r="AO14" s="4">
        <v>12.281444248234671</v>
      </c>
    </row>
    <row r="18" spans="2:22" ht="5.15" customHeight="1"/>
    <row r="19" spans="2:22">
      <c r="B19" s="43" t="s">
        <v>11</v>
      </c>
      <c r="C19" s="44"/>
      <c r="D19" s="44"/>
      <c r="E19" s="44"/>
      <c r="G19" s="43" t="s">
        <v>48</v>
      </c>
      <c r="H19" s="44"/>
      <c r="I19" s="44"/>
      <c r="J19" s="44"/>
      <c r="K19" s="44"/>
      <c r="L19" s="44"/>
      <c r="M19" s="44"/>
    </row>
    <row r="20" spans="2:22" ht="5.15" customHeight="1"/>
    <row r="21" spans="2:22">
      <c r="B21" t="s">
        <v>30</v>
      </c>
      <c r="C21" s="33">
        <v>2023</v>
      </c>
      <c r="J21" s="18" t="s">
        <v>42</v>
      </c>
      <c r="K21" s="18" t="s">
        <v>43</v>
      </c>
      <c r="L21" s="18" t="s">
        <v>44</v>
      </c>
    </row>
    <row r="22" spans="2:22">
      <c r="B22" t="s">
        <v>31</v>
      </c>
      <c r="C22" s="42">
        <v>0.03</v>
      </c>
      <c r="G22" t="s">
        <v>53</v>
      </c>
      <c r="J22" s="30">
        <f>+J36</f>
        <v>2.4999999999999998E-2</v>
      </c>
      <c r="K22" s="30">
        <f>+K36</f>
        <v>0.03</v>
      </c>
      <c r="L22" s="30">
        <f>+L36</f>
        <v>3.4999999999999996E-2</v>
      </c>
    </row>
    <row r="23" spans="2:22">
      <c r="B23" t="s">
        <v>32</v>
      </c>
      <c r="C23" s="42">
        <v>0.06</v>
      </c>
      <c r="G23" t="s">
        <v>0</v>
      </c>
      <c r="I23" s="25">
        <f ca="1">+$L$85</f>
        <v>22.190484380309048</v>
      </c>
      <c r="J23" s="31">
        <f t="dataTable" ref="J23:L23" dt2D="0" dtr="1" r1="L87" ca="1"/>
        <v>20.176688766236239</v>
      </c>
      <c r="K23" s="31">
        <v>22.190484526438318</v>
      </c>
      <c r="L23" s="31">
        <v>24.5321192572477</v>
      </c>
    </row>
    <row r="24" spans="2:22">
      <c r="B24" t="s">
        <v>3</v>
      </c>
      <c r="C24" s="134">
        <v>1</v>
      </c>
      <c r="J24" s="32"/>
      <c r="K24" s="32"/>
      <c r="L24" s="32"/>
    </row>
    <row r="25" spans="2:22">
      <c r="B25" t="s">
        <v>2</v>
      </c>
      <c r="C25" s="1">
        <f>+C22+C23*C24</f>
        <v>0.09</v>
      </c>
      <c r="G25" s="43" t="s">
        <v>221</v>
      </c>
      <c r="H25" s="44"/>
      <c r="I25" s="44"/>
      <c r="J25" s="44"/>
      <c r="K25" s="44"/>
      <c r="L25" s="44"/>
      <c r="M25" s="44"/>
    </row>
    <row r="26" spans="2:22">
      <c r="B26" t="s">
        <v>33</v>
      </c>
      <c r="C26" s="15">
        <v>0.05</v>
      </c>
      <c r="G26" s="3" t="s">
        <v>222</v>
      </c>
      <c r="K26" s="31">
        <f>+Model!AK294</f>
        <v>0.8</v>
      </c>
    </row>
    <row r="27" spans="2:22">
      <c r="B27" t="s">
        <v>89</v>
      </c>
      <c r="C27" s="42">
        <f>+C22</f>
        <v>0.03</v>
      </c>
      <c r="G27" s="3" t="s">
        <v>223</v>
      </c>
      <c r="K27" s="34">
        <f ca="1">IFERROR((-L78)/L77,0.1)</f>
        <v>6.6614073422472678E-2</v>
      </c>
    </row>
    <row r="28" spans="2:22">
      <c r="B28" t="s">
        <v>90</v>
      </c>
      <c r="C28" s="15">
        <v>0.04</v>
      </c>
      <c r="G28" s="3" t="s">
        <v>220</v>
      </c>
      <c r="K28" s="28">
        <f ca="1">+K27*C33+D37*C26+(1-K27-D37)*C25</f>
        <v>8.7501972246657261E-2</v>
      </c>
    </row>
    <row r="29" spans="2:22">
      <c r="B29" t="s">
        <v>34</v>
      </c>
      <c r="C29" s="39">
        <f>+C27+C28</f>
        <v>7.0000000000000007E-2</v>
      </c>
      <c r="O29" s="3"/>
      <c r="P29" s="21"/>
      <c r="Q29" s="21"/>
      <c r="R29" s="21"/>
      <c r="S29" s="21"/>
      <c r="T29" s="21"/>
      <c r="U29" s="21"/>
      <c r="V29" s="21"/>
    </row>
    <row r="30" spans="2:22" ht="5.15" customHeight="1">
      <c r="C30" s="98"/>
      <c r="P30" s="21"/>
    </row>
    <row r="31" spans="2:22">
      <c r="B31" t="s">
        <v>5</v>
      </c>
      <c r="C31" s="15">
        <v>0.25</v>
      </c>
      <c r="G31" s="43" t="s">
        <v>49</v>
      </c>
      <c r="H31" s="44"/>
      <c r="I31" s="44"/>
      <c r="J31" s="44"/>
      <c r="K31" s="44"/>
      <c r="L31" s="44"/>
      <c r="M31" s="44"/>
      <c r="O31" s="3"/>
      <c r="P31" s="21"/>
      <c r="Q31" s="21"/>
      <c r="R31" s="21"/>
      <c r="S31" s="21"/>
      <c r="T31" s="21"/>
      <c r="U31" s="21"/>
      <c r="V31" s="21"/>
    </row>
    <row r="32" spans="2:22" ht="5.15" customHeight="1"/>
    <row r="33" spans="2:22">
      <c r="B33" t="s">
        <v>35</v>
      </c>
      <c r="C33" s="103">
        <f>+C29*(1-C31)</f>
        <v>5.2500000000000005E-2</v>
      </c>
      <c r="J33" s="18" t="s">
        <v>42</v>
      </c>
      <c r="K33" s="19" t="s">
        <v>43</v>
      </c>
      <c r="L33" s="18" t="s">
        <v>44</v>
      </c>
    </row>
    <row r="34" spans="2:22">
      <c r="B34" t="s">
        <v>22</v>
      </c>
      <c r="C34" s="104">
        <f>+C83</f>
        <v>21.19153</v>
      </c>
      <c r="D34" s="12"/>
      <c r="E34" s="141"/>
      <c r="G34" t="s">
        <v>31</v>
      </c>
      <c r="I34" s="25"/>
      <c r="J34" s="26">
        <f>+$C$22</f>
        <v>0.03</v>
      </c>
      <c r="K34" s="22">
        <f t="shared" ref="K34:L34" si="1">+$C$22</f>
        <v>0.03</v>
      </c>
      <c r="L34" s="26">
        <f t="shared" si="1"/>
        <v>0.03</v>
      </c>
    </row>
    <row r="35" spans="2:22">
      <c r="B35" t="s">
        <v>36</v>
      </c>
      <c r="C35" s="209">
        <f>2296/1.35</f>
        <v>1700.7407407407406</v>
      </c>
      <c r="D35" s="12"/>
      <c r="E35" s="141"/>
      <c r="G35" t="s">
        <v>88</v>
      </c>
      <c r="I35" s="25"/>
      <c r="J35" s="132">
        <v>-5.0000000000000001E-3</v>
      </c>
      <c r="K35" s="133">
        <v>0</v>
      </c>
      <c r="L35" s="132">
        <v>5.0000000000000001E-3</v>
      </c>
    </row>
    <row r="36" spans="2:22">
      <c r="B36" t="s">
        <v>21</v>
      </c>
      <c r="C36" s="6">
        <f>+C35*C34</f>
        <v>36041.298429629627</v>
      </c>
      <c r="D36" s="12">
        <f>+C36/SUM($C$36:$C$38)</f>
        <v>0.95177897352795493</v>
      </c>
      <c r="G36" t="s">
        <v>53</v>
      </c>
      <c r="I36" s="25"/>
      <c r="J36" s="127">
        <f>+J34+J35</f>
        <v>2.4999999999999998E-2</v>
      </c>
      <c r="K36" s="128">
        <f t="shared" ref="K36:L36" si="2">+K34+K35</f>
        <v>0.03</v>
      </c>
      <c r="L36" s="127">
        <f t="shared" si="2"/>
        <v>3.4999999999999996E-2</v>
      </c>
    </row>
    <row r="37" spans="2:22">
      <c r="B37" t="s">
        <v>37</v>
      </c>
      <c r="C37" s="105">
        <f>-C79</f>
        <v>0</v>
      </c>
      <c r="D37" s="12">
        <f>+C37/SUM($C$36:$C$38)</f>
        <v>0</v>
      </c>
      <c r="G37" t="s">
        <v>466</v>
      </c>
      <c r="J37" s="36">
        <f>+J36/J40</f>
        <v>0.22086422819384668</v>
      </c>
      <c r="K37" s="37">
        <f>+K36/K40</f>
        <v>0.21708972030797671</v>
      </c>
      <c r="L37" s="38">
        <f>+L36/L40</f>
        <v>0.21447167675813436</v>
      </c>
    </row>
    <row r="38" spans="2:22">
      <c r="B38" t="s">
        <v>38</v>
      </c>
      <c r="C38" s="106">
        <f>-C78</f>
        <v>1826</v>
      </c>
      <c r="D38" s="12">
        <f>+C38/SUM($C$36:$C$38)</f>
        <v>4.8221026472045042E-2</v>
      </c>
      <c r="G38" t="s">
        <v>51</v>
      </c>
      <c r="J38" s="24">
        <f>+$C$42</f>
        <v>8.8191711507298307E-2</v>
      </c>
      <c r="K38" s="22">
        <f>+$C$42</f>
        <v>8.8191711507298307E-2</v>
      </c>
      <c r="L38" s="23">
        <f>+$C$42</f>
        <v>8.8191711507298307E-2</v>
      </c>
    </row>
    <row r="39" spans="2:22" ht="15.75" customHeight="1">
      <c r="G39" t="s">
        <v>52</v>
      </c>
      <c r="J39" s="129">
        <v>2.5000000000000001E-2</v>
      </c>
      <c r="K39" s="130">
        <v>0.05</v>
      </c>
      <c r="L39" s="131">
        <v>7.4999999999999997E-2</v>
      </c>
      <c r="M39" s="186"/>
    </row>
    <row r="40" spans="2:22" ht="15" thickBot="1">
      <c r="B40" t="s">
        <v>11</v>
      </c>
      <c r="C40" s="12">
        <f>+(D36*C25)+(D37*C26)+(C33*D38)</f>
        <v>8.8191711507298307E-2</v>
      </c>
      <c r="G40" s="2" t="s">
        <v>61</v>
      </c>
      <c r="H40" s="2"/>
      <c r="I40" s="2"/>
      <c r="J40" s="20">
        <f>+J39+J38</f>
        <v>0.11319171150729831</v>
      </c>
      <c r="K40" s="20">
        <f>+K39+K38</f>
        <v>0.13819171150729831</v>
      </c>
      <c r="L40" s="20">
        <f>+L39+L38</f>
        <v>0.1631917115072983</v>
      </c>
    </row>
    <row r="41" spans="2:22" ht="15" thickBot="1">
      <c r="B41" t="s">
        <v>39</v>
      </c>
      <c r="C41" s="16"/>
      <c r="G41" s="3" t="s">
        <v>82</v>
      </c>
      <c r="J41" s="30">
        <f t="shared" ref="J41" ca="1" si="3">(18.94-23.62*(-$M$66/$M$61)+12.19*((-$M$66/$M$61)^2))/100</f>
        <v>0.12088768997665135</v>
      </c>
      <c r="K41" s="30">
        <f ca="1">(18.94-23.62*(-$M$66/$M$61)+12.19*((-$M$66/$M$61)^2))/100</f>
        <v>0.12088768997665135</v>
      </c>
      <c r="L41" s="30">
        <f t="shared" ref="L41" ca="1" si="4">(18.94-23.62*(-$M$66/$M$61)+12.19*((-$M$66/$M$61)^2))/100</f>
        <v>0.12088768997665135</v>
      </c>
    </row>
    <row r="42" spans="2:22">
      <c r="B42" t="s">
        <v>40</v>
      </c>
      <c r="C42" s="17">
        <f>+IF(ISBLANK(C41)=TRUE,C40,C41)</f>
        <v>8.8191711507298307E-2</v>
      </c>
      <c r="O42" s="3"/>
      <c r="P42" s="21"/>
      <c r="Q42" s="21"/>
      <c r="R42" s="21"/>
      <c r="S42" s="21"/>
      <c r="T42" s="21"/>
      <c r="U42" s="21"/>
      <c r="V42" s="21"/>
    </row>
    <row r="43" spans="2:22" ht="5.15" customHeight="1"/>
    <row r="44" spans="2:22">
      <c r="B44" s="43" t="s">
        <v>29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2:22" ht="5.15" customHeight="1"/>
    <row r="46" spans="2:22">
      <c r="B46" t="s">
        <v>11</v>
      </c>
      <c r="C46" s="150">
        <f>+C42</f>
        <v>8.8191711507298307E-2</v>
      </c>
      <c r="D46" s="150">
        <f ca="1">C46-($C$46-$L$46)/8</f>
        <v>8.81054941005769E-2</v>
      </c>
      <c r="E46" s="150">
        <f t="shared" ref="E46:K46" ca="1" si="5">D46-($C$46-$L$46)/8</f>
        <v>8.8019276693855494E-2</v>
      </c>
      <c r="F46" s="150">
        <f t="shared" ca="1" si="5"/>
        <v>8.7933059287134088E-2</v>
      </c>
      <c r="G46" s="150">
        <f t="shared" ca="1" si="5"/>
        <v>8.7846841880412682E-2</v>
      </c>
      <c r="H46" s="150">
        <f t="shared" ca="1" si="5"/>
        <v>8.7760624473691276E-2</v>
      </c>
      <c r="I46" s="150">
        <f t="shared" ca="1" si="5"/>
        <v>8.767440706696987E-2</v>
      </c>
      <c r="J46" s="150">
        <f t="shared" ca="1" si="5"/>
        <v>8.7588189660248464E-2</v>
      </c>
      <c r="K46" s="150">
        <f t="shared" ca="1" si="5"/>
        <v>8.7501972253527058E-2</v>
      </c>
      <c r="L46" s="42">
        <f ca="1">+K28</f>
        <v>8.7501972246657261E-2</v>
      </c>
      <c r="M46" s="150">
        <f ca="1">+L46</f>
        <v>8.7501972246657261E-2</v>
      </c>
    </row>
    <row r="47" spans="2:22">
      <c r="B47" t="s">
        <v>14</v>
      </c>
      <c r="C47" s="151">
        <f ca="1">IF($C$21&lt;YEAR(TODAY()),1+(DAY(TODAY())+MONTH(TODAY())*30-30)/365,(DAY(TODAY())+MONTH(TODAY())*30-30)/365)</f>
        <v>5.2054794520547946E-2</v>
      </c>
    </row>
    <row r="48" spans="2:22">
      <c r="B48" t="s">
        <v>13</v>
      </c>
      <c r="C48" s="134">
        <v>0.5</v>
      </c>
      <c r="O48" s="13"/>
      <c r="P48" s="13"/>
      <c r="Q48" s="13"/>
      <c r="R48" s="13"/>
      <c r="S48" s="13"/>
      <c r="T48" s="13"/>
      <c r="U48" s="13"/>
      <c r="V48" s="13"/>
    </row>
    <row r="49" spans="2:16383" ht="5.15" customHeight="1"/>
    <row r="50" spans="2:16383">
      <c r="B50" s="45" t="s">
        <v>9</v>
      </c>
      <c r="C50" s="45">
        <v>1</v>
      </c>
      <c r="D50" s="45">
        <f>+C50+1</f>
        <v>2</v>
      </c>
      <c r="E50" s="45">
        <f>+D50+1</f>
        <v>3</v>
      </c>
      <c r="F50" s="45">
        <f>+E50+1</f>
        <v>4</v>
      </c>
      <c r="G50" s="45">
        <f>+F50+1</f>
        <v>5</v>
      </c>
      <c r="H50" s="45">
        <f>+G50+1</f>
        <v>6</v>
      </c>
      <c r="I50" s="45">
        <f t="shared" ref="I50:M50" si="6">+H50+1</f>
        <v>7</v>
      </c>
      <c r="J50" s="45">
        <f t="shared" si="6"/>
        <v>8</v>
      </c>
      <c r="K50" s="45">
        <f t="shared" si="6"/>
        <v>9</v>
      </c>
      <c r="L50" s="45">
        <f t="shared" si="6"/>
        <v>10</v>
      </c>
      <c r="M50" s="45">
        <f t="shared" si="6"/>
        <v>11</v>
      </c>
    </row>
    <row r="51" spans="2:16383">
      <c r="B51" s="45" t="s">
        <v>8</v>
      </c>
      <c r="C51" s="45">
        <f>+C21</f>
        <v>2023</v>
      </c>
      <c r="D51" s="45">
        <f>+C51+1</f>
        <v>2024</v>
      </c>
      <c r="E51" s="45">
        <f t="shared" ref="E51:L51" si="7">+D51+1</f>
        <v>2025</v>
      </c>
      <c r="F51" s="45">
        <f t="shared" si="7"/>
        <v>2026</v>
      </c>
      <c r="G51" s="45">
        <f>+F51+1</f>
        <v>2027</v>
      </c>
      <c r="H51" s="45">
        <f t="shared" si="7"/>
        <v>2028</v>
      </c>
      <c r="I51" s="45">
        <f t="shared" si="7"/>
        <v>2029</v>
      </c>
      <c r="J51" s="45">
        <f t="shared" si="7"/>
        <v>2030</v>
      </c>
      <c r="K51" s="45">
        <f t="shared" si="7"/>
        <v>2031</v>
      </c>
      <c r="L51" s="45">
        <f t="shared" si="7"/>
        <v>2032</v>
      </c>
      <c r="M51" s="45">
        <f>+L51+1</f>
        <v>2033</v>
      </c>
      <c r="O51" s="13"/>
      <c r="P51" s="13"/>
      <c r="Q51" s="13"/>
      <c r="R51" s="13"/>
      <c r="S51" s="13"/>
      <c r="T51" s="13"/>
      <c r="U51" s="13"/>
      <c r="V51" s="13"/>
    </row>
    <row r="52" spans="2:16383" ht="5.15" customHeight="1"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2:16383">
      <c r="B53" t="s">
        <v>25</v>
      </c>
      <c r="C53" s="59">
        <f ca="1">+INDEX(Model!$A:$AQ,MATCH("EPS",Model!$A:$A,0),MATCH(DCF!C$51,Model!$3:$3,0))</f>
        <v>24.418862232196087</v>
      </c>
      <c r="D53" s="59">
        <f ca="1">+INDEX(Model!$A:$AQ,MATCH("EPS",Model!$A:$A,0),MATCH(DCF!D$51,Model!$3:$3,0))</f>
        <v>29.792718563009295</v>
      </c>
      <c r="E53" s="59">
        <f ca="1">+INDEX(Model!$A:$AQ,MATCH("EPS",Model!$A:$A,0),MATCH(DCF!E$51,Model!$3:$3,0))</f>
        <v>37.678417293214409</v>
      </c>
      <c r="F53" s="59">
        <f ca="1">+INDEX(Model!$A:$AQ,MATCH("EPS",Model!$A:$A,0),MATCH(DCF!F$51,Model!$3:$3,0))</f>
        <v>48.298753174609004</v>
      </c>
      <c r="G53" s="59">
        <f ca="1">+INDEX(Model!$A:$AQ,MATCH("EPS",Model!$A:$A,0),MATCH(DCF!G$51,Model!$3:$3,0))</f>
        <v>62.06804087751236</v>
      </c>
      <c r="H53" s="59">
        <f ca="1">+INDEX(Model!$A:$AQ,MATCH("EPS",Model!$A:$A,0),MATCH(DCF!H$51,Model!$3:$3,0))</f>
        <v>77.223011218247009</v>
      </c>
      <c r="I53" s="59">
        <f ca="1">+INDEX(Model!$A:$AQ,MATCH("EPS",Model!$A:$A,0),MATCH(DCF!I$51,Model!$3:$3,0))</f>
        <v>94.37339885065154</v>
      </c>
      <c r="J53" s="59">
        <f ca="1">+INDEX(Model!$A:$AQ,MATCH("EPS",Model!$A:$A,0),MATCH(DCF!J$51,Model!$3:$3,0))</f>
        <v>115.02297708584912</v>
      </c>
      <c r="K53" s="59">
        <f ca="1">+INDEX(Model!$A:$AQ,MATCH("EPS",Model!$A:$A,0),MATCH(DCF!K$51,Model!$3:$3,0))</f>
        <v>137.48239478606783</v>
      </c>
      <c r="L53" s="59">
        <f ca="1">+INDEX(Model!$A:$AQ,MATCH("EPS",Model!$A:$A,0),MATCH(DCF!L$51,Model!$3:$3,0))</f>
        <v>165.40050742895451</v>
      </c>
      <c r="M53" s="140">
        <f ca="1">+L53*(1+$K$36)</f>
        <v>170.36252265182316</v>
      </c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  <c r="AML53" s="13"/>
      <c r="AMM53" s="13"/>
      <c r="AMN53" s="13"/>
      <c r="AMO53" s="13"/>
      <c r="AMP53" s="13"/>
      <c r="AMQ53" s="13"/>
      <c r="AMR53" s="13"/>
      <c r="AMS53" s="13"/>
      <c r="AMT53" s="13"/>
      <c r="AMU53" s="13"/>
      <c r="AMV53" s="13"/>
      <c r="AMW53" s="13"/>
      <c r="AMX53" s="13"/>
      <c r="AMY53" s="13"/>
      <c r="AMZ53" s="13"/>
      <c r="ANA53" s="13"/>
      <c r="ANB53" s="13"/>
      <c r="ANC53" s="13"/>
      <c r="AND53" s="13"/>
      <c r="ANE53" s="13"/>
      <c r="ANF53" s="13"/>
      <c r="ANG53" s="13"/>
      <c r="ANH53" s="13"/>
      <c r="ANI53" s="13"/>
      <c r="ANJ53" s="13"/>
      <c r="ANK53" s="13"/>
      <c r="ANL53" s="13"/>
      <c r="ANM53" s="13"/>
      <c r="ANN53" s="13"/>
      <c r="ANO53" s="13"/>
      <c r="ANP53" s="13"/>
      <c r="ANQ53" s="13"/>
      <c r="ANR53" s="13"/>
      <c r="ANS53" s="13"/>
      <c r="ANT53" s="13"/>
      <c r="ANU53" s="13"/>
      <c r="ANV53" s="13"/>
      <c r="ANW53" s="13"/>
      <c r="ANX53" s="13"/>
      <c r="ANY53" s="13"/>
      <c r="ANZ53" s="13"/>
      <c r="AOA53" s="13"/>
      <c r="AOB53" s="13"/>
      <c r="AOC53" s="13"/>
      <c r="AOD53" s="13"/>
      <c r="AOE53" s="13"/>
      <c r="AOF53" s="13"/>
      <c r="AOG53" s="13"/>
      <c r="AOH53" s="13"/>
      <c r="AOI53" s="13"/>
      <c r="AOJ53" s="13"/>
      <c r="AOK53" s="13"/>
      <c r="AOL53" s="13"/>
      <c r="AOM53" s="13"/>
      <c r="AON53" s="13"/>
      <c r="AOO53" s="13"/>
      <c r="AOP53" s="13"/>
      <c r="AOQ53" s="13"/>
      <c r="AOR53" s="13"/>
      <c r="AOS53" s="13"/>
      <c r="AOT53" s="13"/>
      <c r="AOU53" s="13"/>
      <c r="AOV53" s="13"/>
      <c r="AOW53" s="13"/>
      <c r="AOX53" s="13"/>
      <c r="AOY53" s="13"/>
      <c r="AOZ53" s="13"/>
      <c r="APA53" s="13"/>
      <c r="APB53" s="13"/>
      <c r="APC53" s="13"/>
      <c r="APD53" s="13"/>
      <c r="APE53" s="13"/>
      <c r="APF53" s="13"/>
      <c r="APG53" s="13"/>
      <c r="APH53" s="13"/>
      <c r="API53" s="13"/>
      <c r="APJ53" s="13"/>
      <c r="APK53" s="13"/>
      <c r="APL53" s="13"/>
      <c r="APM53" s="13"/>
      <c r="APN53" s="13"/>
      <c r="APO53" s="13"/>
      <c r="APP53" s="13"/>
      <c r="APQ53" s="13"/>
      <c r="APR53" s="13"/>
      <c r="APS53" s="13"/>
      <c r="APT53" s="13"/>
      <c r="APU53" s="13"/>
      <c r="APV53" s="13"/>
      <c r="APW53" s="13"/>
      <c r="APX53" s="13"/>
      <c r="APY53" s="13"/>
      <c r="APZ53" s="13"/>
      <c r="AQA53" s="13"/>
      <c r="AQB53" s="13"/>
      <c r="AQC53" s="13"/>
      <c r="AQD53" s="13"/>
      <c r="AQE53" s="13"/>
      <c r="AQF53" s="13"/>
      <c r="AQG53" s="13"/>
      <c r="AQH53" s="13"/>
      <c r="AQI53" s="13"/>
      <c r="AQJ53" s="13"/>
      <c r="AQK53" s="13"/>
      <c r="AQL53" s="13"/>
      <c r="AQM53" s="13"/>
      <c r="AQN53" s="13"/>
      <c r="AQO53" s="13"/>
      <c r="AQP53" s="13"/>
      <c r="AQQ53" s="13"/>
      <c r="AQR53" s="13"/>
      <c r="AQS53" s="13"/>
      <c r="AQT53" s="13"/>
      <c r="AQU53" s="13"/>
      <c r="AQV53" s="13"/>
      <c r="AQW53" s="13"/>
      <c r="AQX53" s="13"/>
      <c r="AQY53" s="13"/>
      <c r="AQZ53" s="13"/>
      <c r="ARA53" s="13"/>
      <c r="ARB53" s="13"/>
      <c r="ARC53" s="13"/>
      <c r="ARD53" s="13"/>
      <c r="ARE53" s="13"/>
      <c r="ARF53" s="13"/>
      <c r="ARG53" s="13"/>
      <c r="ARH53" s="13"/>
      <c r="ARI53" s="13"/>
      <c r="ARJ53" s="13"/>
      <c r="ARK53" s="13"/>
      <c r="ARL53" s="13"/>
      <c r="ARM53" s="13"/>
      <c r="ARN53" s="13"/>
      <c r="ARO53" s="13"/>
      <c r="ARP53" s="13"/>
      <c r="ARQ53" s="13"/>
      <c r="ARR53" s="13"/>
      <c r="ARS53" s="13"/>
      <c r="ART53" s="13"/>
      <c r="ARU53" s="13"/>
      <c r="ARV53" s="13"/>
      <c r="ARW53" s="13"/>
      <c r="ARX53" s="13"/>
      <c r="ARY53" s="13"/>
      <c r="ARZ53" s="13"/>
      <c r="ASA53" s="13"/>
      <c r="ASB53" s="13"/>
      <c r="ASC53" s="13"/>
      <c r="ASD53" s="13"/>
      <c r="ASE53" s="13"/>
      <c r="ASF53" s="13"/>
      <c r="ASG53" s="13"/>
      <c r="ASH53" s="13"/>
      <c r="ASI53" s="13"/>
      <c r="ASJ53" s="13"/>
      <c r="ASK53" s="13"/>
      <c r="ASL53" s="13"/>
      <c r="ASM53" s="13"/>
      <c r="ASN53" s="13"/>
      <c r="ASO53" s="13"/>
      <c r="ASP53" s="13"/>
      <c r="ASQ53" s="13"/>
      <c r="ASR53" s="13"/>
      <c r="ASS53" s="13"/>
      <c r="AST53" s="13"/>
      <c r="ASU53" s="13"/>
      <c r="ASV53" s="13"/>
      <c r="ASW53" s="13"/>
      <c r="ASX53" s="13"/>
      <c r="ASY53" s="13"/>
      <c r="ASZ53" s="13"/>
      <c r="ATA53" s="13"/>
      <c r="ATB53" s="13"/>
      <c r="ATC53" s="13"/>
      <c r="ATD53" s="13"/>
      <c r="ATE53" s="13"/>
      <c r="ATF53" s="13"/>
      <c r="ATG53" s="13"/>
      <c r="ATH53" s="13"/>
      <c r="ATI53" s="13"/>
      <c r="ATJ53" s="13"/>
      <c r="ATK53" s="13"/>
      <c r="ATL53" s="13"/>
      <c r="ATM53" s="13"/>
      <c r="ATN53" s="13"/>
      <c r="ATO53" s="13"/>
      <c r="ATP53" s="13"/>
      <c r="ATQ53" s="13"/>
      <c r="ATR53" s="13"/>
      <c r="ATS53" s="13"/>
      <c r="ATT53" s="13"/>
      <c r="ATU53" s="13"/>
      <c r="ATV53" s="13"/>
      <c r="ATW53" s="13"/>
      <c r="ATX53" s="13"/>
      <c r="ATY53" s="13"/>
      <c r="ATZ53" s="13"/>
      <c r="AUA53" s="13"/>
      <c r="AUB53" s="13"/>
      <c r="AUC53" s="13"/>
      <c r="AUD53" s="13"/>
      <c r="AUE53" s="13"/>
      <c r="AUF53" s="13"/>
      <c r="AUG53" s="13"/>
      <c r="AUH53" s="13"/>
      <c r="AUI53" s="13"/>
      <c r="AUJ53" s="13"/>
      <c r="AUK53" s="13"/>
      <c r="AUL53" s="13"/>
      <c r="AUM53" s="13"/>
      <c r="AUN53" s="13"/>
      <c r="AUO53" s="13"/>
      <c r="AUP53" s="13"/>
      <c r="AUQ53" s="13"/>
      <c r="AUR53" s="13"/>
      <c r="AUS53" s="13"/>
      <c r="AUT53" s="13"/>
      <c r="AUU53" s="13"/>
      <c r="AUV53" s="13"/>
      <c r="AUW53" s="13"/>
      <c r="AUX53" s="13"/>
      <c r="AUY53" s="13"/>
      <c r="AUZ53" s="13"/>
      <c r="AVA53" s="13"/>
      <c r="AVB53" s="13"/>
      <c r="AVC53" s="13"/>
      <c r="AVD53" s="13"/>
      <c r="AVE53" s="13"/>
      <c r="AVF53" s="13"/>
      <c r="AVG53" s="13"/>
      <c r="AVH53" s="13"/>
      <c r="AVI53" s="13"/>
      <c r="AVJ53" s="13"/>
      <c r="AVK53" s="13"/>
      <c r="AVL53" s="13"/>
      <c r="AVM53" s="13"/>
      <c r="AVN53" s="13"/>
      <c r="AVO53" s="13"/>
      <c r="AVP53" s="13"/>
      <c r="AVQ53" s="13"/>
      <c r="AVR53" s="13"/>
      <c r="AVS53" s="13"/>
      <c r="AVT53" s="13"/>
      <c r="AVU53" s="13"/>
      <c r="AVV53" s="13"/>
      <c r="AVW53" s="13"/>
      <c r="AVX53" s="13"/>
      <c r="AVY53" s="13"/>
      <c r="AVZ53" s="13"/>
      <c r="AWA53" s="13"/>
      <c r="AWB53" s="13"/>
      <c r="AWC53" s="13"/>
      <c r="AWD53" s="13"/>
      <c r="AWE53" s="13"/>
      <c r="AWF53" s="13"/>
      <c r="AWG53" s="13"/>
      <c r="AWH53" s="13"/>
      <c r="AWI53" s="13"/>
      <c r="AWJ53" s="13"/>
      <c r="AWK53" s="13"/>
      <c r="AWL53" s="13"/>
      <c r="AWM53" s="13"/>
      <c r="AWN53" s="13"/>
      <c r="AWO53" s="13"/>
      <c r="AWP53" s="13"/>
      <c r="AWQ53" s="13"/>
      <c r="AWR53" s="13"/>
      <c r="AWS53" s="13"/>
      <c r="AWT53" s="13"/>
      <c r="AWU53" s="13"/>
      <c r="AWV53" s="13"/>
      <c r="AWW53" s="13"/>
      <c r="AWX53" s="13"/>
      <c r="AWY53" s="13"/>
      <c r="AWZ53" s="13"/>
      <c r="AXA53" s="13"/>
      <c r="AXB53" s="13"/>
      <c r="AXC53" s="13"/>
      <c r="AXD53" s="13"/>
      <c r="AXE53" s="13"/>
      <c r="AXF53" s="13"/>
      <c r="AXG53" s="13"/>
      <c r="AXH53" s="13"/>
      <c r="AXI53" s="13"/>
      <c r="AXJ53" s="13"/>
      <c r="AXK53" s="13"/>
      <c r="AXL53" s="13"/>
      <c r="AXM53" s="13"/>
      <c r="AXN53" s="13"/>
      <c r="AXO53" s="13"/>
      <c r="AXP53" s="13"/>
      <c r="AXQ53" s="13"/>
      <c r="AXR53" s="13"/>
      <c r="AXS53" s="13"/>
      <c r="AXT53" s="13"/>
      <c r="AXU53" s="13"/>
      <c r="AXV53" s="13"/>
      <c r="AXW53" s="13"/>
      <c r="AXX53" s="13"/>
      <c r="AXY53" s="13"/>
      <c r="AXZ53" s="13"/>
      <c r="AYA53" s="13"/>
      <c r="AYB53" s="13"/>
      <c r="AYC53" s="13"/>
      <c r="AYD53" s="13"/>
      <c r="AYE53" s="13"/>
      <c r="AYF53" s="13"/>
      <c r="AYG53" s="13"/>
      <c r="AYH53" s="13"/>
      <c r="AYI53" s="13"/>
      <c r="AYJ53" s="13"/>
      <c r="AYK53" s="13"/>
      <c r="AYL53" s="13"/>
      <c r="AYM53" s="13"/>
      <c r="AYN53" s="13"/>
      <c r="AYO53" s="13"/>
      <c r="AYP53" s="13"/>
      <c r="AYQ53" s="13"/>
      <c r="AYR53" s="13"/>
      <c r="AYS53" s="13"/>
      <c r="AYT53" s="13"/>
      <c r="AYU53" s="13"/>
      <c r="AYV53" s="13"/>
      <c r="AYW53" s="13"/>
      <c r="AYX53" s="13"/>
      <c r="AYY53" s="13"/>
      <c r="AYZ53" s="13"/>
      <c r="AZA53" s="13"/>
      <c r="AZB53" s="13"/>
      <c r="AZC53" s="13"/>
      <c r="AZD53" s="13"/>
      <c r="AZE53" s="13"/>
      <c r="AZF53" s="13"/>
      <c r="AZG53" s="13"/>
      <c r="AZH53" s="13"/>
      <c r="AZI53" s="13"/>
      <c r="AZJ53" s="13"/>
      <c r="AZK53" s="13"/>
      <c r="AZL53" s="13"/>
      <c r="AZM53" s="13"/>
      <c r="AZN53" s="13"/>
      <c r="AZO53" s="13"/>
      <c r="AZP53" s="13"/>
      <c r="AZQ53" s="13"/>
      <c r="AZR53" s="13"/>
      <c r="AZS53" s="13"/>
      <c r="AZT53" s="13"/>
      <c r="AZU53" s="13"/>
      <c r="AZV53" s="13"/>
      <c r="AZW53" s="13"/>
      <c r="AZX53" s="13"/>
      <c r="AZY53" s="13"/>
      <c r="AZZ53" s="13"/>
      <c r="BAA53" s="13"/>
      <c r="BAB53" s="13"/>
      <c r="BAC53" s="13"/>
      <c r="BAD53" s="13"/>
      <c r="BAE53" s="13"/>
      <c r="BAF53" s="13"/>
      <c r="BAG53" s="13"/>
      <c r="BAH53" s="13"/>
      <c r="BAI53" s="13"/>
      <c r="BAJ53" s="13"/>
      <c r="BAK53" s="13"/>
      <c r="BAL53" s="13"/>
      <c r="BAM53" s="13"/>
      <c r="BAN53" s="13"/>
      <c r="BAO53" s="13"/>
      <c r="BAP53" s="13"/>
      <c r="BAQ53" s="13"/>
      <c r="BAR53" s="13"/>
      <c r="BAS53" s="13"/>
      <c r="BAT53" s="13"/>
      <c r="BAU53" s="13"/>
      <c r="BAV53" s="13"/>
      <c r="BAW53" s="13"/>
      <c r="BAX53" s="13"/>
      <c r="BAY53" s="13"/>
      <c r="BAZ53" s="13"/>
      <c r="BBA53" s="13"/>
      <c r="BBB53" s="13"/>
      <c r="BBC53" s="13"/>
      <c r="BBD53" s="13"/>
      <c r="BBE53" s="13"/>
      <c r="BBF53" s="13"/>
      <c r="BBG53" s="13"/>
      <c r="BBH53" s="13"/>
      <c r="BBI53" s="13"/>
      <c r="BBJ53" s="13"/>
      <c r="BBK53" s="13"/>
      <c r="BBL53" s="13"/>
      <c r="BBM53" s="13"/>
      <c r="BBN53" s="13"/>
      <c r="BBO53" s="13"/>
      <c r="BBP53" s="13"/>
      <c r="BBQ53" s="13"/>
      <c r="BBR53" s="13"/>
      <c r="BBS53" s="13"/>
      <c r="BBT53" s="13"/>
      <c r="BBU53" s="13"/>
      <c r="BBV53" s="13"/>
      <c r="BBW53" s="13"/>
      <c r="BBX53" s="13"/>
      <c r="BBY53" s="13"/>
      <c r="BBZ53" s="13"/>
      <c r="BCA53" s="13"/>
      <c r="BCB53" s="13"/>
      <c r="BCC53" s="13"/>
      <c r="BCD53" s="13"/>
      <c r="BCE53" s="13"/>
      <c r="BCF53" s="13"/>
      <c r="BCG53" s="13"/>
      <c r="BCH53" s="13"/>
      <c r="BCI53" s="13"/>
      <c r="BCJ53" s="13"/>
      <c r="BCK53" s="13"/>
      <c r="BCL53" s="13"/>
      <c r="BCM53" s="13"/>
      <c r="BCN53" s="13"/>
      <c r="BCO53" s="13"/>
      <c r="BCP53" s="13"/>
      <c r="BCQ53" s="13"/>
      <c r="BCR53" s="13"/>
      <c r="BCS53" s="13"/>
      <c r="BCT53" s="13"/>
      <c r="BCU53" s="13"/>
      <c r="BCV53" s="13"/>
      <c r="BCW53" s="13"/>
      <c r="BCX53" s="13"/>
      <c r="BCY53" s="13"/>
      <c r="BCZ53" s="13"/>
      <c r="BDA53" s="13"/>
      <c r="BDB53" s="13"/>
      <c r="BDC53" s="13"/>
      <c r="BDD53" s="13"/>
      <c r="BDE53" s="13"/>
      <c r="BDF53" s="13"/>
      <c r="BDG53" s="13"/>
      <c r="BDH53" s="13"/>
      <c r="BDI53" s="13"/>
      <c r="BDJ53" s="13"/>
      <c r="BDK53" s="13"/>
      <c r="BDL53" s="13"/>
      <c r="BDM53" s="13"/>
      <c r="BDN53" s="13"/>
      <c r="BDO53" s="13"/>
      <c r="BDP53" s="13"/>
      <c r="BDQ53" s="13"/>
      <c r="BDR53" s="13"/>
      <c r="BDS53" s="13"/>
      <c r="BDT53" s="13"/>
      <c r="BDU53" s="13"/>
      <c r="BDV53" s="13"/>
      <c r="BDW53" s="13"/>
      <c r="BDX53" s="13"/>
      <c r="BDY53" s="13"/>
      <c r="BDZ53" s="13"/>
      <c r="BEA53" s="13"/>
      <c r="BEB53" s="13"/>
      <c r="BEC53" s="13"/>
      <c r="BED53" s="13"/>
      <c r="BEE53" s="13"/>
      <c r="BEF53" s="13"/>
      <c r="BEG53" s="13"/>
      <c r="BEH53" s="13"/>
      <c r="BEI53" s="13"/>
      <c r="BEJ53" s="13"/>
      <c r="BEK53" s="13"/>
      <c r="BEL53" s="13"/>
      <c r="BEM53" s="13"/>
      <c r="BEN53" s="13"/>
      <c r="BEO53" s="13"/>
      <c r="BEP53" s="13"/>
      <c r="BEQ53" s="13"/>
      <c r="BER53" s="13"/>
      <c r="BES53" s="13"/>
      <c r="BET53" s="13"/>
      <c r="BEU53" s="13"/>
      <c r="BEV53" s="13"/>
      <c r="BEW53" s="13"/>
      <c r="BEX53" s="13"/>
      <c r="BEY53" s="13"/>
      <c r="BEZ53" s="13"/>
      <c r="BFA53" s="13"/>
      <c r="BFB53" s="13"/>
      <c r="BFC53" s="13"/>
      <c r="BFD53" s="13"/>
      <c r="BFE53" s="13"/>
      <c r="BFF53" s="13"/>
      <c r="BFG53" s="13"/>
      <c r="BFH53" s="13"/>
      <c r="BFI53" s="13"/>
      <c r="BFJ53" s="13"/>
      <c r="BFK53" s="13"/>
      <c r="BFL53" s="13"/>
      <c r="BFM53" s="13"/>
      <c r="BFN53" s="13"/>
      <c r="BFO53" s="13"/>
      <c r="BFP53" s="13"/>
      <c r="BFQ53" s="13"/>
      <c r="BFR53" s="13"/>
      <c r="BFS53" s="13"/>
      <c r="BFT53" s="13"/>
      <c r="BFU53" s="13"/>
      <c r="BFV53" s="13"/>
      <c r="BFW53" s="13"/>
      <c r="BFX53" s="13"/>
      <c r="BFY53" s="13"/>
      <c r="BFZ53" s="13"/>
      <c r="BGA53" s="13"/>
      <c r="BGB53" s="13"/>
      <c r="BGC53" s="13"/>
      <c r="BGD53" s="13"/>
      <c r="BGE53" s="13"/>
      <c r="BGF53" s="13"/>
      <c r="BGG53" s="13"/>
      <c r="BGH53" s="13"/>
      <c r="BGI53" s="13"/>
      <c r="BGJ53" s="13"/>
      <c r="BGK53" s="13"/>
      <c r="BGL53" s="13"/>
      <c r="BGM53" s="13"/>
      <c r="BGN53" s="13"/>
      <c r="BGO53" s="13"/>
      <c r="BGP53" s="13"/>
      <c r="BGQ53" s="13"/>
      <c r="BGR53" s="13"/>
      <c r="BGS53" s="13"/>
      <c r="BGT53" s="13"/>
      <c r="BGU53" s="13"/>
      <c r="BGV53" s="13"/>
      <c r="BGW53" s="13"/>
      <c r="BGX53" s="13"/>
      <c r="BGY53" s="13"/>
      <c r="BGZ53" s="13"/>
      <c r="BHA53" s="13"/>
      <c r="BHB53" s="13"/>
      <c r="BHC53" s="13"/>
      <c r="BHD53" s="13"/>
      <c r="BHE53" s="13"/>
      <c r="BHF53" s="13"/>
      <c r="BHG53" s="13"/>
      <c r="BHH53" s="13"/>
      <c r="BHI53" s="13"/>
      <c r="BHJ53" s="13"/>
      <c r="BHK53" s="13"/>
      <c r="BHL53" s="13"/>
      <c r="BHM53" s="13"/>
      <c r="BHN53" s="13"/>
      <c r="BHO53" s="13"/>
      <c r="BHP53" s="13"/>
      <c r="BHQ53" s="13"/>
      <c r="BHR53" s="13"/>
      <c r="BHS53" s="13"/>
      <c r="BHT53" s="13"/>
      <c r="BHU53" s="13"/>
      <c r="BHV53" s="13"/>
      <c r="BHW53" s="13"/>
      <c r="BHX53" s="13"/>
      <c r="BHY53" s="13"/>
      <c r="BHZ53" s="13"/>
      <c r="BIA53" s="13"/>
      <c r="BIB53" s="13"/>
      <c r="BIC53" s="13"/>
      <c r="BID53" s="13"/>
      <c r="BIE53" s="13"/>
      <c r="BIF53" s="13"/>
      <c r="BIG53" s="13"/>
      <c r="BIH53" s="13"/>
      <c r="BII53" s="13"/>
      <c r="BIJ53" s="13"/>
      <c r="BIK53" s="13"/>
      <c r="BIL53" s="13"/>
      <c r="BIM53" s="13"/>
      <c r="BIN53" s="13"/>
      <c r="BIO53" s="13"/>
      <c r="BIP53" s="13"/>
      <c r="BIQ53" s="13"/>
      <c r="BIR53" s="13"/>
      <c r="BIS53" s="13"/>
      <c r="BIT53" s="13"/>
      <c r="BIU53" s="13"/>
      <c r="BIV53" s="13"/>
      <c r="BIW53" s="13"/>
      <c r="BIX53" s="13"/>
      <c r="BIY53" s="13"/>
      <c r="BIZ53" s="13"/>
      <c r="BJA53" s="13"/>
      <c r="BJB53" s="13"/>
      <c r="BJC53" s="13"/>
      <c r="BJD53" s="13"/>
      <c r="BJE53" s="13"/>
      <c r="BJF53" s="13"/>
      <c r="BJG53" s="13"/>
      <c r="BJH53" s="13"/>
      <c r="BJI53" s="13"/>
      <c r="BJJ53" s="13"/>
      <c r="BJK53" s="13"/>
      <c r="BJL53" s="13"/>
      <c r="BJM53" s="13"/>
      <c r="BJN53" s="13"/>
      <c r="BJO53" s="13"/>
      <c r="BJP53" s="13"/>
      <c r="BJQ53" s="13"/>
      <c r="BJR53" s="13"/>
      <c r="BJS53" s="13"/>
      <c r="BJT53" s="13"/>
      <c r="BJU53" s="13"/>
      <c r="BJV53" s="13"/>
      <c r="BJW53" s="13"/>
      <c r="BJX53" s="13"/>
      <c r="BJY53" s="13"/>
      <c r="BJZ53" s="13"/>
      <c r="BKA53" s="13"/>
      <c r="BKB53" s="13"/>
      <c r="BKC53" s="13"/>
      <c r="BKD53" s="13"/>
      <c r="BKE53" s="13"/>
      <c r="BKF53" s="13"/>
      <c r="BKG53" s="13"/>
      <c r="BKH53" s="13"/>
      <c r="BKI53" s="13"/>
      <c r="BKJ53" s="13"/>
      <c r="BKK53" s="13"/>
      <c r="BKL53" s="13"/>
      <c r="BKM53" s="13"/>
      <c r="BKN53" s="13"/>
      <c r="BKO53" s="13"/>
      <c r="BKP53" s="13"/>
      <c r="BKQ53" s="13"/>
      <c r="BKR53" s="13"/>
      <c r="BKS53" s="13"/>
      <c r="BKT53" s="13"/>
      <c r="BKU53" s="13"/>
      <c r="BKV53" s="13"/>
      <c r="BKW53" s="13"/>
      <c r="BKX53" s="13"/>
      <c r="BKY53" s="13"/>
      <c r="BKZ53" s="13"/>
      <c r="BLA53" s="13"/>
      <c r="BLB53" s="13"/>
      <c r="BLC53" s="13"/>
      <c r="BLD53" s="13"/>
      <c r="BLE53" s="13"/>
      <c r="BLF53" s="13"/>
      <c r="BLG53" s="13"/>
      <c r="BLH53" s="13"/>
      <c r="BLI53" s="13"/>
      <c r="BLJ53" s="13"/>
      <c r="BLK53" s="13"/>
      <c r="BLL53" s="13"/>
      <c r="BLM53" s="13"/>
      <c r="BLN53" s="13"/>
      <c r="BLO53" s="13"/>
      <c r="BLP53" s="13"/>
      <c r="BLQ53" s="13"/>
      <c r="BLR53" s="13"/>
      <c r="BLS53" s="13"/>
      <c r="BLT53" s="13"/>
      <c r="BLU53" s="13"/>
      <c r="BLV53" s="13"/>
      <c r="BLW53" s="13"/>
      <c r="BLX53" s="13"/>
      <c r="BLY53" s="13"/>
      <c r="BLZ53" s="13"/>
      <c r="BMA53" s="13"/>
      <c r="BMB53" s="13"/>
      <c r="BMC53" s="13"/>
      <c r="BMD53" s="13"/>
      <c r="BME53" s="13"/>
      <c r="BMF53" s="13"/>
      <c r="BMG53" s="13"/>
      <c r="BMH53" s="13"/>
      <c r="BMI53" s="13"/>
      <c r="BMJ53" s="13"/>
      <c r="BMK53" s="13"/>
      <c r="BML53" s="13"/>
      <c r="BMM53" s="13"/>
      <c r="BMN53" s="13"/>
      <c r="BMO53" s="13"/>
      <c r="BMP53" s="13"/>
      <c r="BMQ53" s="13"/>
      <c r="BMR53" s="13"/>
      <c r="BMS53" s="13"/>
      <c r="BMT53" s="13"/>
      <c r="BMU53" s="13"/>
      <c r="BMV53" s="13"/>
      <c r="BMW53" s="13"/>
      <c r="BMX53" s="13"/>
      <c r="BMY53" s="13"/>
      <c r="BMZ53" s="13"/>
      <c r="BNA53" s="13"/>
      <c r="BNB53" s="13"/>
      <c r="BNC53" s="13"/>
      <c r="BND53" s="13"/>
      <c r="BNE53" s="13"/>
      <c r="BNF53" s="13"/>
      <c r="BNG53" s="13"/>
      <c r="BNH53" s="13"/>
      <c r="BNI53" s="13"/>
      <c r="BNJ53" s="13"/>
      <c r="BNK53" s="13"/>
      <c r="BNL53" s="13"/>
      <c r="BNM53" s="13"/>
      <c r="BNN53" s="13"/>
      <c r="BNO53" s="13"/>
      <c r="BNP53" s="13"/>
      <c r="BNQ53" s="13"/>
      <c r="BNR53" s="13"/>
      <c r="BNS53" s="13"/>
      <c r="BNT53" s="13"/>
      <c r="BNU53" s="13"/>
      <c r="BNV53" s="13"/>
      <c r="BNW53" s="13"/>
      <c r="BNX53" s="13"/>
      <c r="BNY53" s="13"/>
      <c r="BNZ53" s="13"/>
      <c r="BOA53" s="13"/>
      <c r="BOB53" s="13"/>
      <c r="BOC53" s="13"/>
      <c r="BOD53" s="13"/>
      <c r="BOE53" s="13"/>
      <c r="BOF53" s="13"/>
      <c r="BOG53" s="13"/>
      <c r="BOH53" s="13"/>
      <c r="BOI53" s="13"/>
      <c r="BOJ53" s="13"/>
      <c r="BOK53" s="13"/>
      <c r="BOL53" s="13"/>
      <c r="BOM53" s="13"/>
      <c r="BON53" s="13"/>
      <c r="BOO53" s="13"/>
      <c r="BOP53" s="13"/>
      <c r="BOQ53" s="13"/>
      <c r="BOR53" s="13"/>
      <c r="BOS53" s="13"/>
      <c r="BOT53" s="13"/>
      <c r="BOU53" s="13"/>
      <c r="BOV53" s="13"/>
      <c r="BOW53" s="13"/>
      <c r="BOX53" s="13"/>
      <c r="BOY53" s="13"/>
      <c r="BOZ53" s="13"/>
      <c r="BPA53" s="13"/>
      <c r="BPB53" s="13"/>
      <c r="BPC53" s="13"/>
      <c r="BPD53" s="13"/>
      <c r="BPE53" s="13"/>
      <c r="BPF53" s="13"/>
      <c r="BPG53" s="13"/>
      <c r="BPH53" s="13"/>
      <c r="BPI53" s="13"/>
      <c r="BPJ53" s="13"/>
      <c r="BPK53" s="13"/>
      <c r="BPL53" s="13"/>
      <c r="BPM53" s="13"/>
      <c r="BPN53" s="13"/>
      <c r="BPO53" s="13"/>
      <c r="BPP53" s="13"/>
      <c r="BPQ53" s="13"/>
      <c r="BPR53" s="13"/>
      <c r="BPS53" s="13"/>
      <c r="BPT53" s="13"/>
      <c r="BPU53" s="13"/>
      <c r="BPV53" s="13"/>
      <c r="BPW53" s="13"/>
      <c r="BPX53" s="13"/>
      <c r="BPY53" s="13"/>
      <c r="BPZ53" s="13"/>
      <c r="BQA53" s="13"/>
      <c r="BQB53" s="13"/>
      <c r="BQC53" s="13"/>
      <c r="BQD53" s="13"/>
      <c r="BQE53" s="13"/>
      <c r="BQF53" s="13"/>
      <c r="BQG53" s="13"/>
      <c r="BQH53" s="13"/>
      <c r="BQI53" s="13"/>
      <c r="BQJ53" s="13"/>
      <c r="BQK53" s="13"/>
      <c r="BQL53" s="13"/>
      <c r="BQM53" s="13"/>
      <c r="BQN53" s="13"/>
      <c r="BQO53" s="13"/>
      <c r="BQP53" s="13"/>
      <c r="BQQ53" s="13"/>
      <c r="BQR53" s="13"/>
      <c r="BQS53" s="13"/>
      <c r="BQT53" s="13"/>
      <c r="BQU53" s="13"/>
      <c r="BQV53" s="13"/>
      <c r="BQW53" s="13"/>
      <c r="BQX53" s="13"/>
      <c r="BQY53" s="13"/>
      <c r="BQZ53" s="13"/>
      <c r="BRA53" s="13"/>
      <c r="BRB53" s="13"/>
      <c r="BRC53" s="13"/>
      <c r="BRD53" s="13"/>
      <c r="BRE53" s="13"/>
      <c r="BRF53" s="13"/>
      <c r="BRG53" s="13"/>
      <c r="BRH53" s="13"/>
      <c r="BRI53" s="13"/>
      <c r="BRJ53" s="13"/>
      <c r="BRK53" s="13"/>
      <c r="BRL53" s="13"/>
      <c r="BRM53" s="13"/>
      <c r="BRN53" s="13"/>
      <c r="BRO53" s="13"/>
      <c r="BRP53" s="13"/>
      <c r="BRQ53" s="13"/>
      <c r="BRR53" s="13"/>
      <c r="BRS53" s="13"/>
      <c r="BRT53" s="13"/>
      <c r="BRU53" s="13"/>
      <c r="BRV53" s="13"/>
      <c r="BRW53" s="13"/>
      <c r="BRX53" s="13"/>
      <c r="BRY53" s="13"/>
      <c r="BRZ53" s="13"/>
      <c r="BSA53" s="13"/>
      <c r="BSB53" s="13"/>
      <c r="BSC53" s="13"/>
      <c r="BSD53" s="13"/>
      <c r="BSE53" s="13"/>
      <c r="BSF53" s="13"/>
      <c r="BSG53" s="13"/>
      <c r="BSH53" s="13"/>
      <c r="BSI53" s="13"/>
      <c r="BSJ53" s="13"/>
      <c r="BSK53" s="13"/>
      <c r="BSL53" s="13"/>
      <c r="BSM53" s="13"/>
      <c r="BSN53" s="13"/>
      <c r="BSO53" s="13"/>
      <c r="BSP53" s="13"/>
      <c r="BSQ53" s="13"/>
      <c r="BSR53" s="13"/>
      <c r="BSS53" s="13"/>
      <c r="BST53" s="13"/>
      <c r="BSU53" s="13"/>
      <c r="BSV53" s="13"/>
      <c r="BSW53" s="13"/>
      <c r="BSX53" s="13"/>
      <c r="BSY53" s="13"/>
      <c r="BSZ53" s="13"/>
      <c r="BTA53" s="13"/>
      <c r="BTB53" s="13"/>
      <c r="BTC53" s="13"/>
      <c r="BTD53" s="13"/>
      <c r="BTE53" s="13"/>
      <c r="BTF53" s="13"/>
      <c r="BTG53" s="13"/>
      <c r="BTH53" s="13"/>
      <c r="BTI53" s="13"/>
      <c r="BTJ53" s="13"/>
      <c r="BTK53" s="13"/>
      <c r="BTL53" s="13"/>
      <c r="BTM53" s="13"/>
      <c r="BTN53" s="13"/>
      <c r="BTO53" s="13"/>
      <c r="BTP53" s="13"/>
      <c r="BTQ53" s="13"/>
      <c r="BTR53" s="13"/>
      <c r="BTS53" s="13"/>
      <c r="BTT53" s="13"/>
      <c r="BTU53" s="13"/>
      <c r="BTV53" s="13"/>
      <c r="BTW53" s="13"/>
      <c r="BTX53" s="13"/>
      <c r="BTY53" s="13"/>
      <c r="BTZ53" s="13"/>
      <c r="BUA53" s="13"/>
      <c r="BUB53" s="13"/>
      <c r="BUC53" s="13"/>
      <c r="BUD53" s="13"/>
      <c r="BUE53" s="13"/>
      <c r="BUF53" s="13"/>
      <c r="BUG53" s="13"/>
      <c r="BUH53" s="13"/>
      <c r="BUI53" s="13"/>
      <c r="BUJ53" s="13"/>
      <c r="BUK53" s="13"/>
      <c r="BUL53" s="13"/>
      <c r="BUM53" s="13"/>
      <c r="BUN53" s="13"/>
      <c r="BUO53" s="13"/>
      <c r="BUP53" s="13"/>
      <c r="BUQ53" s="13"/>
      <c r="BUR53" s="13"/>
      <c r="BUS53" s="13"/>
      <c r="BUT53" s="13"/>
      <c r="BUU53" s="13"/>
      <c r="BUV53" s="13"/>
      <c r="BUW53" s="13"/>
      <c r="BUX53" s="13"/>
      <c r="BUY53" s="13"/>
      <c r="BUZ53" s="13"/>
      <c r="BVA53" s="13"/>
      <c r="BVB53" s="13"/>
      <c r="BVC53" s="13"/>
      <c r="BVD53" s="13"/>
      <c r="BVE53" s="13"/>
      <c r="BVF53" s="13"/>
      <c r="BVG53" s="13"/>
      <c r="BVH53" s="13"/>
      <c r="BVI53" s="13"/>
      <c r="BVJ53" s="13"/>
      <c r="BVK53" s="13"/>
      <c r="BVL53" s="13"/>
      <c r="BVM53" s="13"/>
      <c r="BVN53" s="13"/>
      <c r="BVO53" s="13"/>
      <c r="BVP53" s="13"/>
      <c r="BVQ53" s="13"/>
      <c r="BVR53" s="13"/>
      <c r="BVS53" s="13"/>
      <c r="BVT53" s="13"/>
      <c r="BVU53" s="13"/>
      <c r="BVV53" s="13"/>
      <c r="BVW53" s="13"/>
      <c r="BVX53" s="13"/>
      <c r="BVY53" s="13"/>
      <c r="BVZ53" s="13"/>
      <c r="BWA53" s="13"/>
      <c r="BWB53" s="13"/>
      <c r="BWC53" s="13"/>
      <c r="BWD53" s="13"/>
      <c r="BWE53" s="13"/>
      <c r="BWF53" s="13"/>
      <c r="BWG53" s="13"/>
      <c r="BWH53" s="13"/>
      <c r="BWI53" s="13"/>
      <c r="BWJ53" s="13"/>
      <c r="BWK53" s="13"/>
      <c r="BWL53" s="13"/>
      <c r="BWM53" s="13"/>
      <c r="BWN53" s="13"/>
      <c r="BWO53" s="13"/>
      <c r="BWP53" s="13"/>
      <c r="BWQ53" s="13"/>
      <c r="BWR53" s="13"/>
      <c r="BWS53" s="13"/>
      <c r="BWT53" s="13"/>
      <c r="BWU53" s="13"/>
      <c r="BWV53" s="13"/>
      <c r="BWW53" s="13"/>
      <c r="BWX53" s="13"/>
      <c r="BWY53" s="13"/>
      <c r="BWZ53" s="13"/>
      <c r="BXA53" s="13"/>
      <c r="BXB53" s="13"/>
      <c r="BXC53" s="13"/>
      <c r="BXD53" s="13"/>
      <c r="BXE53" s="13"/>
      <c r="BXF53" s="13"/>
      <c r="BXG53" s="13"/>
      <c r="BXH53" s="13"/>
      <c r="BXI53" s="13"/>
      <c r="BXJ53" s="13"/>
      <c r="BXK53" s="13"/>
      <c r="BXL53" s="13"/>
      <c r="BXM53" s="13"/>
      <c r="BXN53" s="13"/>
      <c r="BXO53" s="13"/>
      <c r="BXP53" s="13"/>
      <c r="BXQ53" s="13"/>
      <c r="BXR53" s="13"/>
      <c r="BXS53" s="13"/>
      <c r="BXT53" s="13"/>
      <c r="BXU53" s="13"/>
      <c r="BXV53" s="13"/>
      <c r="BXW53" s="13"/>
      <c r="BXX53" s="13"/>
      <c r="BXY53" s="13"/>
      <c r="BXZ53" s="13"/>
      <c r="BYA53" s="13"/>
      <c r="BYB53" s="13"/>
      <c r="BYC53" s="13"/>
      <c r="BYD53" s="13"/>
      <c r="BYE53" s="13"/>
      <c r="BYF53" s="13"/>
      <c r="BYG53" s="13"/>
      <c r="BYH53" s="13"/>
      <c r="BYI53" s="13"/>
      <c r="BYJ53" s="13"/>
      <c r="BYK53" s="13"/>
      <c r="BYL53" s="13"/>
      <c r="BYM53" s="13"/>
      <c r="BYN53" s="13"/>
      <c r="BYO53" s="13"/>
      <c r="BYP53" s="13"/>
      <c r="BYQ53" s="13"/>
      <c r="BYR53" s="13"/>
      <c r="BYS53" s="13"/>
      <c r="BYT53" s="13"/>
      <c r="BYU53" s="13"/>
      <c r="BYV53" s="13"/>
      <c r="BYW53" s="13"/>
      <c r="BYX53" s="13"/>
      <c r="BYY53" s="13"/>
      <c r="BYZ53" s="13"/>
      <c r="BZA53" s="13"/>
      <c r="BZB53" s="13"/>
      <c r="BZC53" s="13"/>
      <c r="BZD53" s="13"/>
      <c r="BZE53" s="13"/>
      <c r="BZF53" s="13"/>
      <c r="BZG53" s="13"/>
      <c r="BZH53" s="13"/>
      <c r="BZI53" s="13"/>
      <c r="BZJ53" s="13"/>
      <c r="BZK53" s="13"/>
      <c r="BZL53" s="13"/>
      <c r="BZM53" s="13"/>
      <c r="BZN53" s="13"/>
      <c r="BZO53" s="13"/>
      <c r="BZP53" s="13"/>
      <c r="BZQ53" s="13"/>
      <c r="BZR53" s="13"/>
      <c r="BZS53" s="13"/>
      <c r="BZT53" s="13"/>
      <c r="BZU53" s="13"/>
      <c r="BZV53" s="13"/>
      <c r="BZW53" s="13"/>
      <c r="BZX53" s="13"/>
      <c r="BZY53" s="13"/>
      <c r="BZZ53" s="13"/>
      <c r="CAA53" s="13"/>
      <c r="CAB53" s="13"/>
      <c r="CAC53" s="13"/>
      <c r="CAD53" s="13"/>
      <c r="CAE53" s="13"/>
      <c r="CAF53" s="13"/>
      <c r="CAG53" s="13"/>
      <c r="CAH53" s="13"/>
      <c r="CAI53" s="13"/>
      <c r="CAJ53" s="13"/>
      <c r="CAK53" s="13"/>
      <c r="CAL53" s="13"/>
      <c r="CAM53" s="13"/>
      <c r="CAN53" s="13"/>
      <c r="CAO53" s="13"/>
      <c r="CAP53" s="13"/>
      <c r="CAQ53" s="13"/>
      <c r="CAR53" s="13"/>
      <c r="CAS53" s="13"/>
      <c r="CAT53" s="13"/>
      <c r="CAU53" s="13"/>
      <c r="CAV53" s="13"/>
      <c r="CAW53" s="13"/>
      <c r="CAX53" s="13"/>
      <c r="CAY53" s="13"/>
      <c r="CAZ53" s="13"/>
      <c r="CBA53" s="13"/>
      <c r="CBB53" s="13"/>
      <c r="CBC53" s="13"/>
      <c r="CBD53" s="13"/>
      <c r="CBE53" s="13"/>
      <c r="CBF53" s="13"/>
      <c r="CBG53" s="13"/>
      <c r="CBH53" s="13"/>
      <c r="CBI53" s="13"/>
      <c r="CBJ53" s="13"/>
      <c r="CBK53" s="13"/>
      <c r="CBL53" s="13"/>
      <c r="CBM53" s="13"/>
      <c r="CBN53" s="13"/>
      <c r="CBO53" s="13"/>
      <c r="CBP53" s="13"/>
      <c r="CBQ53" s="13"/>
      <c r="CBR53" s="13"/>
      <c r="CBS53" s="13"/>
      <c r="CBT53" s="13"/>
      <c r="CBU53" s="13"/>
      <c r="CBV53" s="13"/>
      <c r="CBW53" s="13"/>
      <c r="CBX53" s="13"/>
      <c r="CBY53" s="13"/>
      <c r="CBZ53" s="13"/>
      <c r="CCA53" s="13"/>
      <c r="CCB53" s="13"/>
      <c r="CCC53" s="13"/>
      <c r="CCD53" s="13"/>
      <c r="CCE53" s="13"/>
      <c r="CCF53" s="13"/>
      <c r="CCG53" s="13"/>
      <c r="CCH53" s="13"/>
      <c r="CCI53" s="13"/>
      <c r="CCJ53" s="13"/>
      <c r="CCK53" s="13"/>
      <c r="CCL53" s="13"/>
      <c r="CCM53" s="13"/>
      <c r="CCN53" s="13"/>
      <c r="CCO53" s="13"/>
      <c r="CCP53" s="13"/>
      <c r="CCQ53" s="13"/>
      <c r="CCR53" s="13"/>
      <c r="CCS53" s="13"/>
      <c r="CCT53" s="13"/>
      <c r="CCU53" s="13"/>
      <c r="CCV53" s="13"/>
      <c r="CCW53" s="13"/>
      <c r="CCX53" s="13"/>
      <c r="CCY53" s="13"/>
      <c r="CCZ53" s="13"/>
      <c r="CDA53" s="13"/>
      <c r="CDB53" s="13"/>
      <c r="CDC53" s="13"/>
      <c r="CDD53" s="13"/>
      <c r="CDE53" s="13"/>
      <c r="CDF53" s="13"/>
      <c r="CDG53" s="13"/>
      <c r="CDH53" s="13"/>
      <c r="CDI53" s="13"/>
      <c r="CDJ53" s="13"/>
      <c r="CDK53" s="13"/>
      <c r="CDL53" s="13"/>
      <c r="CDM53" s="13"/>
      <c r="CDN53" s="13"/>
      <c r="CDO53" s="13"/>
      <c r="CDP53" s="13"/>
      <c r="CDQ53" s="13"/>
      <c r="CDR53" s="13"/>
      <c r="CDS53" s="13"/>
      <c r="CDT53" s="13"/>
      <c r="CDU53" s="13"/>
      <c r="CDV53" s="13"/>
      <c r="CDW53" s="13"/>
      <c r="CDX53" s="13"/>
      <c r="CDY53" s="13"/>
      <c r="CDZ53" s="13"/>
      <c r="CEA53" s="13"/>
      <c r="CEB53" s="13"/>
      <c r="CEC53" s="13"/>
      <c r="CED53" s="13"/>
      <c r="CEE53" s="13"/>
      <c r="CEF53" s="13"/>
      <c r="CEG53" s="13"/>
      <c r="CEH53" s="13"/>
      <c r="CEI53" s="13"/>
      <c r="CEJ53" s="13"/>
      <c r="CEK53" s="13"/>
      <c r="CEL53" s="13"/>
      <c r="CEM53" s="13"/>
      <c r="CEN53" s="13"/>
      <c r="CEO53" s="13"/>
      <c r="CEP53" s="13"/>
      <c r="CEQ53" s="13"/>
      <c r="CER53" s="13"/>
      <c r="CES53" s="13"/>
      <c r="CET53" s="13"/>
      <c r="CEU53" s="13"/>
      <c r="CEV53" s="13"/>
      <c r="CEW53" s="13"/>
      <c r="CEX53" s="13"/>
      <c r="CEY53" s="13"/>
      <c r="CEZ53" s="13"/>
      <c r="CFA53" s="13"/>
      <c r="CFB53" s="13"/>
      <c r="CFC53" s="13"/>
      <c r="CFD53" s="13"/>
      <c r="CFE53" s="13"/>
      <c r="CFF53" s="13"/>
      <c r="CFG53" s="13"/>
      <c r="CFH53" s="13"/>
      <c r="CFI53" s="13"/>
      <c r="CFJ53" s="13"/>
      <c r="CFK53" s="13"/>
      <c r="CFL53" s="13"/>
      <c r="CFM53" s="13"/>
      <c r="CFN53" s="13"/>
      <c r="CFO53" s="13"/>
      <c r="CFP53" s="13"/>
      <c r="CFQ53" s="13"/>
      <c r="CFR53" s="13"/>
      <c r="CFS53" s="13"/>
      <c r="CFT53" s="13"/>
      <c r="CFU53" s="13"/>
      <c r="CFV53" s="13"/>
      <c r="CFW53" s="13"/>
      <c r="CFX53" s="13"/>
      <c r="CFY53" s="13"/>
      <c r="CFZ53" s="13"/>
      <c r="CGA53" s="13"/>
      <c r="CGB53" s="13"/>
      <c r="CGC53" s="13"/>
      <c r="CGD53" s="13"/>
      <c r="CGE53" s="13"/>
      <c r="CGF53" s="13"/>
      <c r="CGG53" s="13"/>
      <c r="CGH53" s="13"/>
      <c r="CGI53" s="13"/>
      <c r="CGJ53" s="13"/>
      <c r="CGK53" s="13"/>
      <c r="CGL53" s="13"/>
      <c r="CGM53" s="13"/>
      <c r="CGN53" s="13"/>
      <c r="CGO53" s="13"/>
      <c r="CGP53" s="13"/>
      <c r="CGQ53" s="13"/>
      <c r="CGR53" s="13"/>
      <c r="CGS53" s="13"/>
      <c r="CGT53" s="13"/>
      <c r="CGU53" s="13"/>
      <c r="CGV53" s="13"/>
      <c r="CGW53" s="13"/>
      <c r="CGX53" s="13"/>
      <c r="CGY53" s="13"/>
      <c r="CGZ53" s="13"/>
      <c r="CHA53" s="13"/>
      <c r="CHB53" s="13"/>
      <c r="CHC53" s="13"/>
      <c r="CHD53" s="13"/>
      <c r="CHE53" s="13"/>
      <c r="CHF53" s="13"/>
      <c r="CHG53" s="13"/>
      <c r="CHH53" s="13"/>
      <c r="CHI53" s="13"/>
      <c r="CHJ53" s="13"/>
      <c r="CHK53" s="13"/>
      <c r="CHL53" s="13"/>
      <c r="CHM53" s="13"/>
      <c r="CHN53" s="13"/>
      <c r="CHO53" s="13"/>
      <c r="CHP53" s="13"/>
      <c r="CHQ53" s="13"/>
      <c r="CHR53" s="13"/>
      <c r="CHS53" s="13"/>
      <c r="CHT53" s="13"/>
      <c r="CHU53" s="13"/>
      <c r="CHV53" s="13"/>
      <c r="CHW53" s="13"/>
      <c r="CHX53" s="13"/>
      <c r="CHY53" s="13"/>
      <c r="CHZ53" s="13"/>
      <c r="CIA53" s="13"/>
      <c r="CIB53" s="13"/>
      <c r="CIC53" s="13"/>
      <c r="CID53" s="13"/>
      <c r="CIE53" s="13"/>
      <c r="CIF53" s="13"/>
      <c r="CIG53" s="13"/>
      <c r="CIH53" s="13"/>
      <c r="CII53" s="13"/>
      <c r="CIJ53" s="13"/>
      <c r="CIK53" s="13"/>
      <c r="CIL53" s="13"/>
      <c r="CIM53" s="13"/>
      <c r="CIN53" s="13"/>
      <c r="CIO53" s="13"/>
      <c r="CIP53" s="13"/>
      <c r="CIQ53" s="13"/>
      <c r="CIR53" s="13"/>
      <c r="CIS53" s="13"/>
      <c r="CIT53" s="13"/>
      <c r="CIU53" s="13"/>
      <c r="CIV53" s="13"/>
      <c r="CIW53" s="13"/>
      <c r="CIX53" s="13"/>
      <c r="CIY53" s="13"/>
      <c r="CIZ53" s="13"/>
      <c r="CJA53" s="13"/>
      <c r="CJB53" s="13"/>
      <c r="CJC53" s="13"/>
      <c r="CJD53" s="13"/>
      <c r="CJE53" s="13"/>
      <c r="CJF53" s="13"/>
      <c r="CJG53" s="13"/>
      <c r="CJH53" s="13"/>
      <c r="CJI53" s="13"/>
      <c r="CJJ53" s="13"/>
      <c r="CJK53" s="13"/>
      <c r="CJL53" s="13"/>
      <c r="CJM53" s="13"/>
      <c r="CJN53" s="13"/>
      <c r="CJO53" s="13"/>
      <c r="CJP53" s="13"/>
      <c r="CJQ53" s="13"/>
      <c r="CJR53" s="13"/>
      <c r="CJS53" s="13"/>
      <c r="CJT53" s="13"/>
      <c r="CJU53" s="13"/>
      <c r="CJV53" s="13"/>
      <c r="CJW53" s="13"/>
      <c r="CJX53" s="13"/>
      <c r="CJY53" s="13"/>
      <c r="CJZ53" s="13"/>
      <c r="CKA53" s="13"/>
      <c r="CKB53" s="13"/>
      <c r="CKC53" s="13"/>
      <c r="CKD53" s="13"/>
      <c r="CKE53" s="13"/>
      <c r="CKF53" s="13"/>
      <c r="CKG53" s="13"/>
      <c r="CKH53" s="13"/>
      <c r="CKI53" s="13"/>
      <c r="CKJ53" s="13"/>
      <c r="CKK53" s="13"/>
      <c r="CKL53" s="13"/>
      <c r="CKM53" s="13"/>
      <c r="CKN53" s="13"/>
      <c r="CKO53" s="13"/>
      <c r="CKP53" s="13"/>
      <c r="CKQ53" s="13"/>
      <c r="CKR53" s="13"/>
      <c r="CKS53" s="13"/>
      <c r="CKT53" s="13"/>
      <c r="CKU53" s="13"/>
      <c r="CKV53" s="13"/>
      <c r="CKW53" s="13"/>
      <c r="CKX53" s="13"/>
      <c r="CKY53" s="13"/>
      <c r="CKZ53" s="13"/>
      <c r="CLA53" s="13"/>
      <c r="CLB53" s="13"/>
      <c r="CLC53" s="13"/>
      <c r="CLD53" s="13"/>
      <c r="CLE53" s="13"/>
      <c r="CLF53" s="13"/>
      <c r="CLG53" s="13"/>
      <c r="CLH53" s="13"/>
      <c r="CLI53" s="13"/>
      <c r="CLJ53" s="13"/>
      <c r="CLK53" s="13"/>
      <c r="CLL53" s="13"/>
      <c r="CLM53" s="13"/>
      <c r="CLN53" s="13"/>
      <c r="CLO53" s="13"/>
      <c r="CLP53" s="13"/>
      <c r="CLQ53" s="13"/>
      <c r="CLR53" s="13"/>
      <c r="CLS53" s="13"/>
      <c r="CLT53" s="13"/>
      <c r="CLU53" s="13"/>
      <c r="CLV53" s="13"/>
      <c r="CLW53" s="13"/>
      <c r="CLX53" s="13"/>
      <c r="CLY53" s="13"/>
      <c r="CLZ53" s="13"/>
      <c r="CMA53" s="13"/>
      <c r="CMB53" s="13"/>
      <c r="CMC53" s="13"/>
      <c r="CMD53" s="13"/>
      <c r="CME53" s="13"/>
      <c r="CMF53" s="13"/>
      <c r="CMG53" s="13"/>
      <c r="CMH53" s="13"/>
      <c r="CMI53" s="13"/>
      <c r="CMJ53" s="13"/>
      <c r="CMK53" s="13"/>
      <c r="CML53" s="13"/>
      <c r="CMM53" s="13"/>
      <c r="CMN53" s="13"/>
      <c r="CMO53" s="13"/>
      <c r="CMP53" s="13"/>
      <c r="CMQ53" s="13"/>
      <c r="CMR53" s="13"/>
      <c r="CMS53" s="13"/>
      <c r="CMT53" s="13"/>
      <c r="CMU53" s="13"/>
      <c r="CMV53" s="13"/>
      <c r="CMW53" s="13"/>
      <c r="CMX53" s="13"/>
      <c r="CMY53" s="13"/>
      <c r="CMZ53" s="13"/>
      <c r="CNA53" s="13"/>
      <c r="CNB53" s="13"/>
      <c r="CNC53" s="13"/>
      <c r="CND53" s="13"/>
      <c r="CNE53" s="13"/>
      <c r="CNF53" s="13"/>
      <c r="CNG53" s="13"/>
      <c r="CNH53" s="13"/>
      <c r="CNI53" s="13"/>
      <c r="CNJ53" s="13"/>
      <c r="CNK53" s="13"/>
      <c r="CNL53" s="13"/>
      <c r="CNM53" s="13"/>
      <c r="CNN53" s="13"/>
      <c r="CNO53" s="13"/>
      <c r="CNP53" s="13"/>
      <c r="CNQ53" s="13"/>
      <c r="CNR53" s="13"/>
      <c r="CNS53" s="13"/>
      <c r="CNT53" s="13"/>
      <c r="CNU53" s="13"/>
      <c r="CNV53" s="13"/>
      <c r="CNW53" s="13"/>
      <c r="CNX53" s="13"/>
      <c r="CNY53" s="13"/>
      <c r="CNZ53" s="13"/>
      <c r="COA53" s="13"/>
      <c r="COB53" s="13"/>
      <c r="COC53" s="13"/>
      <c r="COD53" s="13"/>
      <c r="COE53" s="13"/>
      <c r="COF53" s="13"/>
      <c r="COG53" s="13"/>
      <c r="COH53" s="13"/>
      <c r="COI53" s="13"/>
      <c r="COJ53" s="13"/>
      <c r="COK53" s="13"/>
      <c r="COL53" s="13"/>
      <c r="COM53" s="13"/>
      <c r="CON53" s="13"/>
      <c r="COO53" s="13"/>
      <c r="COP53" s="13"/>
      <c r="COQ53" s="13"/>
      <c r="COR53" s="13"/>
      <c r="COS53" s="13"/>
      <c r="COT53" s="13"/>
      <c r="COU53" s="13"/>
      <c r="COV53" s="13"/>
      <c r="COW53" s="13"/>
      <c r="COX53" s="13"/>
      <c r="COY53" s="13"/>
      <c r="COZ53" s="13"/>
      <c r="CPA53" s="13"/>
      <c r="CPB53" s="13"/>
      <c r="CPC53" s="13"/>
      <c r="CPD53" s="13"/>
      <c r="CPE53" s="13"/>
      <c r="CPF53" s="13"/>
      <c r="CPG53" s="13"/>
      <c r="CPH53" s="13"/>
      <c r="CPI53" s="13"/>
      <c r="CPJ53" s="13"/>
      <c r="CPK53" s="13"/>
      <c r="CPL53" s="13"/>
      <c r="CPM53" s="13"/>
      <c r="CPN53" s="13"/>
      <c r="CPO53" s="13"/>
      <c r="CPP53" s="13"/>
      <c r="CPQ53" s="13"/>
      <c r="CPR53" s="13"/>
      <c r="CPS53" s="13"/>
      <c r="CPT53" s="13"/>
      <c r="CPU53" s="13"/>
      <c r="CPV53" s="13"/>
      <c r="CPW53" s="13"/>
      <c r="CPX53" s="13"/>
      <c r="CPY53" s="13"/>
      <c r="CPZ53" s="13"/>
      <c r="CQA53" s="13"/>
      <c r="CQB53" s="13"/>
      <c r="CQC53" s="13"/>
      <c r="CQD53" s="13"/>
      <c r="CQE53" s="13"/>
      <c r="CQF53" s="13"/>
      <c r="CQG53" s="13"/>
      <c r="CQH53" s="13"/>
      <c r="CQI53" s="13"/>
      <c r="CQJ53" s="13"/>
      <c r="CQK53" s="13"/>
      <c r="CQL53" s="13"/>
      <c r="CQM53" s="13"/>
      <c r="CQN53" s="13"/>
      <c r="CQO53" s="13"/>
      <c r="CQP53" s="13"/>
      <c r="CQQ53" s="13"/>
      <c r="CQR53" s="13"/>
      <c r="CQS53" s="13"/>
      <c r="CQT53" s="13"/>
      <c r="CQU53" s="13"/>
      <c r="CQV53" s="13"/>
      <c r="CQW53" s="13"/>
      <c r="CQX53" s="13"/>
      <c r="CQY53" s="13"/>
      <c r="CQZ53" s="13"/>
      <c r="CRA53" s="13"/>
      <c r="CRB53" s="13"/>
      <c r="CRC53" s="13"/>
      <c r="CRD53" s="13"/>
      <c r="CRE53" s="13"/>
      <c r="CRF53" s="13"/>
      <c r="CRG53" s="13"/>
      <c r="CRH53" s="13"/>
      <c r="CRI53" s="13"/>
      <c r="CRJ53" s="13"/>
      <c r="CRK53" s="13"/>
      <c r="CRL53" s="13"/>
      <c r="CRM53" s="13"/>
      <c r="CRN53" s="13"/>
      <c r="CRO53" s="13"/>
      <c r="CRP53" s="13"/>
      <c r="CRQ53" s="13"/>
      <c r="CRR53" s="13"/>
      <c r="CRS53" s="13"/>
      <c r="CRT53" s="13"/>
      <c r="CRU53" s="13"/>
      <c r="CRV53" s="13"/>
      <c r="CRW53" s="13"/>
      <c r="CRX53" s="13"/>
      <c r="CRY53" s="13"/>
      <c r="CRZ53" s="13"/>
      <c r="CSA53" s="13"/>
      <c r="CSB53" s="13"/>
      <c r="CSC53" s="13"/>
      <c r="CSD53" s="13"/>
      <c r="CSE53" s="13"/>
      <c r="CSF53" s="13"/>
      <c r="CSG53" s="13"/>
      <c r="CSH53" s="13"/>
      <c r="CSI53" s="13"/>
      <c r="CSJ53" s="13"/>
      <c r="CSK53" s="13"/>
      <c r="CSL53" s="13"/>
      <c r="CSM53" s="13"/>
      <c r="CSN53" s="13"/>
      <c r="CSO53" s="13"/>
      <c r="CSP53" s="13"/>
      <c r="CSQ53" s="13"/>
      <c r="CSR53" s="13"/>
      <c r="CSS53" s="13"/>
      <c r="CST53" s="13"/>
      <c r="CSU53" s="13"/>
      <c r="CSV53" s="13"/>
      <c r="CSW53" s="13"/>
      <c r="CSX53" s="13"/>
      <c r="CSY53" s="13"/>
      <c r="CSZ53" s="13"/>
      <c r="CTA53" s="13"/>
      <c r="CTB53" s="13"/>
      <c r="CTC53" s="13"/>
      <c r="CTD53" s="13"/>
      <c r="CTE53" s="13"/>
      <c r="CTF53" s="13"/>
      <c r="CTG53" s="13"/>
      <c r="CTH53" s="13"/>
      <c r="CTI53" s="13"/>
      <c r="CTJ53" s="13"/>
      <c r="CTK53" s="13"/>
      <c r="CTL53" s="13"/>
      <c r="CTM53" s="13"/>
      <c r="CTN53" s="13"/>
      <c r="CTO53" s="13"/>
      <c r="CTP53" s="13"/>
      <c r="CTQ53" s="13"/>
      <c r="CTR53" s="13"/>
      <c r="CTS53" s="13"/>
      <c r="CTT53" s="13"/>
      <c r="CTU53" s="13"/>
      <c r="CTV53" s="13"/>
      <c r="CTW53" s="13"/>
      <c r="CTX53" s="13"/>
      <c r="CTY53" s="13"/>
      <c r="CTZ53" s="13"/>
      <c r="CUA53" s="13"/>
      <c r="CUB53" s="13"/>
      <c r="CUC53" s="13"/>
      <c r="CUD53" s="13"/>
      <c r="CUE53" s="13"/>
      <c r="CUF53" s="13"/>
      <c r="CUG53" s="13"/>
      <c r="CUH53" s="13"/>
      <c r="CUI53" s="13"/>
      <c r="CUJ53" s="13"/>
      <c r="CUK53" s="13"/>
      <c r="CUL53" s="13"/>
      <c r="CUM53" s="13"/>
      <c r="CUN53" s="13"/>
      <c r="CUO53" s="13"/>
      <c r="CUP53" s="13"/>
      <c r="CUQ53" s="13"/>
      <c r="CUR53" s="13"/>
      <c r="CUS53" s="13"/>
      <c r="CUT53" s="13"/>
      <c r="CUU53" s="13"/>
      <c r="CUV53" s="13"/>
      <c r="CUW53" s="13"/>
      <c r="CUX53" s="13"/>
      <c r="CUY53" s="13"/>
      <c r="CUZ53" s="13"/>
      <c r="CVA53" s="13"/>
      <c r="CVB53" s="13"/>
      <c r="CVC53" s="13"/>
      <c r="CVD53" s="13"/>
      <c r="CVE53" s="13"/>
      <c r="CVF53" s="13"/>
      <c r="CVG53" s="13"/>
      <c r="CVH53" s="13"/>
      <c r="CVI53" s="13"/>
      <c r="CVJ53" s="13"/>
      <c r="CVK53" s="13"/>
      <c r="CVL53" s="13"/>
      <c r="CVM53" s="13"/>
      <c r="CVN53" s="13"/>
      <c r="CVO53" s="13"/>
      <c r="CVP53" s="13"/>
      <c r="CVQ53" s="13"/>
      <c r="CVR53" s="13"/>
      <c r="CVS53" s="13"/>
      <c r="CVT53" s="13"/>
      <c r="CVU53" s="13"/>
      <c r="CVV53" s="13"/>
      <c r="CVW53" s="13"/>
      <c r="CVX53" s="13"/>
      <c r="CVY53" s="13"/>
      <c r="CVZ53" s="13"/>
      <c r="CWA53" s="13"/>
      <c r="CWB53" s="13"/>
      <c r="CWC53" s="13"/>
      <c r="CWD53" s="13"/>
      <c r="CWE53" s="13"/>
      <c r="CWF53" s="13"/>
      <c r="CWG53" s="13"/>
      <c r="CWH53" s="13"/>
      <c r="CWI53" s="13"/>
      <c r="CWJ53" s="13"/>
      <c r="CWK53" s="13"/>
      <c r="CWL53" s="13"/>
      <c r="CWM53" s="13"/>
      <c r="CWN53" s="13"/>
      <c r="CWO53" s="13"/>
      <c r="CWP53" s="13"/>
      <c r="CWQ53" s="13"/>
      <c r="CWR53" s="13"/>
      <c r="CWS53" s="13"/>
      <c r="CWT53" s="13"/>
      <c r="CWU53" s="13"/>
      <c r="CWV53" s="13"/>
      <c r="CWW53" s="13"/>
      <c r="CWX53" s="13"/>
      <c r="CWY53" s="13"/>
      <c r="CWZ53" s="13"/>
      <c r="CXA53" s="13"/>
      <c r="CXB53" s="13"/>
      <c r="CXC53" s="13"/>
      <c r="CXD53" s="13"/>
      <c r="CXE53" s="13"/>
      <c r="CXF53" s="13"/>
      <c r="CXG53" s="13"/>
      <c r="CXH53" s="13"/>
      <c r="CXI53" s="13"/>
      <c r="CXJ53" s="13"/>
      <c r="CXK53" s="13"/>
      <c r="CXL53" s="13"/>
      <c r="CXM53" s="13"/>
      <c r="CXN53" s="13"/>
      <c r="CXO53" s="13"/>
      <c r="CXP53" s="13"/>
      <c r="CXQ53" s="13"/>
      <c r="CXR53" s="13"/>
      <c r="CXS53" s="13"/>
      <c r="CXT53" s="13"/>
      <c r="CXU53" s="13"/>
      <c r="CXV53" s="13"/>
      <c r="CXW53" s="13"/>
      <c r="CXX53" s="13"/>
      <c r="CXY53" s="13"/>
      <c r="CXZ53" s="13"/>
      <c r="CYA53" s="13"/>
      <c r="CYB53" s="13"/>
      <c r="CYC53" s="13"/>
      <c r="CYD53" s="13"/>
      <c r="CYE53" s="13"/>
      <c r="CYF53" s="13"/>
      <c r="CYG53" s="13"/>
      <c r="CYH53" s="13"/>
      <c r="CYI53" s="13"/>
      <c r="CYJ53" s="13"/>
      <c r="CYK53" s="13"/>
      <c r="CYL53" s="13"/>
      <c r="CYM53" s="13"/>
      <c r="CYN53" s="13"/>
      <c r="CYO53" s="13"/>
      <c r="CYP53" s="13"/>
      <c r="CYQ53" s="13"/>
      <c r="CYR53" s="13"/>
      <c r="CYS53" s="13"/>
      <c r="CYT53" s="13"/>
      <c r="CYU53" s="13"/>
      <c r="CYV53" s="13"/>
      <c r="CYW53" s="13"/>
      <c r="CYX53" s="13"/>
      <c r="CYY53" s="13"/>
      <c r="CYZ53" s="13"/>
      <c r="CZA53" s="13"/>
      <c r="CZB53" s="13"/>
      <c r="CZC53" s="13"/>
      <c r="CZD53" s="13"/>
      <c r="CZE53" s="13"/>
      <c r="CZF53" s="13"/>
      <c r="CZG53" s="13"/>
      <c r="CZH53" s="13"/>
      <c r="CZI53" s="13"/>
      <c r="CZJ53" s="13"/>
      <c r="CZK53" s="13"/>
      <c r="CZL53" s="13"/>
      <c r="CZM53" s="13"/>
      <c r="CZN53" s="13"/>
      <c r="CZO53" s="13"/>
      <c r="CZP53" s="13"/>
      <c r="CZQ53" s="13"/>
      <c r="CZR53" s="13"/>
      <c r="CZS53" s="13"/>
      <c r="CZT53" s="13"/>
      <c r="CZU53" s="13"/>
      <c r="CZV53" s="13"/>
      <c r="CZW53" s="13"/>
      <c r="CZX53" s="13"/>
      <c r="CZY53" s="13"/>
      <c r="CZZ53" s="13"/>
      <c r="DAA53" s="13"/>
      <c r="DAB53" s="13"/>
      <c r="DAC53" s="13"/>
      <c r="DAD53" s="13"/>
      <c r="DAE53" s="13"/>
      <c r="DAF53" s="13"/>
      <c r="DAG53" s="13"/>
      <c r="DAH53" s="13"/>
      <c r="DAI53" s="13"/>
      <c r="DAJ53" s="13"/>
      <c r="DAK53" s="13"/>
      <c r="DAL53" s="13"/>
      <c r="DAM53" s="13"/>
      <c r="DAN53" s="13"/>
      <c r="DAO53" s="13"/>
      <c r="DAP53" s="13"/>
      <c r="DAQ53" s="13"/>
      <c r="DAR53" s="13"/>
      <c r="DAS53" s="13"/>
      <c r="DAT53" s="13"/>
      <c r="DAU53" s="13"/>
      <c r="DAV53" s="13"/>
      <c r="DAW53" s="13"/>
      <c r="DAX53" s="13"/>
      <c r="DAY53" s="13"/>
      <c r="DAZ53" s="13"/>
      <c r="DBA53" s="13"/>
      <c r="DBB53" s="13"/>
      <c r="DBC53" s="13"/>
      <c r="DBD53" s="13"/>
      <c r="DBE53" s="13"/>
      <c r="DBF53" s="13"/>
      <c r="DBG53" s="13"/>
      <c r="DBH53" s="13"/>
      <c r="DBI53" s="13"/>
      <c r="DBJ53" s="13"/>
      <c r="DBK53" s="13"/>
      <c r="DBL53" s="13"/>
      <c r="DBM53" s="13"/>
      <c r="DBN53" s="13"/>
      <c r="DBO53" s="13"/>
      <c r="DBP53" s="13"/>
      <c r="DBQ53" s="13"/>
      <c r="DBR53" s="13"/>
      <c r="DBS53" s="13"/>
      <c r="DBT53" s="13"/>
      <c r="DBU53" s="13"/>
      <c r="DBV53" s="13"/>
      <c r="DBW53" s="13"/>
      <c r="DBX53" s="13"/>
      <c r="DBY53" s="13"/>
      <c r="DBZ53" s="13"/>
      <c r="DCA53" s="13"/>
      <c r="DCB53" s="13"/>
      <c r="DCC53" s="13"/>
      <c r="DCD53" s="13"/>
      <c r="DCE53" s="13"/>
      <c r="DCF53" s="13"/>
      <c r="DCG53" s="13"/>
      <c r="DCH53" s="13"/>
      <c r="DCI53" s="13"/>
      <c r="DCJ53" s="13"/>
      <c r="DCK53" s="13"/>
      <c r="DCL53" s="13"/>
      <c r="DCM53" s="13"/>
      <c r="DCN53" s="13"/>
      <c r="DCO53" s="13"/>
      <c r="DCP53" s="13"/>
      <c r="DCQ53" s="13"/>
      <c r="DCR53" s="13"/>
      <c r="DCS53" s="13"/>
      <c r="DCT53" s="13"/>
      <c r="DCU53" s="13"/>
      <c r="DCV53" s="13"/>
      <c r="DCW53" s="13"/>
      <c r="DCX53" s="13"/>
      <c r="DCY53" s="13"/>
      <c r="DCZ53" s="13"/>
      <c r="DDA53" s="13"/>
      <c r="DDB53" s="13"/>
      <c r="DDC53" s="13"/>
      <c r="DDD53" s="13"/>
      <c r="DDE53" s="13"/>
      <c r="DDF53" s="13"/>
      <c r="DDG53" s="13"/>
      <c r="DDH53" s="13"/>
      <c r="DDI53" s="13"/>
      <c r="DDJ53" s="13"/>
      <c r="DDK53" s="13"/>
      <c r="DDL53" s="13"/>
      <c r="DDM53" s="13"/>
      <c r="DDN53" s="13"/>
      <c r="DDO53" s="13"/>
      <c r="DDP53" s="13"/>
      <c r="DDQ53" s="13"/>
      <c r="DDR53" s="13"/>
      <c r="DDS53" s="13"/>
      <c r="DDT53" s="13"/>
      <c r="DDU53" s="13"/>
      <c r="DDV53" s="13"/>
      <c r="DDW53" s="13"/>
      <c r="DDX53" s="13"/>
      <c r="DDY53" s="13"/>
      <c r="DDZ53" s="13"/>
      <c r="DEA53" s="13"/>
      <c r="DEB53" s="13"/>
      <c r="DEC53" s="13"/>
      <c r="DED53" s="13"/>
      <c r="DEE53" s="13"/>
      <c r="DEF53" s="13"/>
      <c r="DEG53" s="13"/>
      <c r="DEH53" s="13"/>
      <c r="DEI53" s="13"/>
      <c r="DEJ53" s="13"/>
      <c r="DEK53" s="13"/>
      <c r="DEL53" s="13"/>
      <c r="DEM53" s="13"/>
      <c r="DEN53" s="13"/>
      <c r="DEO53" s="13"/>
      <c r="DEP53" s="13"/>
      <c r="DEQ53" s="13"/>
      <c r="DER53" s="13"/>
      <c r="DES53" s="13"/>
      <c r="DET53" s="13"/>
      <c r="DEU53" s="13"/>
      <c r="DEV53" s="13"/>
      <c r="DEW53" s="13"/>
      <c r="DEX53" s="13"/>
      <c r="DEY53" s="13"/>
      <c r="DEZ53" s="13"/>
      <c r="DFA53" s="13"/>
      <c r="DFB53" s="13"/>
      <c r="DFC53" s="13"/>
      <c r="DFD53" s="13"/>
      <c r="DFE53" s="13"/>
      <c r="DFF53" s="13"/>
      <c r="DFG53" s="13"/>
      <c r="DFH53" s="13"/>
      <c r="DFI53" s="13"/>
      <c r="DFJ53" s="13"/>
      <c r="DFK53" s="13"/>
      <c r="DFL53" s="13"/>
      <c r="DFM53" s="13"/>
      <c r="DFN53" s="13"/>
      <c r="DFO53" s="13"/>
      <c r="DFP53" s="13"/>
      <c r="DFQ53" s="13"/>
      <c r="DFR53" s="13"/>
      <c r="DFS53" s="13"/>
      <c r="DFT53" s="13"/>
      <c r="DFU53" s="13"/>
      <c r="DFV53" s="13"/>
      <c r="DFW53" s="13"/>
      <c r="DFX53" s="13"/>
      <c r="DFY53" s="13"/>
      <c r="DFZ53" s="13"/>
      <c r="DGA53" s="13"/>
      <c r="DGB53" s="13"/>
      <c r="DGC53" s="13"/>
      <c r="DGD53" s="13"/>
      <c r="DGE53" s="13"/>
      <c r="DGF53" s="13"/>
      <c r="DGG53" s="13"/>
      <c r="DGH53" s="13"/>
      <c r="DGI53" s="13"/>
      <c r="DGJ53" s="13"/>
      <c r="DGK53" s="13"/>
      <c r="DGL53" s="13"/>
      <c r="DGM53" s="13"/>
      <c r="DGN53" s="13"/>
      <c r="DGO53" s="13"/>
      <c r="DGP53" s="13"/>
      <c r="DGQ53" s="13"/>
      <c r="DGR53" s="13"/>
      <c r="DGS53" s="13"/>
      <c r="DGT53" s="13"/>
      <c r="DGU53" s="13"/>
      <c r="DGV53" s="13"/>
      <c r="DGW53" s="13"/>
      <c r="DGX53" s="13"/>
      <c r="DGY53" s="13"/>
      <c r="DGZ53" s="13"/>
      <c r="DHA53" s="13"/>
      <c r="DHB53" s="13"/>
      <c r="DHC53" s="13"/>
      <c r="DHD53" s="13"/>
      <c r="DHE53" s="13"/>
      <c r="DHF53" s="13"/>
      <c r="DHG53" s="13"/>
      <c r="DHH53" s="13"/>
      <c r="DHI53" s="13"/>
      <c r="DHJ53" s="13"/>
      <c r="DHK53" s="13"/>
      <c r="DHL53" s="13"/>
      <c r="DHM53" s="13"/>
      <c r="DHN53" s="13"/>
      <c r="DHO53" s="13"/>
      <c r="DHP53" s="13"/>
      <c r="DHQ53" s="13"/>
      <c r="DHR53" s="13"/>
      <c r="DHS53" s="13"/>
      <c r="DHT53" s="13"/>
      <c r="DHU53" s="13"/>
      <c r="DHV53" s="13"/>
      <c r="DHW53" s="13"/>
      <c r="DHX53" s="13"/>
      <c r="DHY53" s="13"/>
      <c r="DHZ53" s="13"/>
      <c r="DIA53" s="13"/>
      <c r="DIB53" s="13"/>
      <c r="DIC53" s="13"/>
      <c r="DID53" s="13"/>
      <c r="DIE53" s="13"/>
      <c r="DIF53" s="13"/>
      <c r="DIG53" s="13"/>
      <c r="DIH53" s="13"/>
      <c r="DII53" s="13"/>
      <c r="DIJ53" s="13"/>
      <c r="DIK53" s="13"/>
      <c r="DIL53" s="13"/>
      <c r="DIM53" s="13"/>
      <c r="DIN53" s="13"/>
      <c r="DIO53" s="13"/>
      <c r="DIP53" s="13"/>
      <c r="DIQ53" s="13"/>
      <c r="DIR53" s="13"/>
      <c r="DIS53" s="13"/>
      <c r="DIT53" s="13"/>
      <c r="DIU53" s="13"/>
      <c r="DIV53" s="13"/>
      <c r="DIW53" s="13"/>
      <c r="DIX53" s="13"/>
      <c r="DIY53" s="13"/>
      <c r="DIZ53" s="13"/>
      <c r="DJA53" s="13"/>
      <c r="DJB53" s="13"/>
      <c r="DJC53" s="13"/>
      <c r="DJD53" s="13"/>
      <c r="DJE53" s="13"/>
      <c r="DJF53" s="13"/>
      <c r="DJG53" s="13"/>
      <c r="DJH53" s="13"/>
      <c r="DJI53" s="13"/>
      <c r="DJJ53" s="13"/>
      <c r="DJK53" s="13"/>
      <c r="DJL53" s="13"/>
      <c r="DJM53" s="13"/>
      <c r="DJN53" s="13"/>
      <c r="DJO53" s="13"/>
      <c r="DJP53" s="13"/>
      <c r="DJQ53" s="13"/>
      <c r="DJR53" s="13"/>
      <c r="DJS53" s="13"/>
      <c r="DJT53" s="13"/>
      <c r="DJU53" s="13"/>
      <c r="DJV53" s="13"/>
      <c r="DJW53" s="13"/>
      <c r="DJX53" s="13"/>
      <c r="DJY53" s="13"/>
      <c r="DJZ53" s="13"/>
      <c r="DKA53" s="13"/>
      <c r="DKB53" s="13"/>
      <c r="DKC53" s="13"/>
      <c r="DKD53" s="13"/>
      <c r="DKE53" s="13"/>
      <c r="DKF53" s="13"/>
      <c r="DKG53" s="13"/>
      <c r="DKH53" s="13"/>
      <c r="DKI53" s="13"/>
      <c r="DKJ53" s="13"/>
      <c r="DKK53" s="13"/>
      <c r="DKL53" s="13"/>
      <c r="DKM53" s="13"/>
      <c r="DKN53" s="13"/>
      <c r="DKO53" s="13"/>
      <c r="DKP53" s="13"/>
      <c r="DKQ53" s="13"/>
      <c r="DKR53" s="13"/>
      <c r="DKS53" s="13"/>
      <c r="DKT53" s="13"/>
      <c r="DKU53" s="13"/>
      <c r="DKV53" s="13"/>
      <c r="DKW53" s="13"/>
      <c r="DKX53" s="13"/>
      <c r="DKY53" s="13"/>
      <c r="DKZ53" s="13"/>
      <c r="DLA53" s="13"/>
      <c r="DLB53" s="13"/>
      <c r="DLC53" s="13"/>
      <c r="DLD53" s="13"/>
      <c r="DLE53" s="13"/>
      <c r="DLF53" s="13"/>
      <c r="DLG53" s="13"/>
      <c r="DLH53" s="13"/>
      <c r="DLI53" s="13"/>
      <c r="DLJ53" s="13"/>
      <c r="DLK53" s="13"/>
      <c r="DLL53" s="13"/>
      <c r="DLM53" s="13"/>
      <c r="DLN53" s="13"/>
      <c r="DLO53" s="13"/>
      <c r="DLP53" s="13"/>
      <c r="DLQ53" s="13"/>
      <c r="DLR53" s="13"/>
      <c r="DLS53" s="13"/>
      <c r="DLT53" s="13"/>
      <c r="DLU53" s="13"/>
      <c r="DLV53" s="13"/>
      <c r="DLW53" s="13"/>
      <c r="DLX53" s="13"/>
      <c r="DLY53" s="13"/>
      <c r="DLZ53" s="13"/>
      <c r="DMA53" s="13"/>
      <c r="DMB53" s="13"/>
      <c r="DMC53" s="13"/>
      <c r="DMD53" s="13"/>
      <c r="DME53" s="13"/>
      <c r="DMF53" s="13"/>
      <c r="DMG53" s="13"/>
      <c r="DMH53" s="13"/>
      <c r="DMI53" s="13"/>
      <c r="DMJ53" s="13"/>
      <c r="DMK53" s="13"/>
      <c r="DML53" s="13"/>
      <c r="DMM53" s="13"/>
      <c r="DMN53" s="13"/>
      <c r="DMO53" s="13"/>
      <c r="DMP53" s="13"/>
      <c r="DMQ53" s="13"/>
      <c r="DMR53" s="13"/>
      <c r="DMS53" s="13"/>
      <c r="DMT53" s="13"/>
      <c r="DMU53" s="13"/>
      <c r="DMV53" s="13"/>
      <c r="DMW53" s="13"/>
      <c r="DMX53" s="13"/>
      <c r="DMY53" s="13"/>
      <c r="DMZ53" s="13"/>
      <c r="DNA53" s="13"/>
      <c r="DNB53" s="13"/>
      <c r="DNC53" s="13"/>
      <c r="DND53" s="13"/>
      <c r="DNE53" s="13"/>
      <c r="DNF53" s="13"/>
      <c r="DNG53" s="13"/>
      <c r="DNH53" s="13"/>
      <c r="DNI53" s="13"/>
      <c r="DNJ53" s="13"/>
      <c r="DNK53" s="13"/>
      <c r="DNL53" s="13"/>
      <c r="DNM53" s="13"/>
      <c r="DNN53" s="13"/>
      <c r="DNO53" s="13"/>
      <c r="DNP53" s="13"/>
      <c r="DNQ53" s="13"/>
      <c r="DNR53" s="13"/>
      <c r="DNS53" s="13"/>
      <c r="DNT53" s="13"/>
      <c r="DNU53" s="13"/>
      <c r="DNV53" s="13"/>
      <c r="DNW53" s="13"/>
      <c r="DNX53" s="13"/>
      <c r="DNY53" s="13"/>
      <c r="DNZ53" s="13"/>
      <c r="DOA53" s="13"/>
      <c r="DOB53" s="13"/>
      <c r="DOC53" s="13"/>
      <c r="DOD53" s="13"/>
      <c r="DOE53" s="13"/>
      <c r="DOF53" s="13"/>
      <c r="DOG53" s="13"/>
      <c r="DOH53" s="13"/>
      <c r="DOI53" s="13"/>
      <c r="DOJ53" s="13"/>
      <c r="DOK53" s="13"/>
      <c r="DOL53" s="13"/>
      <c r="DOM53" s="13"/>
      <c r="DON53" s="13"/>
      <c r="DOO53" s="13"/>
      <c r="DOP53" s="13"/>
      <c r="DOQ53" s="13"/>
      <c r="DOR53" s="13"/>
      <c r="DOS53" s="13"/>
      <c r="DOT53" s="13"/>
      <c r="DOU53" s="13"/>
      <c r="DOV53" s="13"/>
      <c r="DOW53" s="13"/>
      <c r="DOX53" s="13"/>
      <c r="DOY53" s="13"/>
      <c r="DOZ53" s="13"/>
      <c r="DPA53" s="13"/>
      <c r="DPB53" s="13"/>
      <c r="DPC53" s="13"/>
      <c r="DPD53" s="13"/>
      <c r="DPE53" s="13"/>
      <c r="DPF53" s="13"/>
      <c r="DPG53" s="13"/>
      <c r="DPH53" s="13"/>
      <c r="DPI53" s="13"/>
      <c r="DPJ53" s="13"/>
      <c r="DPK53" s="13"/>
      <c r="DPL53" s="13"/>
      <c r="DPM53" s="13"/>
      <c r="DPN53" s="13"/>
      <c r="DPO53" s="13"/>
      <c r="DPP53" s="13"/>
      <c r="DPQ53" s="13"/>
      <c r="DPR53" s="13"/>
      <c r="DPS53" s="13"/>
      <c r="DPT53" s="13"/>
      <c r="DPU53" s="13"/>
      <c r="DPV53" s="13"/>
      <c r="DPW53" s="13"/>
      <c r="DPX53" s="13"/>
      <c r="DPY53" s="13"/>
      <c r="DPZ53" s="13"/>
      <c r="DQA53" s="13"/>
      <c r="DQB53" s="13"/>
      <c r="DQC53" s="13"/>
      <c r="DQD53" s="13"/>
      <c r="DQE53" s="13"/>
      <c r="DQF53" s="13"/>
      <c r="DQG53" s="13"/>
      <c r="DQH53" s="13"/>
      <c r="DQI53" s="13"/>
      <c r="DQJ53" s="13"/>
      <c r="DQK53" s="13"/>
      <c r="DQL53" s="13"/>
      <c r="DQM53" s="13"/>
      <c r="DQN53" s="13"/>
      <c r="DQO53" s="13"/>
      <c r="DQP53" s="13"/>
      <c r="DQQ53" s="13"/>
      <c r="DQR53" s="13"/>
      <c r="DQS53" s="13"/>
      <c r="DQT53" s="13"/>
      <c r="DQU53" s="13"/>
      <c r="DQV53" s="13"/>
      <c r="DQW53" s="13"/>
      <c r="DQX53" s="13"/>
      <c r="DQY53" s="13"/>
      <c r="DQZ53" s="13"/>
      <c r="DRA53" s="13"/>
      <c r="DRB53" s="13"/>
      <c r="DRC53" s="13"/>
      <c r="DRD53" s="13"/>
      <c r="DRE53" s="13"/>
      <c r="DRF53" s="13"/>
      <c r="DRG53" s="13"/>
      <c r="DRH53" s="13"/>
      <c r="DRI53" s="13"/>
      <c r="DRJ53" s="13"/>
      <c r="DRK53" s="13"/>
      <c r="DRL53" s="13"/>
      <c r="DRM53" s="13"/>
      <c r="DRN53" s="13"/>
      <c r="DRO53" s="13"/>
      <c r="DRP53" s="13"/>
      <c r="DRQ53" s="13"/>
      <c r="DRR53" s="13"/>
      <c r="DRS53" s="13"/>
      <c r="DRT53" s="13"/>
      <c r="DRU53" s="13"/>
      <c r="DRV53" s="13"/>
      <c r="DRW53" s="13"/>
      <c r="DRX53" s="13"/>
      <c r="DRY53" s="13"/>
      <c r="DRZ53" s="13"/>
      <c r="DSA53" s="13"/>
      <c r="DSB53" s="13"/>
      <c r="DSC53" s="13"/>
      <c r="DSD53" s="13"/>
      <c r="DSE53" s="13"/>
      <c r="DSF53" s="13"/>
      <c r="DSG53" s="13"/>
      <c r="DSH53" s="13"/>
      <c r="DSI53" s="13"/>
      <c r="DSJ53" s="13"/>
      <c r="DSK53" s="13"/>
      <c r="DSL53" s="13"/>
      <c r="DSM53" s="13"/>
      <c r="DSN53" s="13"/>
      <c r="DSO53" s="13"/>
      <c r="DSP53" s="13"/>
      <c r="DSQ53" s="13"/>
      <c r="DSR53" s="13"/>
      <c r="DSS53" s="13"/>
      <c r="DST53" s="13"/>
      <c r="DSU53" s="13"/>
      <c r="DSV53" s="13"/>
      <c r="DSW53" s="13"/>
      <c r="DSX53" s="13"/>
      <c r="DSY53" s="13"/>
      <c r="DSZ53" s="13"/>
      <c r="DTA53" s="13"/>
      <c r="DTB53" s="13"/>
      <c r="DTC53" s="13"/>
      <c r="DTD53" s="13"/>
      <c r="DTE53" s="13"/>
      <c r="DTF53" s="13"/>
      <c r="DTG53" s="13"/>
      <c r="DTH53" s="13"/>
      <c r="DTI53" s="13"/>
      <c r="DTJ53" s="13"/>
      <c r="DTK53" s="13"/>
      <c r="DTL53" s="13"/>
      <c r="DTM53" s="13"/>
      <c r="DTN53" s="13"/>
      <c r="DTO53" s="13"/>
      <c r="DTP53" s="13"/>
      <c r="DTQ53" s="13"/>
      <c r="DTR53" s="13"/>
      <c r="DTS53" s="13"/>
      <c r="DTT53" s="13"/>
      <c r="DTU53" s="13"/>
      <c r="DTV53" s="13"/>
      <c r="DTW53" s="13"/>
      <c r="DTX53" s="13"/>
      <c r="DTY53" s="13"/>
      <c r="DTZ53" s="13"/>
      <c r="DUA53" s="13"/>
      <c r="DUB53" s="13"/>
      <c r="DUC53" s="13"/>
      <c r="DUD53" s="13"/>
      <c r="DUE53" s="13"/>
      <c r="DUF53" s="13"/>
      <c r="DUG53" s="13"/>
      <c r="DUH53" s="13"/>
      <c r="DUI53" s="13"/>
      <c r="DUJ53" s="13"/>
      <c r="DUK53" s="13"/>
      <c r="DUL53" s="13"/>
      <c r="DUM53" s="13"/>
      <c r="DUN53" s="13"/>
      <c r="DUO53" s="13"/>
      <c r="DUP53" s="13"/>
      <c r="DUQ53" s="13"/>
      <c r="DUR53" s="13"/>
      <c r="DUS53" s="13"/>
      <c r="DUT53" s="13"/>
      <c r="DUU53" s="13"/>
      <c r="DUV53" s="13"/>
      <c r="DUW53" s="13"/>
      <c r="DUX53" s="13"/>
      <c r="DUY53" s="13"/>
      <c r="DUZ53" s="13"/>
      <c r="DVA53" s="13"/>
      <c r="DVB53" s="13"/>
      <c r="DVC53" s="13"/>
      <c r="DVD53" s="13"/>
      <c r="DVE53" s="13"/>
      <c r="DVF53" s="13"/>
      <c r="DVG53" s="13"/>
      <c r="DVH53" s="13"/>
      <c r="DVI53" s="13"/>
      <c r="DVJ53" s="13"/>
      <c r="DVK53" s="13"/>
      <c r="DVL53" s="13"/>
      <c r="DVM53" s="13"/>
      <c r="DVN53" s="13"/>
      <c r="DVO53" s="13"/>
      <c r="DVP53" s="13"/>
      <c r="DVQ53" s="13"/>
      <c r="DVR53" s="13"/>
      <c r="DVS53" s="13"/>
      <c r="DVT53" s="13"/>
      <c r="DVU53" s="13"/>
      <c r="DVV53" s="13"/>
      <c r="DVW53" s="13"/>
      <c r="DVX53" s="13"/>
      <c r="DVY53" s="13"/>
      <c r="DVZ53" s="13"/>
      <c r="DWA53" s="13"/>
      <c r="DWB53" s="13"/>
      <c r="DWC53" s="13"/>
      <c r="DWD53" s="13"/>
      <c r="DWE53" s="13"/>
      <c r="DWF53" s="13"/>
      <c r="DWG53" s="13"/>
      <c r="DWH53" s="13"/>
      <c r="DWI53" s="13"/>
      <c r="DWJ53" s="13"/>
      <c r="DWK53" s="13"/>
      <c r="DWL53" s="13"/>
      <c r="DWM53" s="13"/>
      <c r="DWN53" s="13"/>
      <c r="DWO53" s="13"/>
      <c r="DWP53" s="13"/>
      <c r="DWQ53" s="13"/>
      <c r="DWR53" s="13"/>
      <c r="DWS53" s="13"/>
      <c r="DWT53" s="13"/>
      <c r="DWU53" s="13"/>
      <c r="DWV53" s="13"/>
      <c r="DWW53" s="13"/>
      <c r="DWX53" s="13"/>
      <c r="DWY53" s="13"/>
      <c r="DWZ53" s="13"/>
      <c r="DXA53" s="13"/>
      <c r="DXB53" s="13"/>
      <c r="DXC53" s="13"/>
      <c r="DXD53" s="13"/>
      <c r="DXE53" s="13"/>
      <c r="DXF53" s="13"/>
      <c r="DXG53" s="13"/>
      <c r="DXH53" s="13"/>
      <c r="DXI53" s="13"/>
      <c r="DXJ53" s="13"/>
      <c r="DXK53" s="13"/>
      <c r="DXL53" s="13"/>
      <c r="DXM53" s="13"/>
      <c r="DXN53" s="13"/>
      <c r="DXO53" s="13"/>
      <c r="DXP53" s="13"/>
      <c r="DXQ53" s="13"/>
      <c r="DXR53" s="13"/>
      <c r="DXS53" s="13"/>
      <c r="DXT53" s="13"/>
      <c r="DXU53" s="13"/>
      <c r="DXV53" s="13"/>
      <c r="DXW53" s="13"/>
      <c r="DXX53" s="13"/>
      <c r="DXY53" s="13"/>
      <c r="DXZ53" s="13"/>
      <c r="DYA53" s="13"/>
      <c r="DYB53" s="13"/>
      <c r="DYC53" s="13"/>
      <c r="DYD53" s="13"/>
      <c r="DYE53" s="13"/>
      <c r="DYF53" s="13"/>
      <c r="DYG53" s="13"/>
      <c r="DYH53" s="13"/>
      <c r="DYI53" s="13"/>
      <c r="DYJ53" s="13"/>
      <c r="DYK53" s="13"/>
      <c r="DYL53" s="13"/>
      <c r="DYM53" s="13"/>
      <c r="DYN53" s="13"/>
      <c r="DYO53" s="13"/>
      <c r="DYP53" s="13"/>
      <c r="DYQ53" s="13"/>
      <c r="DYR53" s="13"/>
      <c r="DYS53" s="13"/>
      <c r="DYT53" s="13"/>
      <c r="DYU53" s="13"/>
      <c r="DYV53" s="13"/>
      <c r="DYW53" s="13"/>
      <c r="DYX53" s="13"/>
      <c r="DYY53" s="13"/>
      <c r="DYZ53" s="13"/>
      <c r="DZA53" s="13"/>
      <c r="DZB53" s="13"/>
      <c r="DZC53" s="13"/>
      <c r="DZD53" s="13"/>
      <c r="DZE53" s="13"/>
      <c r="DZF53" s="13"/>
      <c r="DZG53" s="13"/>
      <c r="DZH53" s="13"/>
      <c r="DZI53" s="13"/>
      <c r="DZJ53" s="13"/>
      <c r="DZK53" s="13"/>
      <c r="DZL53" s="13"/>
      <c r="DZM53" s="13"/>
      <c r="DZN53" s="13"/>
      <c r="DZO53" s="13"/>
      <c r="DZP53" s="13"/>
      <c r="DZQ53" s="13"/>
      <c r="DZR53" s="13"/>
      <c r="DZS53" s="13"/>
      <c r="DZT53" s="13"/>
      <c r="DZU53" s="13"/>
      <c r="DZV53" s="13"/>
      <c r="DZW53" s="13"/>
      <c r="DZX53" s="13"/>
      <c r="DZY53" s="13"/>
      <c r="DZZ53" s="13"/>
      <c r="EAA53" s="13"/>
      <c r="EAB53" s="13"/>
      <c r="EAC53" s="13"/>
      <c r="EAD53" s="13"/>
      <c r="EAE53" s="13"/>
      <c r="EAF53" s="13"/>
      <c r="EAG53" s="13"/>
      <c r="EAH53" s="13"/>
      <c r="EAI53" s="13"/>
      <c r="EAJ53" s="13"/>
      <c r="EAK53" s="13"/>
      <c r="EAL53" s="13"/>
      <c r="EAM53" s="13"/>
      <c r="EAN53" s="13"/>
      <c r="EAO53" s="13"/>
      <c r="EAP53" s="13"/>
      <c r="EAQ53" s="13"/>
      <c r="EAR53" s="13"/>
      <c r="EAS53" s="13"/>
      <c r="EAT53" s="13"/>
      <c r="EAU53" s="13"/>
      <c r="EAV53" s="13"/>
      <c r="EAW53" s="13"/>
      <c r="EAX53" s="13"/>
      <c r="EAY53" s="13"/>
      <c r="EAZ53" s="13"/>
      <c r="EBA53" s="13"/>
      <c r="EBB53" s="13"/>
      <c r="EBC53" s="13"/>
      <c r="EBD53" s="13"/>
      <c r="EBE53" s="13"/>
      <c r="EBF53" s="13"/>
      <c r="EBG53" s="13"/>
      <c r="EBH53" s="13"/>
      <c r="EBI53" s="13"/>
      <c r="EBJ53" s="13"/>
      <c r="EBK53" s="13"/>
      <c r="EBL53" s="13"/>
      <c r="EBM53" s="13"/>
      <c r="EBN53" s="13"/>
      <c r="EBO53" s="13"/>
      <c r="EBP53" s="13"/>
      <c r="EBQ53" s="13"/>
      <c r="EBR53" s="13"/>
      <c r="EBS53" s="13"/>
      <c r="EBT53" s="13"/>
      <c r="EBU53" s="13"/>
      <c r="EBV53" s="13"/>
      <c r="EBW53" s="13"/>
      <c r="EBX53" s="13"/>
      <c r="EBY53" s="13"/>
      <c r="EBZ53" s="13"/>
      <c r="ECA53" s="13"/>
      <c r="ECB53" s="13"/>
      <c r="ECC53" s="13"/>
      <c r="ECD53" s="13"/>
      <c r="ECE53" s="13"/>
      <c r="ECF53" s="13"/>
      <c r="ECG53" s="13"/>
      <c r="ECH53" s="13"/>
      <c r="ECI53" s="13"/>
      <c r="ECJ53" s="13"/>
      <c r="ECK53" s="13"/>
      <c r="ECL53" s="13"/>
      <c r="ECM53" s="13"/>
      <c r="ECN53" s="13"/>
      <c r="ECO53" s="13"/>
      <c r="ECP53" s="13"/>
      <c r="ECQ53" s="13"/>
      <c r="ECR53" s="13"/>
      <c r="ECS53" s="13"/>
      <c r="ECT53" s="13"/>
      <c r="ECU53" s="13"/>
      <c r="ECV53" s="13"/>
      <c r="ECW53" s="13"/>
      <c r="ECX53" s="13"/>
      <c r="ECY53" s="13"/>
      <c r="ECZ53" s="13"/>
      <c r="EDA53" s="13"/>
      <c r="EDB53" s="13"/>
      <c r="EDC53" s="13"/>
      <c r="EDD53" s="13"/>
      <c r="EDE53" s="13"/>
      <c r="EDF53" s="13"/>
      <c r="EDG53" s="13"/>
      <c r="EDH53" s="13"/>
      <c r="EDI53" s="13"/>
      <c r="EDJ53" s="13"/>
      <c r="EDK53" s="13"/>
      <c r="EDL53" s="13"/>
      <c r="EDM53" s="13"/>
      <c r="EDN53" s="13"/>
      <c r="EDO53" s="13"/>
      <c r="EDP53" s="13"/>
      <c r="EDQ53" s="13"/>
      <c r="EDR53" s="13"/>
      <c r="EDS53" s="13"/>
      <c r="EDT53" s="13"/>
      <c r="EDU53" s="13"/>
      <c r="EDV53" s="13"/>
      <c r="EDW53" s="13"/>
      <c r="EDX53" s="13"/>
      <c r="EDY53" s="13"/>
      <c r="EDZ53" s="13"/>
      <c r="EEA53" s="13"/>
      <c r="EEB53" s="13"/>
      <c r="EEC53" s="13"/>
      <c r="EED53" s="13"/>
      <c r="EEE53" s="13"/>
      <c r="EEF53" s="13"/>
      <c r="EEG53" s="13"/>
      <c r="EEH53" s="13"/>
      <c r="EEI53" s="13"/>
      <c r="EEJ53" s="13"/>
      <c r="EEK53" s="13"/>
      <c r="EEL53" s="13"/>
      <c r="EEM53" s="13"/>
      <c r="EEN53" s="13"/>
      <c r="EEO53" s="13"/>
      <c r="EEP53" s="13"/>
      <c r="EEQ53" s="13"/>
      <c r="EER53" s="13"/>
      <c r="EES53" s="13"/>
      <c r="EET53" s="13"/>
      <c r="EEU53" s="13"/>
      <c r="EEV53" s="13"/>
      <c r="EEW53" s="13"/>
      <c r="EEX53" s="13"/>
      <c r="EEY53" s="13"/>
      <c r="EEZ53" s="13"/>
      <c r="EFA53" s="13"/>
      <c r="EFB53" s="13"/>
      <c r="EFC53" s="13"/>
      <c r="EFD53" s="13"/>
      <c r="EFE53" s="13"/>
      <c r="EFF53" s="13"/>
      <c r="EFG53" s="13"/>
      <c r="EFH53" s="13"/>
      <c r="EFI53" s="13"/>
      <c r="EFJ53" s="13"/>
      <c r="EFK53" s="13"/>
      <c r="EFL53" s="13"/>
      <c r="EFM53" s="13"/>
      <c r="EFN53" s="13"/>
      <c r="EFO53" s="13"/>
      <c r="EFP53" s="13"/>
      <c r="EFQ53" s="13"/>
      <c r="EFR53" s="13"/>
      <c r="EFS53" s="13"/>
      <c r="EFT53" s="13"/>
      <c r="EFU53" s="13"/>
      <c r="EFV53" s="13"/>
      <c r="EFW53" s="13"/>
      <c r="EFX53" s="13"/>
      <c r="EFY53" s="13"/>
      <c r="EFZ53" s="13"/>
      <c r="EGA53" s="13"/>
      <c r="EGB53" s="13"/>
      <c r="EGC53" s="13"/>
      <c r="EGD53" s="13"/>
      <c r="EGE53" s="13"/>
      <c r="EGF53" s="13"/>
      <c r="EGG53" s="13"/>
      <c r="EGH53" s="13"/>
      <c r="EGI53" s="13"/>
      <c r="EGJ53" s="13"/>
      <c r="EGK53" s="13"/>
      <c r="EGL53" s="13"/>
      <c r="EGM53" s="13"/>
      <c r="EGN53" s="13"/>
      <c r="EGO53" s="13"/>
      <c r="EGP53" s="13"/>
      <c r="EGQ53" s="13"/>
      <c r="EGR53" s="13"/>
      <c r="EGS53" s="13"/>
      <c r="EGT53" s="13"/>
      <c r="EGU53" s="13"/>
      <c r="EGV53" s="13"/>
      <c r="EGW53" s="13"/>
      <c r="EGX53" s="13"/>
      <c r="EGY53" s="13"/>
      <c r="EGZ53" s="13"/>
      <c r="EHA53" s="13"/>
      <c r="EHB53" s="13"/>
      <c r="EHC53" s="13"/>
      <c r="EHD53" s="13"/>
      <c r="EHE53" s="13"/>
      <c r="EHF53" s="13"/>
      <c r="EHG53" s="13"/>
      <c r="EHH53" s="13"/>
      <c r="EHI53" s="13"/>
      <c r="EHJ53" s="13"/>
      <c r="EHK53" s="13"/>
      <c r="EHL53" s="13"/>
      <c r="EHM53" s="13"/>
      <c r="EHN53" s="13"/>
      <c r="EHO53" s="13"/>
      <c r="EHP53" s="13"/>
      <c r="EHQ53" s="13"/>
      <c r="EHR53" s="13"/>
      <c r="EHS53" s="13"/>
      <c r="EHT53" s="13"/>
      <c r="EHU53" s="13"/>
      <c r="EHV53" s="13"/>
      <c r="EHW53" s="13"/>
      <c r="EHX53" s="13"/>
      <c r="EHY53" s="13"/>
      <c r="EHZ53" s="13"/>
      <c r="EIA53" s="13"/>
      <c r="EIB53" s="13"/>
      <c r="EIC53" s="13"/>
      <c r="EID53" s="13"/>
      <c r="EIE53" s="13"/>
      <c r="EIF53" s="13"/>
      <c r="EIG53" s="13"/>
      <c r="EIH53" s="13"/>
      <c r="EII53" s="13"/>
      <c r="EIJ53" s="13"/>
      <c r="EIK53" s="13"/>
      <c r="EIL53" s="13"/>
      <c r="EIM53" s="13"/>
      <c r="EIN53" s="13"/>
      <c r="EIO53" s="13"/>
      <c r="EIP53" s="13"/>
      <c r="EIQ53" s="13"/>
      <c r="EIR53" s="13"/>
      <c r="EIS53" s="13"/>
      <c r="EIT53" s="13"/>
      <c r="EIU53" s="13"/>
      <c r="EIV53" s="13"/>
      <c r="EIW53" s="13"/>
      <c r="EIX53" s="13"/>
      <c r="EIY53" s="13"/>
      <c r="EIZ53" s="13"/>
      <c r="EJA53" s="13"/>
      <c r="EJB53" s="13"/>
      <c r="EJC53" s="13"/>
      <c r="EJD53" s="13"/>
      <c r="EJE53" s="13"/>
      <c r="EJF53" s="13"/>
      <c r="EJG53" s="13"/>
      <c r="EJH53" s="13"/>
      <c r="EJI53" s="13"/>
      <c r="EJJ53" s="13"/>
      <c r="EJK53" s="13"/>
      <c r="EJL53" s="13"/>
      <c r="EJM53" s="13"/>
      <c r="EJN53" s="13"/>
      <c r="EJO53" s="13"/>
      <c r="EJP53" s="13"/>
      <c r="EJQ53" s="13"/>
      <c r="EJR53" s="13"/>
      <c r="EJS53" s="13"/>
      <c r="EJT53" s="13"/>
      <c r="EJU53" s="13"/>
      <c r="EJV53" s="13"/>
      <c r="EJW53" s="13"/>
      <c r="EJX53" s="13"/>
      <c r="EJY53" s="13"/>
      <c r="EJZ53" s="13"/>
      <c r="EKA53" s="13"/>
      <c r="EKB53" s="13"/>
      <c r="EKC53" s="13"/>
      <c r="EKD53" s="13"/>
      <c r="EKE53" s="13"/>
      <c r="EKF53" s="13"/>
      <c r="EKG53" s="13"/>
      <c r="EKH53" s="13"/>
      <c r="EKI53" s="13"/>
      <c r="EKJ53" s="13"/>
      <c r="EKK53" s="13"/>
      <c r="EKL53" s="13"/>
      <c r="EKM53" s="13"/>
      <c r="EKN53" s="13"/>
      <c r="EKO53" s="13"/>
      <c r="EKP53" s="13"/>
      <c r="EKQ53" s="13"/>
      <c r="EKR53" s="13"/>
      <c r="EKS53" s="13"/>
      <c r="EKT53" s="13"/>
      <c r="EKU53" s="13"/>
      <c r="EKV53" s="13"/>
      <c r="EKW53" s="13"/>
      <c r="EKX53" s="13"/>
      <c r="EKY53" s="13"/>
      <c r="EKZ53" s="13"/>
      <c r="ELA53" s="13"/>
      <c r="ELB53" s="13"/>
      <c r="ELC53" s="13"/>
      <c r="ELD53" s="13"/>
      <c r="ELE53" s="13"/>
      <c r="ELF53" s="13"/>
      <c r="ELG53" s="13"/>
      <c r="ELH53" s="13"/>
      <c r="ELI53" s="13"/>
      <c r="ELJ53" s="13"/>
      <c r="ELK53" s="13"/>
      <c r="ELL53" s="13"/>
      <c r="ELM53" s="13"/>
      <c r="ELN53" s="13"/>
      <c r="ELO53" s="13"/>
      <c r="ELP53" s="13"/>
      <c r="ELQ53" s="13"/>
      <c r="ELR53" s="13"/>
      <c r="ELS53" s="13"/>
      <c r="ELT53" s="13"/>
      <c r="ELU53" s="13"/>
      <c r="ELV53" s="13"/>
      <c r="ELW53" s="13"/>
      <c r="ELX53" s="13"/>
      <c r="ELY53" s="13"/>
      <c r="ELZ53" s="13"/>
      <c r="EMA53" s="13"/>
      <c r="EMB53" s="13"/>
      <c r="EMC53" s="13"/>
      <c r="EMD53" s="13"/>
      <c r="EME53" s="13"/>
      <c r="EMF53" s="13"/>
      <c r="EMG53" s="13"/>
      <c r="EMH53" s="13"/>
      <c r="EMI53" s="13"/>
      <c r="EMJ53" s="13"/>
      <c r="EMK53" s="13"/>
      <c r="EML53" s="13"/>
      <c r="EMM53" s="13"/>
      <c r="EMN53" s="13"/>
      <c r="EMO53" s="13"/>
      <c r="EMP53" s="13"/>
      <c r="EMQ53" s="13"/>
      <c r="EMR53" s="13"/>
      <c r="EMS53" s="13"/>
      <c r="EMT53" s="13"/>
      <c r="EMU53" s="13"/>
      <c r="EMV53" s="13"/>
      <c r="EMW53" s="13"/>
      <c r="EMX53" s="13"/>
      <c r="EMY53" s="13"/>
      <c r="EMZ53" s="13"/>
      <c r="ENA53" s="13"/>
      <c r="ENB53" s="13"/>
      <c r="ENC53" s="13"/>
      <c r="END53" s="13"/>
      <c r="ENE53" s="13"/>
      <c r="ENF53" s="13"/>
      <c r="ENG53" s="13"/>
      <c r="ENH53" s="13"/>
      <c r="ENI53" s="13"/>
      <c r="ENJ53" s="13"/>
      <c r="ENK53" s="13"/>
      <c r="ENL53" s="13"/>
      <c r="ENM53" s="13"/>
      <c r="ENN53" s="13"/>
      <c r="ENO53" s="13"/>
      <c r="ENP53" s="13"/>
      <c r="ENQ53" s="13"/>
      <c r="ENR53" s="13"/>
      <c r="ENS53" s="13"/>
      <c r="ENT53" s="13"/>
      <c r="ENU53" s="13"/>
      <c r="ENV53" s="13"/>
      <c r="ENW53" s="13"/>
      <c r="ENX53" s="13"/>
      <c r="ENY53" s="13"/>
      <c r="ENZ53" s="13"/>
      <c r="EOA53" s="13"/>
      <c r="EOB53" s="13"/>
      <c r="EOC53" s="13"/>
      <c r="EOD53" s="13"/>
      <c r="EOE53" s="13"/>
      <c r="EOF53" s="13"/>
      <c r="EOG53" s="13"/>
      <c r="EOH53" s="13"/>
      <c r="EOI53" s="13"/>
      <c r="EOJ53" s="13"/>
      <c r="EOK53" s="13"/>
      <c r="EOL53" s="13"/>
      <c r="EOM53" s="13"/>
      <c r="EON53" s="13"/>
      <c r="EOO53" s="13"/>
      <c r="EOP53" s="13"/>
      <c r="EOQ53" s="13"/>
      <c r="EOR53" s="13"/>
      <c r="EOS53" s="13"/>
      <c r="EOT53" s="13"/>
      <c r="EOU53" s="13"/>
      <c r="EOV53" s="13"/>
      <c r="EOW53" s="13"/>
      <c r="EOX53" s="13"/>
      <c r="EOY53" s="13"/>
      <c r="EOZ53" s="13"/>
      <c r="EPA53" s="13"/>
      <c r="EPB53" s="13"/>
      <c r="EPC53" s="13"/>
      <c r="EPD53" s="13"/>
      <c r="EPE53" s="13"/>
      <c r="EPF53" s="13"/>
      <c r="EPG53" s="13"/>
      <c r="EPH53" s="13"/>
      <c r="EPI53" s="13"/>
      <c r="EPJ53" s="13"/>
      <c r="EPK53" s="13"/>
      <c r="EPL53" s="13"/>
      <c r="EPM53" s="13"/>
      <c r="EPN53" s="13"/>
      <c r="EPO53" s="13"/>
      <c r="EPP53" s="13"/>
      <c r="EPQ53" s="13"/>
      <c r="EPR53" s="13"/>
      <c r="EPS53" s="13"/>
      <c r="EPT53" s="13"/>
      <c r="EPU53" s="13"/>
      <c r="EPV53" s="13"/>
      <c r="EPW53" s="13"/>
      <c r="EPX53" s="13"/>
      <c r="EPY53" s="13"/>
      <c r="EPZ53" s="13"/>
      <c r="EQA53" s="13"/>
      <c r="EQB53" s="13"/>
      <c r="EQC53" s="13"/>
      <c r="EQD53" s="13"/>
      <c r="EQE53" s="13"/>
      <c r="EQF53" s="13"/>
      <c r="EQG53" s="13"/>
      <c r="EQH53" s="13"/>
      <c r="EQI53" s="13"/>
      <c r="EQJ53" s="13"/>
      <c r="EQK53" s="13"/>
      <c r="EQL53" s="13"/>
      <c r="EQM53" s="13"/>
      <c r="EQN53" s="13"/>
      <c r="EQO53" s="13"/>
      <c r="EQP53" s="13"/>
      <c r="EQQ53" s="13"/>
      <c r="EQR53" s="13"/>
      <c r="EQS53" s="13"/>
      <c r="EQT53" s="13"/>
      <c r="EQU53" s="13"/>
      <c r="EQV53" s="13"/>
      <c r="EQW53" s="13"/>
      <c r="EQX53" s="13"/>
      <c r="EQY53" s="13"/>
      <c r="EQZ53" s="13"/>
      <c r="ERA53" s="13"/>
      <c r="ERB53" s="13"/>
      <c r="ERC53" s="13"/>
      <c r="ERD53" s="13"/>
      <c r="ERE53" s="13"/>
      <c r="ERF53" s="13"/>
      <c r="ERG53" s="13"/>
      <c r="ERH53" s="13"/>
      <c r="ERI53" s="13"/>
      <c r="ERJ53" s="13"/>
      <c r="ERK53" s="13"/>
      <c r="ERL53" s="13"/>
      <c r="ERM53" s="13"/>
      <c r="ERN53" s="13"/>
      <c r="ERO53" s="13"/>
      <c r="ERP53" s="13"/>
      <c r="ERQ53" s="13"/>
      <c r="ERR53" s="13"/>
      <c r="ERS53" s="13"/>
      <c r="ERT53" s="13"/>
      <c r="ERU53" s="13"/>
      <c r="ERV53" s="13"/>
      <c r="ERW53" s="13"/>
      <c r="ERX53" s="13"/>
      <c r="ERY53" s="13"/>
      <c r="ERZ53" s="13"/>
      <c r="ESA53" s="13"/>
      <c r="ESB53" s="13"/>
      <c r="ESC53" s="13"/>
      <c r="ESD53" s="13"/>
      <c r="ESE53" s="13"/>
      <c r="ESF53" s="13"/>
      <c r="ESG53" s="13"/>
      <c r="ESH53" s="13"/>
      <c r="ESI53" s="13"/>
      <c r="ESJ53" s="13"/>
      <c r="ESK53" s="13"/>
      <c r="ESL53" s="13"/>
      <c r="ESM53" s="13"/>
      <c r="ESN53" s="13"/>
      <c r="ESO53" s="13"/>
      <c r="ESP53" s="13"/>
      <c r="ESQ53" s="13"/>
      <c r="ESR53" s="13"/>
      <c r="ESS53" s="13"/>
      <c r="EST53" s="13"/>
      <c r="ESU53" s="13"/>
      <c r="ESV53" s="13"/>
      <c r="ESW53" s="13"/>
      <c r="ESX53" s="13"/>
      <c r="ESY53" s="13"/>
      <c r="ESZ53" s="13"/>
      <c r="ETA53" s="13"/>
      <c r="ETB53" s="13"/>
      <c r="ETC53" s="13"/>
      <c r="ETD53" s="13"/>
      <c r="ETE53" s="13"/>
      <c r="ETF53" s="13"/>
      <c r="ETG53" s="13"/>
      <c r="ETH53" s="13"/>
      <c r="ETI53" s="13"/>
      <c r="ETJ53" s="13"/>
      <c r="ETK53" s="13"/>
      <c r="ETL53" s="13"/>
      <c r="ETM53" s="13"/>
      <c r="ETN53" s="13"/>
      <c r="ETO53" s="13"/>
      <c r="ETP53" s="13"/>
      <c r="ETQ53" s="13"/>
      <c r="ETR53" s="13"/>
      <c r="ETS53" s="13"/>
      <c r="ETT53" s="13"/>
      <c r="ETU53" s="13"/>
      <c r="ETV53" s="13"/>
      <c r="ETW53" s="13"/>
      <c r="ETX53" s="13"/>
      <c r="ETY53" s="13"/>
      <c r="ETZ53" s="13"/>
      <c r="EUA53" s="13"/>
      <c r="EUB53" s="13"/>
      <c r="EUC53" s="13"/>
      <c r="EUD53" s="13"/>
      <c r="EUE53" s="13"/>
      <c r="EUF53" s="13"/>
      <c r="EUG53" s="13"/>
      <c r="EUH53" s="13"/>
      <c r="EUI53" s="13"/>
      <c r="EUJ53" s="13"/>
      <c r="EUK53" s="13"/>
      <c r="EUL53" s="13"/>
      <c r="EUM53" s="13"/>
      <c r="EUN53" s="13"/>
      <c r="EUO53" s="13"/>
      <c r="EUP53" s="13"/>
      <c r="EUQ53" s="13"/>
      <c r="EUR53" s="13"/>
      <c r="EUS53" s="13"/>
      <c r="EUT53" s="13"/>
      <c r="EUU53" s="13"/>
      <c r="EUV53" s="13"/>
      <c r="EUW53" s="13"/>
      <c r="EUX53" s="13"/>
      <c r="EUY53" s="13"/>
      <c r="EUZ53" s="13"/>
      <c r="EVA53" s="13"/>
      <c r="EVB53" s="13"/>
      <c r="EVC53" s="13"/>
      <c r="EVD53" s="13"/>
      <c r="EVE53" s="13"/>
      <c r="EVF53" s="13"/>
      <c r="EVG53" s="13"/>
      <c r="EVH53" s="13"/>
      <c r="EVI53" s="13"/>
      <c r="EVJ53" s="13"/>
      <c r="EVK53" s="13"/>
      <c r="EVL53" s="13"/>
      <c r="EVM53" s="13"/>
      <c r="EVN53" s="13"/>
      <c r="EVO53" s="13"/>
      <c r="EVP53" s="13"/>
      <c r="EVQ53" s="13"/>
      <c r="EVR53" s="13"/>
      <c r="EVS53" s="13"/>
      <c r="EVT53" s="13"/>
      <c r="EVU53" s="13"/>
      <c r="EVV53" s="13"/>
      <c r="EVW53" s="13"/>
      <c r="EVX53" s="13"/>
      <c r="EVY53" s="13"/>
      <c r="EVZ53" s="13"/>
      <c r="EWA53" s="13"/>
      <c r="EWB53" s="13"/>
      <c r="EWC53" s="13"/>
      <c r="EWD53" s="13"/>
      <c r="EWE53" s="13"/>
      <c r="EWF53" s="13"/>
      <c r="EWG53" s="13"/>
      <c r="EWH53" s="13"/>
      <c r="EWI53" s="13"/>
      <c r="EWJ53" s="13"/>
      <c r="EWK53" s="13"/>
      <c r="EWL53" s="13"/>
      <c r="EWM53" s="13"/>
      <c r="EWN53" s="13"/>
      <c r="EWO53" s="13"/>
      <c r="EWP53" s="13"/>
      <c r="EWQ53" s="13"/>
      <c r="EWR53" s="13"/>
      <c r="EWS53" s="13"/>
      <c r="EWT53" s="13"/>
      <c r="EWU53" s="13"/>
      <c r="EWV53" s="13"/>
      <c r="EWW53" s="13"/>
      <c r="EWX53" s="13"/>
      <c r="EWY53" s="13"/>
      <c r="EWZ53" s="13"/>
      <c r="EXA53" s="13"/>
      <c r="EXB53" s="13"/>
      <c r="EXC53" s="13"/>
      <c r="EXD53" s="13"/>
      <c r="EXE53" s="13"/>
      <c r="EXF53" s="13"/>
      <c r="EXG53" s="13"/>
      <c r="EXH53" s="13"/>
      <c r="EXI53" s="13"/>
      <c r="EXJ53" s="13"/>
      <c r="EXK53" s="13"/>
      <c r="EXL53" s="13"/>
      <c r="EXM53" s="13"/>
      <c r="EXN53" s="13"/>
      <c r="EXO53" s="13"/>
      <c r="EXP53" s="13"/>
      <c r="EXQ53" s="13"/>
      <c r="EXR53" s="13"/>
      <c r="EXS53" s="13"/>
      <c r="EXT53" s="13"/>
      <c r="EXU53" s="13"/>
      <c r="EXV53" s="13"/>
      <c r="EXW53" s="13"/>
      <c r="EXX53" s="13"/>
      <c r="EXY53" s="13"/>
      <c r="EXZ53" s="13"/>
      <c r="EYA53" s="13"/>
      <c r="EYB53" s="13"/>
      <c r="EYC53" s="13"/>
      <c r="EYD53" s="13"/>
      <c r="EYE53" s="13"/>
      <c r="EYF53" s="13"/>
      <c r="EYG53" s="13"/>
      <c r="EYH53" s="13"/>
      <c r="EYI53" s="13"/>
      <c r="EYJ53" s="13"/>
      <c r="EYK53" s="13"/>
      <c r="EYL53" s="13"/>
      <c r="EYM53" s="13"/>
      <c r="EYN53" s="13"/>
      <c r="EYO53" s="13"/>
      <c r="EYP53" s="13"/>
      <c r="EYQ53" s="13"/>
      <c r="EYR53" s="13"/>
      <c r="EYS53" s="13"/>
      <c r="EYT53" s="13"/>
      <c r="EYU53" s="13"/>
      <c r="EYV53" s="13"/>
      <c r="EYW53" s="13"/>
      <c r="EYX53" s="13"/>
      <c r="EYY53" s="13"/>
      <c r="EYZ53" s="13"/>
      <c r="EZA53" s="13"/>
      <c r="EZB53" s="13"/>
      <c r="EZC53" s="13"/>
      <c r="EZD53" s="13"/>
      <c r="EZE53" s="13"/>
      <c r="EZF53" s="13"/>
      <c r="EZG53" s="13"/>
      <c r="EZH53" s="13"/>
      <c r="EZI53" s="13"/>
      <c r="EZJ53" s="13"/>
      <c r="EZK53" s="13"/>
      <c r="EZL53" s="13"/>
      <c r="EZM53" s="13"/>
      <c r="EZN53" s="13"/>
      <c r="EZO53" s="13"/>
      <c r="EZP53" s="13"/>
      <c r="EZQ53" s="13"/>
      <c r="EZR53" s="13"/>
      <c r="EZS53" s="13"/>
      <c r="EZT53" s="13"/>
      <c r="EZU53" s="13"/>
      <c r="EZV53" s="13"/>
      <c r="EZW53" s="13"/>
      <c r="EZX53" s="13"/>
      <c r="EZY53" s="13"/>
      <c r="EZZ53" s="13"/>
      <c r="FAA53" s="13"/>
      <c r="FAB53" s="13"/>
      <c r="FAC53" s="13"/>
      <c r="FAD53" s="13"/>
      <c r="FAE53" s="13"/>
      <c r="FAF53" s="13"/>
      <c r="FAG53" s="13"/>
      <c r="FAH53" s="13"/>
      <c r="FAI53" s="13"/>
      <c r="FAJ53" s="13"/>
      <c r="FAK53" s="13"/>
      <c r="FAL53" s="13"/>
      <c r="FAM53" s="13"/>
      <c r="FAN53" s="13"/>
      <c r="FAO53" s="13"/>
      <c r="FAP53" s="13"/>
      <c r="FAQ53" s="13"/>
      <c r="FAR53" s="13"/>
      <c r="FAS53" s="13"/>
      <c r="FAT53" s="13"/>
      <c r="FAU53" s="13"/>
      <c r="FAV53" s="13"/>
      <c r="FAW53" s="13"/>
      <c r="FAX53" s="13"/>
      <c r="FAY53" s="13"/>
      <c r="FAZ53" s="13"/>
      <c r="FBA53" s="13"/>
      <c r="FBB53" s="13"/>
      <c r="FBC53" s="13"/>
      <c r="FBD53" s="13"/>
      <c r="FBE53" s="13"/>
      <c r="FBF53" s="13"/>
      <c r="FBG53" s="13"/>
      <c r="FBH53" s="13"/>
      <c r="FBI53" s="13"/>
      <c r="FBJ53" s="13"/>
      <c r="FBK53" s="13"/>
      <c r="FBL53" s="13"/>
      <c r="FBM53" s="13"/>
      <c r="FBN53" s="13"/>
      <c r="FBO53" s="13"/>
      <c r="FBP53" s="13"/>
      <c r="FBQ53" s="13"/>
      <c r="FBR53" s="13"/>
      <c r="FBS53" s="13"/>
      <c r="FBT53" s="13"/>
      <c r="FBU53" s="13"/>
      <c r="FBV53" s="13"/>
      <c r="FBW53" s="13"/>
      <c r="FBX53" s="13"/>
      <c r="FBY53" s="13"/>
      <c r="FBZ53" s="13"/>
      <c r="FCA53" s="13"/>
      <c r="FCB53" s="13"/>
      <c r="FCC53" s="13"/>
      <c r="FCD53" s="13"/>
      <c r="FCE53" s="13"/>
      <c r="FCF53" s="13"/>
      <c r="FCG53" s="13"/>
      <c r="FCH53" s="13"/>
      <c r="FCI53" s="13"/>
      <c r="FCJ53" s="13"/>
      <c r="FCK53" s="13"/>
      <c r="FCL53" s="13"/>
      <c r="FCM53" s="13"/>
      <c r="FCN53" s="13"/>
      <c r="FCO53" s="13"/>
      <c r="FCP53" s="13"/>
      <c r="FCQ53" s="13"/>
      <c r="FCR53" s="13"/>
      <c r="FCS53" s="13"/>
      <c r="FCT53" s="13"/>
      <c r="FCU53" s="13"/>
      <c r="FCV53" s="13"/>
      <c r="FCW53" s="13"/>
      <c r="FCX53" s="13"/>
      <c r="FCY53" s="13"/>
      <c r="FCZ53" s="13"/>
      <c r="FDA53" s="13"/>
      <c r="FDB53" s="13"/>
      <c r="FDC53" s="13"/>
      <c r="FDD53" s="13"/>
      <c r="FDE53" s="13"/>
      <c r="FDF53" s="13"/>
      <c r="FDG53" s="13"/>
      <c r="FDH53" s="13"/>
      <c r="FDI53" s="13"/>
      <c r="FDJ53" s="13"/>
      <c r="FDK53" s="13"/>
      <c r="FDL53" s="13"/>
      <c r="FDM53" s="13"/>
      <c r="FDN53" s="13"/>
      <c r="FDO53" s="13"/>
      <c r="FDP53" s="13"/>
      <c r="FDQ53" s="13"/>
      <c r="FDR53" s="13"/>
      <c r="FDS53" s="13"/>
      <c r="FDT53" s="13"/>
      <c r="FDU53" s="13"/>
      <c r="FDV53" s="13"/>
      <c r="FDW53" s="13"/>
      <c r="FDX53" s="13"/>
      <c r="FDY53" s="13"/>
      <c r="FDZ53" s="13"/>
      <c r="FEA53" s="13"/>
      <c r="FEB53" s="13"/>
      <c r="FEC53" s="13"/>
      <c r="FED53" s="13"/>
      <c r="FEE53" s="13"/>
      <c r="FEF53" s="13"/>
      <c r="FEG53" s="13"/>
      <c r="FEH53" s="13"/>
      <c r="FEI53" s="13"/>
      <c r="FEJ53" s="13"/>
      <c r="FEK53" s="13"/>
      <c r="FEL53" s="13"/>
      <c r="FEM53" s="13"/>
      <c r="FEN53" s="13"/>
      <c r="FEO53" s="13"/>
      <c r="FEP53" s="13"/>
      <c r="FEQ53" s="13"/>
      <c r="FER53" s="13"/>
      <c r="FES53" s="13"/>
      <c r="FET53" s="13"/>
      <c r="FEU53" s="13"/>
      <c r="FEV53" s="13"/>
      <c r="FEW53" s="13"/>
      <c r="FEX53" s="13"/>
      <c r="FEY53" s="13"/>
      <c r="FEZ53" s="13"/>
      <c r="FFA53" s="13"/>
      <c r="FFB53" s="13"/>
      <c r="FFC53" s="13"/>
      <c r="FFD53" s="13"/>
      <c r="FFE53" s="13"/>
      <c r="FFF53" s="13"/>
      <c r="FFG53" s="13"/>
      <c r="FFH53" s="13"/>
      <c r="FFI53" s="13"/>
      <c r="FFJ53" s="13"/>
      <c r="FFK53" s="13"/>
      <c r="FFL53" s="13"/>
      <c r="FFM53" s="13"/>
      <c r="FFN53" s="13"/>
      <c r="FFO53" s="13"/>
      <c r="FFP53" s="13"/>
      <c r="FFQ53" s="13"/>
      <c r="FFR53" s="13"/>
      <c r="FFS53" s="13"/>
      <c r="FFT53" s="13"/>
      <c r="FFU53" s="13"/>
      <c r="FFV53" s="13"/>
      <c r="FFW53" s="13"/>
      <c r="FFX53" s="13"/>
      <c r="FFY53" s="13"/>
      <c r="FFZ53" s="13"/>
      <c r="FGA53" s="13"/>
      <c r="FGB53" s="13"/>
      <c r="FGC53" s="13"/>
      <c r="FGD53" s="13"/>
      <c r="FGE53" s="13"/>
      <c r="FGF53" s="13"/>
      <c r="FGG53" s="13"/>
      <c r="FGH53" s="13"/>
      <c r="FGI53" s="13"/>
      <c r="FGJ53" s="13"/>
      <c r="FGK53" s="13"/>
      <c r="FGL53" s="13"/>
      <c r="FGM53" s="13"/>
      <c r="FGN53" s="13"/>
      <c r="FGO53" s="13"/>
      <c r="FGP53" s="13"/>
      <c r="FGQ53" s="13"/>
      <c r="FGR53" s="13"/>
      <c r="FGS53" s="13"/>
      <c r="FGT53" s="13"/>
      <c r="FGU53" s="13"/>
      <c r="FGV53" s="13"/>
      <c r="FGW53" s="13"/>
      <c r="FGX53" s="13"/>
      <c r="FGY53" s="13"/>
      <c r="FGZ53" s="13"/>
      <c r="FHA53" s="13"/>
      <c r="FHB53" s="13"/>
      <c r="FHC53" s="13"/>
      <c r="FHD53" s="13"/>
      <c r="FHE53" s="13"/>
      <c r="FHF53" s="13"/>
      <c r="FHG53" s="13"/>
      <c r="FHH53" s="13"/>
      <c r="FHI53" s="13"/>
      <c r="FHJ53" s="13"/>
      <c r="FHK53" s="13"/>
      <c r="FHL53" s="13"/>
      <c r="FHM53" s="13"/>
      <c r="FHN53" s="13"/>
      <c r="FHO53" s="13"/>
      <c r="FHP53" s="13"/>
      <c r="FHQ53" s="13"/>
      <c r="FHR53" s="13"/>
      <c r="FHS53" s="13"/>
      <c r="FHT53" s="13"/>
      <c r="FHU53" s="13"/>
      <c r="FHV53" s="13"/>
      <c r="FHW53" s="13"/>
      <c r="FHX53" s="13"/>
      <c r="FHY53" s="13"/>
      <c r="FHZ53" s="13"/>
      <c r="FIA53" s="13"/>
      <c r="FIB53" s="13"/>
      <c r="FIC53" s="13"/>
      <c r="FID53" s="13"/>
      <c r="FIE53" s="13"/>
      <c r="FIF53" s="13"/>
      <c r="FIG53" s="13"/>
      <c r="FIH53" s="13"/>
      <c r="FII53" s="13"/>
      <c r="FIJ53" s="13"/>
      <c r="FIK53" s="13"/>
      <c r="FIL53" s="13"/>
      <c r="FIM53" s="13"/>
      <c r="FIN53" s="13"/>
      <c r="FIO53" s="13"/>
      <c r="FIP53" s="13"/>
      <c r="FIQ53" s="13"/>
      <c r="FIR53" s="13"/>
      <c r="FIS53" s="13"/>
      <c r="FIT53" s="13"/>
      <c r="FIU53" s="13"/>
      <c r="FIV53" s="13"/>
      <c r="FIW53" s="13"/>
      <c r="FIX53" s="13"/>
      <c r="FIY53" s="13"/>
      <c r="FIZ53" s="13"/>
      <c r="FJA53" s="13"/>
      <c r="FJB53" s="13"/>
      <c r="FJC53" s="13"/>
      <c r="FJD53" s="13"/>
      <c r="FJE53" s="13"/>
      <c r="FJF53" s="13"/>
      <c r="FJG53" s="13"/>
      <c r="FJH53" s="13"/>
      <c r="FJI53" s="13"/>
      <c r="FJJ53" s="13"/>
      <c r="FJK53" s="13"/>
      <c r="FJL53" s="13"/>
      <c r="FJM53" s="13"/>
      <c r="FJN53" s="13"/>
      <c r="FJO53" s="13"/>
      <c r="FJP53" s="13"/>
      <c r="FJQ53" s="13"/>
      <c r="FJR53" s="13"/>
      <c r="FJS53" s="13"/>
      <c r="FJT53" s="13"/>
      <c r="FJU53" s="13"/>
      <c r="FJV53" s="13"/>
      <c r="FJW53" s="13"/>
      <c r="FJX53" s="13"/>
      <c r="FJY53" s="13"/>
      <c r="FJZ53" s="13"/>
      <c r="FKA53" s="13"/>
      <c r="FKB53" s="13"/>
      <c r="FKC53" s="13"/>
      <c r="FKD53" s="13"/>
      <c r="FKE53" s="13"/>
      <c r="FKF53" s="13"/>
      <c r="FKG53" s="13"/>
      <c r="FKH53" s="13"/>
      <c r="FKI53" s="13"/>
      <c r="FKJ53" s="13"/>
      <c r="FKK53" s="13"/>
      <c r="FKL53" s="13"/>
      <c r="FKM53" s="13"/>
      <c r="FKN53" s="13"/>
      <c r="FKO53" s="13"/>
      <c r="FKP53" s="13"/>
      <c r="FKQ53" s="13"/>
      <c r="FKR53" s="13"/>
      <c r="FKS53" s="13"/>
      <c r="FKT53" s="13"/>
      <c r="FKU53" s="13"/>
      <c r="FKV53" s="13"/>
      <c r="FKW53" s="13"/>
      <c r="FKX53" s="13"/>
      <c r="FKY53" s="13"/>
      <c r="FKZ53" s="13"/>
      <c r="FLA53" s="13"/>
      <c r="FLB53" s="13"/>
      <c r="FLC53" s="13"/>
      <c r="FLD53" s="13"/>
      <c r="FLE53" s="13"/>
      <c r="FLF53" s="13"/>
      <c r="FLG53" s="13"/>
      <c r="FLH53" s="13"/>
      <c r="FLI53" s="13"/>
      <c r="FLJ53" s="13"/>
      <c r="FLK53" s="13"/>
      <c r="FLL53" s="13"/>
      <c r="FLM53" s="13"/>
      <c r="FLN53" s="13"/>
      <c r="FLO53" s="13"/>
      <c r="FLP53" s="13"/>
      <c r="FLQ53" s="13"/>
      <c r="FLR53" s="13"/>
      <c r="FLS53" s="13"/>
      <c r="FLT53" s="13"/>
      <c r="FLU53" s="13"/>
      <c r="FLV53" s="13"/>
      <c r="FLW53" s="13"/>
      <c r="FLX53" s="13"/>
      <c r="FLY53" s="13"/>
      <c r="FLZ53" s="13"/>
      <c r="FMA53" s="13"/>
      <c r="FMB53" s="13"/>
      <c r="FMC53" s="13"/>
      <c r="FMD53" s="13"/>
      <c r="FME53" s="13"/>
      <c r="FMF53" s="13"/>
      <c r="FMG53" s="13"/>
      <c r="FMH53" s="13"/>
      <c r="FMI53" s="13"/>
      <c r="FMJ53" s="13"/>
      <c r="FMK53" s="13"/>
      <c r="FML53" s="13"/>
      <c r="FMM53" s="13"/>
      <c r="FMN53" s="13"/>
      <c r="FMO53" s="13"/>
      <c r="FMP53" s="13"/>
      <c r="FMQ53" s="13"/>
      <c r="FMR53" s="13"/>
      <c r="FMS53" s="13"/>
      <c r="FMT53" s="13"/>
      <c r="FMU53" s="13"/>
      <c r="FMV53" s="13"/>
      <c r="FMW53" s="13"/>
      <c r="FMX53" s="13"/>
      <c r="FMY53" s="13"/>
      <c r="FMZ53" s="13"/>
      <c r="FNA53" s="13"/>
      <c r="FNB53" s="13"/>
      <c r="FNC53" s="13"/>
      <c r="FND53" s="13"/>
      <c r="FNE53" s="13"/>
      <c r="FNF53" s="13"/>
      <c r="FNG53" s="13"/>
      <c r="FNH53" s="13"/>
      <c r="FNI53" s="13"/>
      <c r="FNJ53" s="13"/>
      <c r="FNK53" s="13"/>
      <c r="FNL53" s="13"/>
      <c r="FNM53" s="13"/>
      <c r="FNN53" s="13"/>
      <c r="FNO53" s="13"/>
      <c r="FNP53" s="13"/>
      <c r="FNQ53" s="13"/>
      <c r="FNR53" s="13"/>
      <c r="FNS53" s="13"/>
      <c r="FNT53" s="13"/>
      <c r="FNU53" s="13"/>
      <c r="FNV53" s="13"/>
      <c r="FNW53" s="13"/>
      <c r="FNX53" s="13"/>
      <c r="FNY53" s="13"/>
      <c r="FNZ53" s="13"/>
      <c r="FOA53" s="13"/>
      <c r="FOB53" s="13"/>
      <c r="FOC53" s="13"/>
      <c r="FOD53" s="13"/>
      <c r="FOE53" s="13"/>
      <c r="FOF53" s="13"/>
      <c r="FOG53" s="13"/>
      <c r="FOH53" s="13"/>
      <c r="FOI53" s="13"/>
      <c r="FOJ53" s="13"/>
      <c r="FOK53" s="13"/>
      <c r="FOL53" s="13"/>
      <c r="FOM53" s="13"/>
      <c r="FON53" s="13"/>
      <c r="FOO53" s="13"/>
      <c r="FOP53" s="13"/>
      <c r="FOQ53" s="13"/>
      <c r="FOR53" s="13"/>
      <c r="FOS53" s="13"/>
      <c r="FOT53" s="13"/>
      <c r="FOU53" s="13"/>
      <c r="FOV53" s="13"/>
      <c r="FOW53" s="13"/>
      <c r="FOX53" s="13"/>
      <c r="FOY53" s="13"/>
      <c r="FOZ53" s="13"/>
      <c r="FPA53" s="13"/>
      <c r="FPB53" s="13"/>
      <c r="FPC53" s="13"/>
      <c r="FPD53" s="13"/>
      <c r="FPE53" s="13"/>
      <c r="FPF53" s="13"/>
      <c r="FPG53" s="13"/>
      <c r="FPH53" s="13"/>
      <c r="FPI53" s="13"/>
      <c r="FPJ53" s="13"/>
      <c r="FPK53" s="13"/>
      <c r="FPL53" s="13"/>
      <c r="FPM53" s="13"/>
      <c r="FPN53" s="13"/>
      <c r="FPO53" s="13"/>
      <c r="FPP53" s="13"/>
      <c r="FPQ53" s="13"/>
      <c r="FPR53" s="13"/>
      <c r="FPS53" s="13"/>
      <c r="FPT53" s="13"/>
      <c r="FPU53" s="13"/>
      <c r="FPV53" s="13"/>
      <c r="FPW53" s="13"/>
      <c r="FPX53" s="13"/>
      <c r="FPY53" s="13"/>
      <c r="FPZ53" s="13"/>
      <c r="FQA53" s="13"/>
      <c r="FQB53" s="13"/>
      <c r="FQC53" s="13"/>
      <c r="FQD53" s="13"/>
      <c r="FQE53" s="13"/>
      <c r="FQF53" s="13"/>
      <c r="FQG53" s="13"/>
      <c r="FQH53" s="13"/>
      <c r="FQI53" s="13"/>
      <c r="FQJ53" s="13"/>
      <c r="FQK53" s="13"/>
      <c r="FQL53" s="13"/>
      <c r="FQM53" s="13"/>
      <c r="FQN53" s="13"/>
      <c r="FQO53" s="13"/>
      <c r="FQP53" s="13"/>
      <c r="FQQ53" s="13"/>
      <c r="FQR53" s="13"/>
      <c r="FQS53" s="13"/>
      <c r="FQT53" s="13"/>
      <c r="FQU53" s="13"/>
      <c r="FQV53" s="13"/>
      <c r="FQW53" s="13"/>
      <c r="FQX53" s="13"/>
      <c r="FQY53" s="13"/>
      <c r="FQZ53" s="13"/>
      <c r="FRA53" s="13"/>
      <c r="FRB53" s="13"/>
      <c r="FRC53" s="13"/>
      <c r="FRD53" s="13"/>
      <c r="FRE53" s="13"/>
      <c r="FRF53" s="13"/>
      <c r="FRG53" s="13"/>
      <c r="FRH53" s="13"/>
      <c r="FRI53" s="13"/>
      <c r="FRJ53" s="13"/>
      <c r="FRK53" s="13"/>
      <c r="FRL53" s="13"/>
      <c r="FRM53" s="13"/>
      <c r="FRN53" s="13"/>
      <c r="FRO53" s="13"/>
      <c r="FRP53" s="13"/>
      <c r="FRQ53" s="13"/>
      <c r="FRR53" s="13"/>
      <c r="FRS53" s="13"/>
      <c r="FRT53" s="13"/>
      <c r="FRU53" s="13"/>
      <c r="FRV53" s="13"/>
      <c r="FRW53" s="13"/>
      <c r="FRX53" s="13"/>
      <c r="FRY53" s="13"/>
      <c r="FRZ53" s="13"/>
      <c r="FSA53" s="13"/>
      <c r="FSB53" s="13"/>
      <c r="FSC53" s="13"/>
      <c r="FSD53" s="13"/>
      <c r="FSE53" s="13"/>
      <c r="FSF53" s="13"/>
      <c r="FSG53" s="13"/>
      <c r="FSH53" s="13"/>
      <c r="FSI53" s="13"/>
      <c r="FSJ53" s="13"/>
      <c r="FSK53" s="13"/>
      <c r="FSL53" s="13"/>
      <c r="FSM53" s="13"/>
      <c r="FSN53" s="13"/>
      <c r="FSO53" s="13"/>
      <c r="FSP53" s="13"/>
      <c r="FSQ53" s="13"/>
      <c r="FSR53" s="13"/>
      <c r="FSS53" s="13"/>
      <c r="FST53" s="13"/>
      <c r="FSU53" s="13"/>
      <c r="FSV53" s="13"/>
      <c r="FSW53" s="13"/>
      <c r="FSX53" s="13"/>
      <c r="FSY53" s="13"/>
      <c r="FSZ53" s="13"/>
      <c r="FTA53" s="13"/>
      <c r="FTB53" s="13"/>
      <c r="FTC53" s="13"/>
      <c r="FTD53" s="13"/>
      <c r="FTE53" s="13"/>
      <c r="FTF53" s="13"/>
      <c r="FTG53" s="13"/>
      <c r="FTH53" s="13"/>
      <c r="FTI53" s="13"/>
      <c r="FTJ53" s="13"/>
      <c r="FTK53" s="13"/>
      <c r="FTL53" s="13"/>
      <c r="FTM53" s="13"/>
      <c r="FTN53" s="13"/>
      <c r="FTO53" s="13"/>
      <c r="FTP53" s="13"/>
      <c r="FTQ53" s="13"/>
      <c r="FTR53" s="13"/>
      <c r="FTS53" s="13"/>
      <c r="FTT53" s="13"/>
      <c r="FTU53" s="13"/>
      <c r="FTV53" s="13"/>
      <c r="FTW53" s="13"/>
      <c r="FTX53" s="13"/>
      <c r="FTY53" s="13"/>
      <c r="FTZ53" s="13"/>
      <c r="FUA53" s="13"/>
      <c r="FUB53" s="13"/>
      <c r="FUC53" s="13"/>
      <c r="FUD53" s="13"/>
      <c r="FUE53" s="13"/>
      <c r="FUF53" s="13"/>
      <c r="FUG53" s="13"/>
      <c r="FUH53" s="13"/>
      <c r="FUI53" s="13"/>
      <c r="FUJ53" s="13"/>
      <c r="FUK53" s="13"/>
      <c r="FUL53" s="13"/>
      <c r="FUM53" s="13"/>
      <c r="FUN53" s="13"/>
      <c r="FUO53" s="13"/>
      <c r="FUP53" s="13"/>
      <c r="FUQ53" s="13"/>
      <c r="FUR53" s="13"/>
      <c r="FUS53" s="13"/>
      <c r="FUT53" s="13"/>
      <c r="FUU53" s="13"/>
      <c r="FUV53" s="13"/>
      <c r="FUW53" s="13"/>
      <c r="FUX53" s="13"/>
      <c r="FUY53" s="13"/>
      <c r="FUZ53" s="13"/>
      <c r="FVA53" s="13"/>
      <c r="FVB53" s="13"/>
      <c r="FVC53" s="13"/>
      <c r="FVD53" s="13"/>
      <c r="FVE53" s="13"/>
      <c r="FVF53" s="13"/>
      <c r="FVG53" s="13"/>
      <c r="FVH53" s="13"/>
      <c r="FVI53" s="13"/>
      <c r="FVJ53" s="13"/>
      <c r="FVK53" s="13"/>
      <c r="FVL53" s="13"/>
      <c r="FVM53" s="13"/>
      <c r="FVN53" s="13"/>
      <c r="FVO53" s="13"/>
      <c r="FVP53" s="13"/>
      <c r="FVQ53" s="13"/>
      <c r="FVR53" s="13"/>
      <c r="FVS53" s="13"/>
      <c r="FVT53" s="13"/>
      <c r="FVU53" s="13"/>
      <c r="FVV53" s="13"/>
      <c r="FVW53" s="13"/>
      <c r="FVX53" s="13"/>
      <c r="FVY53" s="13"/>
      <c r="FVZ53" s="13"/>
      <c r="FWA53" s="13"/>
      <c r="FWB53" s="13"/>
      <c r="FWC53" s="13"/>
      <c r="FWD53" s="13"/>
      <c r="FWE53" s="13"/>
      <c r="FWF53" s="13"/>
      <c r="FWG53" s="13"/>
      <c r="FWH53" s="13"/>
      <c r="FWI53" s="13"/>
      <c r="FWJ53" s="13"/>
      <c r="FWK53" s="13"/>
      <c r="FWL53" s="13"/>
      <c r="FWM53" s="13"/>
      <c r="FWN53" s="13"/>
      <c r="FWO53" s="13"/>
      <c r="FWP53" s="13"/>
      <c r="FWQ53" s="13"/>
      <c r="FWR53" s="13"/>
      <c r="FWS53" s="13"/>
      <c r="FWT53" s="13"/>
      <c r="FWU53" s="13"/>
      <c r="FWV53" s="13"/>
      <c r="FWW53" s="13"/>
      <c r="FWX53" s="13"/>
      <c r="FWY53" s="13"/>
      <c r="FWZ53" s="13"/>
      <c r="FXA53" s="13"/>
      <c r="FXB53" s="13"/>
      <c r="FXC53" s="13"/>
      <c r="FXD53" s="13"/>
      <c r="FXE53" s="13"/>
      <c r="FXF53" s="13"/>
      <c r="FXG53" s="13"/>
      <c r="FXH53" s="13"/>
      <c r="FXI53" s="13"/>
      <c r="FXJ53" s="13"/>
      <c r="FXK53" s="13"/>
      <c r="FXL53" s="13"/>
      <c r="FXM53" s="13"/>
      <c r="FXN53" s="13"/>
      <c r="FXO53" s="13"/>
      <c r="FXP53" s="13"/>
      <c r="FXQ53" s="13"/>
      <c r="FXR53" s="13"/>
      <c r="FXS53" s="13"/>
      <c r="FXT53" s="13"/>
      <c r="FXU53" s="13"/>
      <c r="FXV53" s="13"/>
      <c r="FXW53" s="13"/>
      <c r="FXX53" s="13"/>
      <c r="FXY53" s="13"/>
      <c r="FXZ53" s="13"/>
      <c r="FYA53" s="13"/>
      <c r="FYB53" s="13"/>
      <c r="FYC53" s="13"/>
      <c r="FYD53" s="13"/>
      <c r="FYE53" s="13"/>
      <c r="FYF53" s="13"/>
      <c r="FYG53" s="13"/>
      <c r="FYH53" s="13"/>
      <c r="FYI53" s="13"/>
      <c r="FYJ53" s="13"/>
      <c r="FYK53" s="13"/>
      <c r="FYL53" s="13"/>
      <c r="FYM53" s="13"/>
      <c r="FYN53" s="13"/>
      <c r="FYO53" s="13"/>
      <c r="FYP53" s="13"/>
      <c r="FYQ53" s="13"/>
      <c r="FYR53" s="13"/>
      <c r="FYS53" s="13"/>
      <c r="FYT53" s="13"/>
      <c r="FYU53" s="13"/>
      <c r="FYV53" s="13"/>
      <c r="FYW53" s="13"/>
      <c r="FYX53" s="13"/>
      <c r="FYY53" s="13"/>
      <c r="FYZ53" s="13"/>
      <c r="FZA53" s="13"/>
      <c r="FZB53" s="13"/>
      <c r="FZC53" s="13"/>
      <c r="FZD53" s="13"/>
      <c r="FZE53" s="13"/>
      <c r="FZF53" s="13"/>
      <c r="FZG53" s="13"/>
      <c r="FZH53" s="13"/>
      <c r="FZI53" s="13"/>
      <c r="FZJ53" s="13"/>
      <c r="FZK53" s="13"/>
      <c r="FZL53" s="13"/>
      <c r="FZM53" s="13"/>
      <c r="FZN53" s="13"/>
      <c r="FZO53" s="13"/>
      <c r="FZP53" s="13"/>
      <c r="FZQ53" s="13"/>
      <c r="FZR53" s="13"/>
      <c r="FZS53" s="13"/>
      <c r="FZT53" s="13"/>
      <c r="FZU53" s="13"/>
      <c r="FZV53" s="13"/>
      <c r="FZW53" s="13"/>
      <c r="FZX53" s="13"/>
      <c r="FZY53" s="13"/>
      <c r="FZZ53" s="13"/>
      <c r="GAA53" s="13"/>
      <c r="GAB53" s="13"/>
      <c r="GAC53" s="13"/>
      <c r="GAD53" s="13"/>
      <c r="GAE53" s="13"/>
      <c r="GAF53" s="13"/>
      <c r="GAG53" s="13"/>
      <c r="GAH53" s="13"/>
      <c r="GAI53" s="13"/>
      <c r="GAJ53" s="13"/>
      <c r="GAK53" s="13"/>
      <c r="GAL53" s="13"/>
      <c r="GAM53" s="13"/>
      <c r="GAN53" s="13"/>
      <c r="GAO53" s="13"/>
      <c r="GAP53" s="13"/>
      <c r="GAQ53" s="13"/>
      <c r="GAR53" s="13"/>
      <c r="GAS53" s="13"/>
      <c r="GAT53" s="13"/>
      <c r="GAU53" s="13"/>
      <c r="GAV53" s="13"/>
      <c r="GAW53" s="13"/>
      <c r="GAX53" s="13"/>
      <c r="GAY53" s="13"/>
      <c r="GAZ53" s="13"/>
      <c r="GBA53" s="13"/>
      <c r="GBB53" s="13"/>
      <c r="GBC53" s="13"/>
      <c r="GBD53" s="13"/>
      <c r="GBE53" s="13"/>
      <c r="GBF53" s="13"/>
      <c r="GBG53" s="13"/>
      <c r="GBH53" s="13"/>
      <c r="GBI53" s="13"/>
      <c r="GBJ53" s="13"/>
      <c r="GBK53" s="13"/>
      <c r="GBL53" s="13"/>
      <c r="GBM53" s="13"/>
      <c r="GBN53" s="13"/>
      <c r="GBO53" s="13"/>
      <c r="GBP53" s="13"/>
      <c r="GBQ53" s="13"/>
      <c r="GBR53" s="13"/>
      <c r="GBS53" s="13"/>
      <c r="GBT53" s="13"/>
      <c r="GBU53" s="13"/>
      <c r="GBV53" s="13"/>
      <c r="GBW53" s="13"/>
      <c r="GBX53" s="13"/>
      <c r="GBY53" s="13"/>
      <c r="GBZ53" s="13"/>
      <c r="GCA53" s="13"/>
      <c r="GCB53" s="13"/>
      <c r="GCC53" s="13"/>
      <c r="GCD53" s="13"/>
      <c r="GCE53" s="13"/>
      <c r="GCF53" s="13"/>
      <c r="GCG53" s="13"/>
      <c r="GCH53" s="13"/>
      <c r="GCI53" s="13"/>
      <c r="GCJ53" s="13"/>
      <c r="GCK53" s="13"/>
      <c r="GCL53" s="13"/>
      <c r="GCM53" s="13"/>
      <c r="GCN53" s="13"/>
      <c r="GCO53" s="13"/>
      <c r="GCP53" s="13"/>
      <c r="GCQ53" s="13"/>
      <c r="GCR53" s="13"/>
      <c r="GCS53" s="13"/>
      <c r="GCT53" s="13"/>
      <c r="GCU53" s="13"/>
      <c r="GCV53" s="13"/>
      <c r="GCW53" s="13"/>
      <c r="GCX53" s="13"/>
      <c r="GCY53" s="13"/>
      <c r="GCZ53" s="13"/>
      <c r="GDA53" s="13"/>
      <c r="GDB53" s="13"/>
      <c r="GDC53" s="13"/>
      <c r="GDD53" s="13"/>
      <c r="GDE53" s="13"/>
      <c r="GDF53" s="13"/>
      <c r="GDG53" s="13"/>
      <c r="GDH53" s="13"/>
      <c r="GDI53" s="13"/>
      <c r="GDJ53" s="13"/>
      <c r="GDK53" s="13"/>
      <c r="GDL53" s="13"/>
      <c r="GDM53" s="13"/>
      <c r="GDN53" s="13"/>
      <c r="GDO53" s="13"/>
      <c r="GDP53" s="13"/>
      <c r="GDQ53" s="13"/>
      <c r="GDR53" s="13"/>
      <c r="GDS53" s="13"/>
      <c r="GDT53" s="13"/>
      <c r="GDU53" s="13"/>
      <c r="GDV53" s="13"/>
      <c r="GDW53" s="13"/>
      <c r="GDX53" s="13"/>
      <c r="GDY53" s="13"/>
      <c r="GDZ53" s="13"/>
      <c r="GEA53" s="13"/>
      <c r="GEB53" s="13"/>
      <c r="GEC53" s="13"/>
      <c r="GED53" s="13"/>
      <c r="GEE53" s="13"/>
      <c r="GEF53" s="13"/>
      <c r="GEG53" s="13"/>
      <c r="GEH53" s="13"/>
      <c r="GEI53" s="13"/>
      <c r="GEJ53" s="13"/>
      <c r="GEK53" s="13"/>
      <c r="GEL53" s="13"/>
      <c r="GEM53" s="13"/>
      <c r="GEN53" s="13"/>
      <c r="GEO53" s="13"/>
      <c r="GEP53" s="13"/>
      <c r="GEQ53" s="13"/>
      <c r="GER53" s="13"/>
      <c r="GES53" s="13"/>
      <c r="GET53" s="13"/>
      <c r="GEU53" s="13"/>
      <c r="GEV53" s="13"/>
      <c r="GEW53" s="13"/>
      <c r="GEX53" s="13"/>
      <c r="GEY53" s="13"/>
      <c r="GEZ53" s="13"/>
      <c r="GFA53" s="13"/>
      <c r="GFB53" s="13"/>
      <c r="GFC53" s="13"/>
      <c r="GFD53" s="13"/>
      <c r="GFE53" s="13"/>
      <c r="GFF53" s="13"/>
      <c r="GFG53" s="13"/>
      <c r="GFH53" s="13"/>
      <c r="GFI53" s="13"/>
      <c r="GFJ53" s="13"/>
      <c r="GFK53" s="13"/>
      <c r="GFL53" s="13"/>
      <c r="GFM53" s="13"/>
      <c r="GFN53" s="13"/>
      <c r="GFO53" s="13"/>
      <c r="GFP53" s="13"/>
      <c r="GFQ53" s="13"/>
      <c r="GFR53" s="13"/>
      <c r="GFS53" s="13"/>
      <c r="GFT53" s="13"/>
      <c r="GFU53" s="13"/>
      <c r="GFV53" s="13"/>
      <c r="GFW53" s="13"/>
      <c r="GFX53" s="13"/>
      <c r="GFY53" s="13"/>
      <c r="GFZ53" s="13"/>
      <c r="GGA53" s="13"/>
      <c r="GGB53" s="13"/>
      <c r="GGC53" s="13"/>
      <c r="GGD53" s="13"/>
      <c r="GGE53" s="13"/>
      <c r="GGF53" s="13"/>
      <c r="GGG53" s="13"/>
      <c r="GGH53" s="13"/>
      <c r="GGI53" s="13"/>
      <c r="GGJ53" s="13"/>
      <c r="GGK53" s="13"/>
      <c r="GGL53" s="13"/>
      <c r="GGM53" s="13"/>
      <c r="GGN53" s="13"/>
      <c r="GGO53" s="13"/>
      <c r="GGP53" s="13"/>
      <c r="GGQ53" s="13"/>
      <c r="GGR53" s="13"/>
      <c r="GGS53" s="13"/>
      <c r="GGT53" s="13"/>
      <c r="GGU53" s="13"/>
      <c r="GGV53" s="13"/>
      <c r="GGW53" s="13"/>
      <c r="GGX53" s="13"/>
      <c r="GGY53" s="13"/>
      <c r="GGZ53" s="13"/>
      <c r="GHA53" s="13"/>
      <c r="GHB53" s="13"/>
      <c r="GHC53" s="13"/>
      <c r="GHD53" s="13"/>
      <c r="GHE53" s="13"/>
      <c r="GHF53" s="13"/>
      <c r="GHG53" s="13"/>
      <c r="GHH53" s="13"/>
      <c r="GHI53" s="13"/>
      <c r="GHJ53" s="13"/>
      <c r="GHK53" s="13"/>
      <c r="GHL53" s="13"/>
      <c r="GHM53" s="13"/>
      <c r="GHN53" s="13"/>
      <c r="GHO53" s="13"/>
      <c r="GHP53" s="13"/>
      <c r="GHQ53" s="13"/>
      <c r="GHR53" s="13"/>
      <c r="GHS53" s="13"/>
      <c r="GHT53" s="13"/>
      <c r="GHU53" s="13"/>
      <c r="GHV53" s="13"/>
      <c r="GHW53" s="13"/>
      <c r="GHX53" s="13"/>
      <c r="GHY53" s="13"/>
      <c r="GHZ53" s="13"/>
      <c r="GIA53" s="13"/>
      <c r="GIB53" s="13"/>
      <c r="GIC53" s="13"/>
      <c r="GID53" s="13"/>
      <c r="GIE53" s="13"/>
      <c r="GIF53" s="13"/>
      <c r="GIG53" s="13"/>
      <c r="GIH53" s="13"/>
      <c r="GII53" s="13"/>
      <c r="GIJ53" s="13"/>
      <c r="GIK53" s="13"/>
      <c r="GIL53" s="13"/>
      <c r="GIM53" s="13"/>
      <c r="GIN53" s="13"/>
      <c r="GIO53" s="13"/>
      <c r="GIP53" s="13"/>
      <c r="GIQ53" s="13"/>
      <c r="GIR53" s="13"/>
      <c r="GIS53" s="13"/>
      <c r="GIT53" s="13"/>
      <c r="GIU53" s="13"/>
      <c r="GIV53" s="13"/>
      <c r="GIW53" s="13"/>
      <c r="GIX53" s="13"/>
      <c r="GIY53" s="13"/>
      <c r="GIZ53" s="13"/>
      <c r="GJA53" s="13"/>
      <c r="GJB53" s="13"/>
      <c r="GJC53" s="13"/>
      <c r="GJD53" s="13"/>
      <c r="GJE53" s="13"/>
      <c r="GJF53" s="13"/>
      <c r="GJG53" s="13"/>
      <c r="GJH53" s="13"/>
      <c r="GJI53" s="13"/>
      <c r="GJJ53" s="13"/>
      <c r="GJK53" s="13"/>
      <c r="GJL53" s="13"/>
      <c r="GJM53" s="13"/>
      <c r="GJN53" s="13"/>
      <c r="GJO53" s="13"/>
      <c r="GJP53" s="13"/>
      <c r="GJQ53" s="13"/>
      <c r="GJR53" s="13"/>
      <c r="GJS53" s="13"/>
      <c r="GJT53" s="13"/>
      <c r="GJU53" s="13"/>
      <c r="GJV53" s="13"/>
      <c r="GJW53" s="13"/>
      <c r="GJX53" s="13"/>
      <c r="GJY53" s="13"/>
      <c r="GJZ53" s="13"/>
      <c r="GKA53" s="13"/>
      <c r="GKB53" s="13"/>
      <c r="GKC53" s="13"/>
      <c r="GKD53" s="13"/>
      <c r="GKE53" s="13"/>
      <c r="GKF53" s="13"/>
      <c r="GKG53" s="13"/>
      <c r="GKH53" s="13"/>
      <c r="GKI53" s="13"/>
      <c r="GKJ53" s="13"/>
      <c r="GKK53" s="13"/>
      <c r="GKL53" s="13"/>
      <c r="GKM53" s="13"/>
      <c r="GKN53" s="13"/>
      <c r="GKO53" s="13"/>
      <c r="GKP53" s="13"/>
      <c r="GKQ53" s="13"/>
      <c r="GKR53" s="13"/>
      <c r="GKS53" s="13"/>
      <c r="GKT53" s="13"/>
      <c r="GKU53" s="13"/>
      <c r="GKV53" s="13"/>
      <c r="GKW53" s="13"/>
      <c r="GKX53" s="13"/>
      <c r="GKY53" s="13"/>
      <c r="GKZ53" s="13"/>
      <c r="GLA53" s="13"/>
      <c r="GLB53" s="13"/>
      <c r="GLC53" s="13"/>
      <c r="GLD53" s="13"/>
      <c r="GLE53" s="13"/>
      <c r="GLF53" s="13"/>
      <c r="GLG53" s="13"/>
      <c r="GLH53" s="13"/>
      <c r="GLI53" s="13"/>
      <c r="GLJ53" s="13"/>
      <c r="GLK53" s="13"/>
      <c r="GLL53" s="13"/>
      <c r="GLM53" s="13"/>
      <c r="GLN53" s="13"/>
      <c r="GLO53" s="13"/>
      <c r="GLP53" s="13"/>
      <c r="GLQ53" s="13"/>
      <c r="GLR53" s="13"/>
      <c r="GLS53" s="13"/>
      <c r="GLT53" s="13"/>
      <c r="GLU53" s="13"/>
      <c r="GLV53" s="13"/>
      <c r="GLW53" s="13"/>
      <c r="GLX53" s="13"/>
      <c r="GLY53" s="13"/>
      <c r="GLZ53" s="13"/>
      <c r="GMA53" s="13"/>
      <c r="GMB53" s="13"/>
      <c r="GMC53" s="13"/>
      <c r="GMD53" s="13"/>
      <c r="GME53" s="13"/>
      <c r="GMF53" s="13"/>
      <c r="GMG53" s="13"/>
      <c r="GMH53" s="13"/>
      <c r="GMI53" s="13"/>
      <c r="GMJ53" s="13"/>
      <c r="GMK53" s="13"/>
      <c r="GML53" s="13"/>
      <c r="GMM53" s="13"/>
      <c r="GMN53" s="13"/>
      <c r="GMO53" s="13"/>
      <c r="GMP53" s="13"/>
      <c r="GMQ53" s="13"/>
      <c r="GMR53" s="13"/>
      <c r="GMS53" s="13"/>
      <c r="GMT53" s="13"/>
      <c r="GMU53" s="13"/>
      <c r="GMV53" s="13"/>
      <c r="GMW53" s="13"/>
      <c r="GMX53" s="13"/>
      <c r="GMY53" s="13"/>
      <c r="GMZ53" s="13"/>
      <c r="GNA53" s="13"/>
      <c r="GNB53" s="13"/>
      <c r="GNC53" s="13"/>
      <c r="GND53" s="13"/>
      <c r="GNE53" s="13"/>
      <c r="GNF53" s="13"/>
      <c r="GNG53" s="13"/>
      <c r="GNH53" s="13"/>
      <c r="GNI53" s="13"/>
      <c r="GNJ53" s="13"/>
      <c r="GNK53" s="13"/>
      <c r="GNL53" s="13"/>
      <c r="GNM53" s="13"/>
      <c r="GNN53" s="13"/>
      <c r="GNO53" s="13"/>
      <c r="GNP53" s="13"/>
      <c r="GNQ53" s="13"/>
      <c r="GNR53" s="13"/>
      <c r="GNS53" s="13"/>
      <c r="GNT53" s="13"/>
      <c r="GNU53" s="13"/>
      <c r="GNV53" s="13"/>
      <c r="GNW53" s="13"/>
      <c r="GNX53" s="13"/>
      <c r="GNY53" s="13"/>
      <c r="GNZ53" s="13"/>
      <c r="GOA53" s="13"/>
      <c r="GOB53" s="13"/>
      <c r="GOC53" s="13"/>
      <c r="GOD53" s="13"/>
      <c r="GOE53" s="13"/>
      <c r="GOF53" s="13"/>
      <c r="GOG53" s="13"/>
      <c r="GOH53" s="13"/>
      <c r="GOI53" s="13"/>
      <c r="GOJ53" s="13"/>
      <c r="GOK53" s="13"/>
      <c r="GOL53" s="13"/>
      <c r="GOM53" s="13"/>
      <c r="GON53" s="13"/>
      <c r="GOO53" s="13"/>
      <c r="GOP53" s="13"/>
      <c r="GOQ53" s="13"/>
      <c r="GOR53" s="13"/>
      <c r="GOS53" s="13"/>
      <c r="GOT53" s="13"/>
      <c r="GOU53" s="13"/>
      <c r="GOV53" s="13"/>
      <c r="GOW53" s="13"/>
      <c r="GOX53" s="13"/>
      <c r="GOY53" s="13"/>
      <c r="GOZ53" s="13"/>
      <c r="GPA53" s="13"/>
      <c r="GPB53" s="13"/>
      <c r="GPC53" s="13"/>
      <c r="GPD53" s="13"/>
      <c r="GPE53" s="13"/>
      <c r="GPF53" s="13"/>
      <c r="GPG53" s="13"/>
      <c r="GPH53" s="13"/>
      <c r="GPI53" s="13"/>
      <c r="GPJ53" s="13"/>
      <c r="GPK53" s="13"/>
      <c r="GPL53" s="13"/>
      <c r="GPM53" s="13"/>
      <c r="GPN53" s="13"/>
      <c r="GPO53" s="13"/>
      <c r="GPP53" s="13"/>
      <c r="GPQ53" s="13"/>
      <c r="GPR53" s="13"/>
      <c r="GPS53" s="13"/>
      <c r="GPT53" s="13"/>
      <c r="GPU53" s="13"/>
      <c r="GPV53" s="13"/>
      <c r="GPW53" s="13"/>
      <c r="GPX53" s="13"/>
      <c r="GPY53" s="13"/>
      <c r="GPZ53" s="13"/>
      <c r="GQA53" s="13"/>
      <c r="GQB53" s="13"/>
      <c r="GQC53" s="13"/>
      <c r="GQD53" s="13"/>
      <c r="GQE53" s="13"/>
      <c r="GQF53" s="13"/>
      <c r="GQG53" s="13"/>
      <c r="GQH53" s="13"/>
      <c r="GQI53" s="13"/>
      <c r="GQJ53" s="13"/>
      <c r="GQK53" s="13"/>
      <c r="GQL53" s="13"/>
      <c r="GQM53" s="13"/>
      <c r="GQN53" s="13"/>
      <c r="GQO53" s="13"/>
      <c r="GQP53" s="13"/>
      <c r="GQQ53" s="13"/>
      <c r="GQR53" s="13"/>
      <c r="GQS53" s="13"/>
      <c r="GQT53" s="13"/>
      <c r="GQU53" s="13"/>
      <c r="GQV53" s="13"/>
      <c r="GQW53" s="13"/>
      <c r="GQX53" s="13"/>
      <c r="GQY53" s="13"/>
      <c r="GQZ53" s="13"/>
      <c r="GRA53" s="13"/>
      <c r="GRB53" s="13"/>
      <c r="GRC53" s="13"/>
      <c r="GRD53" s="13"/>
      <c r="GRE53" s="13"/>
      <c r="GRF53" s="13"/>
      <c r="GRG53" s="13"/>
      <c r="GRH53" s="13"/>
      <c r="GRI53" s="13"/>
      <c r="GRJ53" s="13"/>
      <c r="GRK53" s="13"/>
      <c r="GRL53" s="13"/>
      <c r="GRM53" s="13"/>
      <c r="GRN53" s="13"/>
      <c r="GRO53" s="13"/>
      <c r="GRP53" s="13"/>
      <c r="GRQ53" s="13"/>
      <c r="GRR53" s="13"/>
      <c r="GRS53" s="13"/>
      <c r="GRT53" s="13"/>
      <c r="GRU53" s="13"/>
      <c r="GRV53" s="13"/>
      <c r="GRW53" s="13"/>
      <c r="GRX53" s="13"/>
      <c r="GRY53" s="13"/>
      <c r="GRZ53" s="13"/>
      <c r="GSA53" s="13"/>
      <c r="GSB53" s="13"/>
      <c r="GSC53" s="13"/>
      <c r="GSD53" s="13"/>
      <c r="GSE53" s="13"/>
      <c r="GSF53" s="13"/>
      <c r="GSG53" s="13"/>
      <c r="GSH53" s="13"/>
      <c r="GSI53" s="13"/>
      <c r="GSJ53" s="13"/>
      <c r="GSK53" s="13"/>
      <c r="GSL53" s="13"/>
      <c r="GSM53" s="13"/>
      <c r="GSN53" s="13"/>
      <c r="GSO53" s="13"/>
      <c r="GSP53" s="13"/>
      <c r="GSQ53" s="13"/>
      <c r="GSR53" s="13"/>
      <c r="GSS53" s="13"/>
      <c r="GST53" s="13"/>
      <c r="GSU53" s="13"/>
      <c r="GSV53" s="13"/>
      <c r="GSW53" s="13"/>
      <c r="GSX53" s="13"/>
      <c r="GSY53" s="13"/>
      <c r="GSZ53" s="13"/>
      <c r="GTA53" s="13"/>
      <c r="GTB53" s="13"/>
      <c r="GTC53" s="13"/>
      <c r="GTD53" s="13"/>
      <c r="GTE53" s="13"/>
      <c r="GTF53" s="13"/>
      <c r="GTG53" s="13"/>
      <c r="GTH53" s="13"/>
      <c r="GTI53" s="13"/>
      <c r="GTJ53" s="13"/>
      <c r="GTK53" s="13"/>
      <c r="GTL53" s="13"/>
      <c r="GTM53" s="13"/>
      <c r="GTN53" s="13"/>
      <c r="GTO53" s="13"/>
      <c r="GTP53" s="13"/>
      <c r="GTQ53" s="13"/>
      <c r="GTR53" s="13"/>
      <c r="GTS53" s="13"/>
      <c r="GTT53" s="13"/>
      <c r="GTU53" s="13"/>
      <c r="GTV53" s="13"/>
      <c r="GTW53" s="13"/>
      <c r="GTX53" s="13"/>
      <c r="GTY53" s="13"/>
      <c r="GTZ53" s="13"/>
      <c r="GUA53" s="13"/>
      <c r="GUB53" s="13"/>
      <c r="GUC53" s="13"/>
      <c r="GUD53" s="13"/>
      <c r="GUE53" s="13"/>
      <c r="GUF53" s="13"/>
      <c r="GUG53" s="13"/>
      <c r="GUH53" s="13"/>
      <c r="GUI53" s="13"/>
      <c r="GUJ53" s="13"/>
      <c r="GUK53" s="13"/>
      <c r="GUL53" s="13"/>
      <c r="GUM53" s="13"/>
      <c r="GUN53" s="13"/>
      <c r="GUO53" s="13"/>
      <c r="GUP53" s="13"/>
      <c r="GUQ53" s="13"/>
      <c r="GUR53" s="13"/>
      <c r="GUS53" s="13"/>
      <c r="GUT53" s="13"/>
      <c r="GUU53" s="13"/>
      <c r="GUV53" s="13"/>
      <c r="GUW53" s="13"/>
      <c r="GUX53" s="13"/>
      <c r="GUY53" s="13"/>
      <c r="GUZ53" s="13"/>
      <c r="GVA53" s="13"/>
      <c r="GVB53" s="13"/>
      <c r="GVC53" s="13"/>
      <c r="GVD53" s="13"/>
      <c r="GVE53" s="13"/>
      <c r="GVF53" s="13"/>
      <c r="GVG53" s="13"/>
      <c r="GVH53" s="13"/>
      <c r="GVI53" s="13"/>
      <c r="GVJ53" s="13"/>
      <c r="GVK53" s="13"/>
      <c r="GVL53" s="13"/>
      <c r="GVM53" s="13"/>
      <c r="GVN53" s="13"/>
      <c r="GVO53" s="13"/>
      <c r="GVP53" s="13"/>
      <c r="GVQ53" s="13"/>
      <c r="GVR53" s="13"/>
      <c r="GVS53" s="13"/>
      <c r="GVT53" s="13"/>
      <c r="GVU53" s="13"/>
      <c r="GVV53" s="13"/>
      <c r="GVW53" s="13"/>
      <c r="GVX53" s="13"/>
      <c r="GVY53" s="13"/>
      <c r="GVZ53" s="13"/>
      <c r="GWA53" s="13"/>
      <c r="GWB53" s="13"/>
      <c r="GWC53" s="13"/>
      <c r="GWD53" s="13"/>
      <c r="GWE53" s="13"/>
      <c r="GWF53" s="13"/>
      <c r="GWG53" s="13"/>
      <c r="GWH53" s="13"/>
      <c r="GWI53" s="13"/>
      <c r="GWJ53" s="13"/>
      <c r="GWK53" s="13"/>
      <c r="GWL53" s="13"/>
      <c r="GWM53" s="13"/>
      <c r="GWN53" s="13"/>
      <c r="GWO53" s="13"/>
      <c r="GWP53" s="13"/>
      <c r="GWQ53" s="13"/>
      <c r="GWR53" s="13"/>
      <c r="GWS53" s="13"/>
      <c r="GWT53" s="13"/>
      <c r="GWU53" s="13"/>
      <c r="GWV53" s="13"/>
      <c r="GWW53" s="13"/>
      <c r="GWX53" s="13"/>
      <c r="GWY53" s="13"/>
      <c r="GWZ53" s="13"/>
      <c r="GXA53" s="13"/>
      <c r="GXB53" s="13"/>
      <c r="GXC53" s="13"/>
      <c r="GXD53" s="13"/>
      <c r="GXE53" s="13"/>
      <c r="GXF53" s="13"/>
      <c r="GXG53" s="13"/>
      <c r="GXH53" s="13"/>
      <c r="GXI53" s="13"/>
      <c r="GXJ53" s="13"/>
      <c r="GXK53" s="13"/>
      <c r="GXL53" s="13"/>
      <c r="GXM53" s="13"/>
      <c r="GXN53" s="13"/>
      <c r="GXO53" s="13"/>
      <c r="GXP53" s="13"/>
      <c r="GXQ53" s="13"/>
      <c r="GXR53" s="13"/>
      <c r="GXS53" s="13"/>
      <c r="GXT53" s="13"/>
      <c r="GXU53" s="13"/>
      <c r="GXV53" s="13"/>
      <c r="GXW53" s="13"/>
      <c r="GXX53" s="13"/>
      <c r="GXY53" s="13"/>
      <c r="GXZ53" s="13"/>
      <c r="GYA53" s="13"/>
      <c r="GYB53" s="13"/>
      <c r="GYC53" s="13"/>
      <c r="GYD53" s="13"/>
      <c r="GYE53" s="13"/>
      <c r="GYF53" s="13"/>
      <c r="GYG53" s="13"/>
      <c r="GYH53" s="13"/>
      <c r="GYI53" s="13"/>
      <c r="GYJ53" s="13"/>
      <c r="GYK53" s="13"/>
      <c r="GYL53" s="13"/>
      <c r="GYM53" s="13"/>
      <c r="GYN53" s="13"/>
      <c r="GYO53" s="13"/>
      <c r="GYP53" s="13"/>
      <c r="GYQ53" s="13"/>
      <c r="GYR53" s="13"/>
      <c r="GYS53" s="13"/>
      <c r="GYT53" s="13"/>
      <c r="GYU53" s="13"/>
      <c r="GYV53" s="13"/>
      <c r="GYW53" s="13"/>
      <c r="GYX53" s="13"/>
      <c r="GYY53" s="13"/>
      <c r="GYZ53" s="13"/>
      <c r="GZA53" s="13"/>
      <c r="GZB53" s="13"/>
      <c r="GZC53" s="13"/>
      <c r="GZD53" s="13"/>
      <c r="GZE53" s="13"/>
      <c r="GZF53" s="13"/>
      <c r="GZG53" s="13"/>
      <c r="GZH53" s="13"/>
      <c r="GZI53" s="13"/>
      <c r="GZJ53" s="13"/>
      <c r="GZK53" s="13"/>
      <c r="GZL53" s="13"/>
      <c r="GZM53" s="13"/>
      <c r="GZN53" s="13"/>
      <c r="GZO53" s="13"/>
      <c r="GZP53" s="13"/>
      <c r="GZQ53" s="13"/>
      <c r="GZR53" s="13"/>
      <c r="GZS53" s="13"/>
      <c r="GZT53" s="13"/>
      <c r="GZU53" s="13"/>
      <c r="GZV53" s="13"/>
      <c r="GZW53" s="13"/>
      <c r="GZX53" s="13"/>
      <c r="GZY53" s="13"/>
      <c r="GZZ53" s="13"/>
      <c r="HAA53" s="13"/>
      <c r="HAB53" s="13"/>
      <c r="HAC53" s="13"/>
      <c r="HAD53" s="13"/>
      <c r="HAE53" s="13"/>
      <c r="HAF53" s="13"/>
      <c r="HAG53" s="13"/>
      <c r="HAH53" s="13"/>
      <c r="HAI53" s="13"/>
      <c r="HAJ53" s="13"/>
      <c r="HAK53" s="13"/>
      <c r="HAL53" s="13"/>
      <c r="HAM53" s="13"/>
      <c r="HAN53" s="13"/>
      <c r="HAO53" s="13"/>
      <c r="HAP53" s="13"/>
      <c r="HAQ53" s="13"/>
      <c r="HAR53" s="13"/>
      <c r="HAS53" s="13"/>
      <c r="HAT53" s="13"/>
      <c r="HAU53" s="13"/>
      <c r="HAV53" s="13"/>
      <c r="HAW53" s="13"/>
      <c r="HAX53" s="13"/>
      <c r="HAY53" s="13"/>
      <c r="HAZ53" s="13"/>
      <c r="HBA53" s="13"/>
      <c r="HBB53" s="13"/>
      <c r="HBC53" s="13"/>
      <c r="HBD53" s="13"/>
      <c r="HBE53" s="13"/>
      <c r="HBF53" s="13"/>
      <c r="HBG53" s="13"/>
      <c r="HBH53" s="13"/>
      <c r="HBI53" s="13"/>
      <c r="HBJ53" s="13"/>
      <c r="HBK53" s="13"/>
      <c r="HBL53" s="13"/>
      <c r="HBM53" s="13"/>
      <c r="HBN53" s="13"/>
      <c r="HBO53" s="13"/>
      <c r="HBP53" s="13"/>
      <c r="HBQ53" s="13"/>
      <c r="HBR53" s="13"/>
      <c r="HBS53" s="13"/>
      <c r="HBT53" s="13"/>
      <c r="HBU53" s="13"/>
      <c r="HBV53" s="13"/>
      <c r="HBW53" s="13"/>
      <c r="HBX53" s="13"/>
      <c r="HBY53" s="13"/>
      <c r="HBZ53" s="13"/>
      <c r="HCA53" s="13"/>
      <c r="HCB53" s="13"/>
      <c r="HCC53" s="13"/>
      <c r="HCD53" s="13"/>
      <c r="HCE53" s="13"/>
      <c r="HCF53" s="13"/>
      <c r="HCG53" s="13"/>
      <c r="HCH53" s="13"/>
      <c r="HCI53" s="13"/>
      <c r="HCJ53" s="13"/>
      <c r="HCK53" s="13"/>
      <c r="HCL53" s="13"/>
      <c r="HCM53" s="13"/>
      <c r="HCN53" s="13"/>
      <c r="HCO53" s="13"/>
      <c r="HCP53" s="13"/>
      <c r="HCQ53" s="13"/>
      <c r="HCR53" s="13"/>
      <c r="HCS53" s="13"/>
      <c r="HCT53" s="13"/>
      <c r="HCU53" s="13"/>
      <c r="HCV53" s="13"/>
      <c r="HCW53" s="13"/>
      <c r="HCX53" s="13"/>
      <c r="HCY53" s="13"/>
      <c r="HCZ53" s="13"/>
      <c r="HDA53" s="13"/>
      <c r="HDB53" s="13"/>
      <c r="HDC53" s="13"/>
      <c r="HDD53" s="13"/>
      <c r="HDE53" s="13"/>
      <c r="HDF53" s="13"/>
      <c r="HDG53" s="13"/>
      <c r="HDH53" s="13"/>
      <c r="HDI53" s="13"/>
      <c r="HDJ53" s="13"/>
      <c r="HDK53" s="13"/>
      <c r="HDL53" s="13"/>
      <c r="HDM53" s="13"/>
      <c r="HDN53" s="13"/>
      <c r="HDO53" s="13"/>
      <c r="HDP53" s="13"/>
      <c r="HDQ53" s="13"/>
      <c r="HDR53" s="13"/>
      <c r="HDS53" s="13"/>
      <c r="HDT53" s="13"/>
      <c r="HDU53" s="13"/>
      <c r="HDV53" s="13"/>
      <c r="HDW53" s="13"/>
      <c r="HDX53" s="13"/>
      <c r="HDY53" s="13"/>
      <c r="HDZ53" s="13"/>
      <c r="HEA53" s="13"/>
      <c r="HEB53" s="13"/>
      <c r="HEC53" s="13"/>
      <c r="HED53" s="13"/>
      <c r="HEE53" s="13"/>
      <c r="HEF53" s="13"/>
      <c r="HEG53" s="13"/>
      <c r="HEH53" s="13"/>
      <c r="HEI53" s="13"/>
      <c r="HEJ53" s="13"/>
      <c r="HEK53" s="13"/>
      <c r="HEL53" s="13"/>
      <c r="HEM53" s="13"/>
      <c r="HEN53" s="13"/>
      <c r="HEO53" s="13"/>
      <c r="HEP53" s="13"/>
      <c r="HEQ53" s="13"/>
      <c r="HER53" s="13"/>
      <c r="HES53" s="13"/>
      <c r="HET53" s="13"/>
      <c r="HEU53" s="13"/>
      <c r="HEV53" s="13"/>
      <c r="HEW53" s="13"/>
      <c r="HEX53" s="13"/>
      <c r="HEY53" s="13"/>
      <c r="HEZ53" s="13"/>
      <c r="HFA53" s="13"/>
      <c r="HFB53" s="13"/>
      <c r="HFC53" s="13"/>
      <c r="HFD53" s="13"/>
      <c r="HFE53" s="13"/>
      <c r="HFF53" s="13"/>
      <c r="HFG53" s="13"/>
      <c r="HFH53" s="13"/>
      <c r="HFI53" s="13"/>
      <c r="HFJ53" s="13"/>
      <c r="HFK53" s="13"/>
      <c r="HFL53" s="13"/>
      <c r="HFM53" s="13"/>
      <c r="HFN53" s="13"/>
      <c r="HFO53" s="13"/>
      <c r="HFP53" s="13"/>
      <c r="HFQ53" s="13"/>
      <c r="HFR53" s="13"/>
      <c r="HFS53" s="13"/>
      <c r="HFT53" s="13"/>
      <c r="HFU53" s="13"/>
      <c r="HFV53" s="13"/>
      <c r="HFW53" s="13"/>
      <c r="HFX53" s="13"/>
      <c r="HFY53" s="13"/>
      <c r="HFZ53" s="13"/>
      <c r="HGA53" s="13"/>
      <c r="HGB53" s="13"/>
      <c r="HGC53" s="13"/>
      <c r="HGD53" s="13"/>
      <c r="HGE53" s="13"/>
      <c r="HGF53" s="13"/>
      <c r="HGG53" s="13"/>
      <c r="HGH53" s="13"/>
      <c r="HGI53" s="13"/>
      <c r="HGJ53" s="13"/>
      <c r="HGK53" s="13"/>
      <c r="HGL53" s="13"/>
      <c r="HGM53" s="13"/>
      <c r="HGN53" s="13"/>
      <c r="HGO53" s="13"/>
      <c r="HGP53" s="13"/>
      <c r="HGQ53" s="13"/>
      <c r="HGR53" s="13"/>
      <c r="HGS53" s="13"/>
      <c r="HGT53" s="13"/>
      <c r="HGU53" s="13"/>
      <c r="HGV53" s="13"/>
      <c r="HGW53" s="13"/>
      <c r="HGX53" s="13"/>
      <c r="HGY53" s="13"/>
      <c r="HGZ53" s="13"/>
      <c r="HHA53" s="13"/>
      <c r="HHB53" s="13"/>
      <c r="HHC53" s="13"/>
      <c r="HHD53" s="13"/>
      <c r="HHE53" s="13"/>
      <c r="HHF53" s="13"/>
      <c r="HHG53" s="13"/>
      <c r="HHH53" s="13"/>
      <c r="HHI53" s="13"/>
      <c r="HHJ53" s="13"/>
      <c r="HHK53" s="13"/>
      <c r="HHL53" s="13"/>
      <c r="HHM53" s="13"/>
      <c r="HHN53" s="13"/>
      <c r="HHO53" s="13"/>
      <c r="HHP53" s="13"/>
      <c r="HHQ53" s="13"/>
      <c r="HHR53" s="13"/>
      <c r="HHS53" s="13"/>
      <c r="HHT53" s="13"/>
      <c r="HHU53" s="13"/>
      <c r="HHV53" s="13"/>
      <c r="HHW53" s="13"/>
      <c r="HHX53" s="13"/>
      <c r="HHY53" s="13"/>
      <c r="HHZ53" s="13"/>
      <c r="HIA53" s="13"/>
      <c r="HIB53" s="13"/>
      <c r="HIC53" s="13"/>
      <c r="HID53" s="13"/>
      <c r="HIE53" s="13"/>
      <c r="HIF53" s="13"/>
      <c r="HIG53" s="13"/>
      <c r="HIH53" s="13"/>
      <c r="HII53" s="13"/>
      <c r="HIJ53" s="13"/>
      <c r="HIK53" s="13"/>
      <c r="HIL53" s="13"/>
      <c r="HIM53" s="13"/>
      <c r="HIN53" s="13"/>
      <c r="HIO53" s="13"/>
      <c r="HIP53" s="13"/>
      <c r="HIQ53" s="13"/>
      <c r="HIR53" s="13"/>
      <c r="HIS53" s="13"/>
      <c r="HIT53" s="13"/>
      <c r="HIU53" s="13"/>
      <c r="HIV53" s="13"/>
      <c r="HIW53" s="13"/>
      <c r="HIX53" s="13"/>
      <c r="HIY53" s="13"/>
      <c r="HIZ53" s="13"/>
      <c r="HJA53" s="13"/>
      <c r="HJB53" s="13"/>
      <c r="HJC53" s="13"/>
      <c r="HJD53" s="13"/>
      <c r="HJE53" s="13"/>
      <c r="HJF53" s="13"/>
      <c r="HJG53" s="13"/>
      <c r="HJH53" s="13"/>
      <c r="HJI53" s="13"/>
      <c r="HJJ53" s="13"/>
      <c r="HJK53" s="13"/>
      <c r="HJL53" s="13"/>
      <c r="HJM53" s="13"/>
      <c r="HJN53" s="13"/>
      <c r="HJO53" s="13"/>
      <c r="HJP53" s="13"/>
      <c r="HJQ53" s="13"/>
      <c r="HJR53" s="13"/>
      <c r="HJS53" s="13"/>
      <c r="HJT53" s="13"/>
      <c r="HJU53" s="13"/>
      <c r="HJV53" s="13"/>
      <c r="HJW53" s="13"/>
      <c r="HJX53" s="13"/>
      <c r="HJY53" s="13"/>
      <c r="HJZ53" s="13"/>
      <c r="HKA53" s="13"/>
      <c r="HKB53" s="13"/>
      <c r="HKC53" s="13"/>
      <c r="HKD53" s="13"/>
      <c r="HKE53" s="13"/>
      <c r="HKF53" s="13"/>
      <c r="HKG53" s="13"/>
      <c r="HKH53" s="13"/>
      <c r="HKI53" s="13"/>
      <c r="HKJ53" s="13"/>
      <c r="HKK53" s="13"/>
      <c r="HKL53" s="13"/>
      <c r="HKM53" s="13"/>
      <c r="HKN53" s="13"/>
      <c r="HKO53" s="13"/>
      <c r="HKP53" s="13"/>
      <c r="HKQ53" s="13"/>
      <c r="HKR53" s="13"/>
      <c r="HKS53" s="13"/>
      <c r="HKT53" s="13"/>
      <c r="HKU53" s="13"/>
      <c r="HKV53" s="13"/>
      <c r="HKW53" s="13"/>
      <c r="HKX53" s="13"/>
      <c r="HKY53" s="13"/>
      <c r="HKZ53" s="13"/>
      <c r="HLA53" s="13"/>
      <c r="HLB53" s="13"/>
      <c r="HLC53" s="13"/>
      <c r="HLD53" s="13"/>
      <c r="HLE53" s="13"/>
      <c r="HLF53" s="13"/>
      <c r="HLG53" s="13"/>
      <c r="HLH53" s="13"/>
      <c r="HLI53" s="13"/>
      <c r="HLJ53" s="13"/>
      <c r="HLK53" s="13"/>
      <c r="HLL53" s="13"/>
      <c r="HLM53" s="13"/>
      <c r="HLN53" s="13"/>
      <c r="HLO53" s="13"/>
      <c r="HLP53" s="13"/>
      <c r="HLQ53" s="13"/>
      <c r="HLR53" s="13"/>
      <c r="HLS53" s="13"/>
      <c r="HLT53" s="13"/>
      <c r="HLU53" s="13"/>
      <c r="HLV53" s="13"/>
      <c r="HLW53" s="13"/>
      <c r="HLX53" s="13"/>
      <c r="HLY53" s="13"/>
      <c r="HLZ53" s="13"/>
      <c r="HMA53" s="13"/>
      <c r="HMB53" s="13"/>
      <c r="HMC53" s="13"/>
      <c r="HMD53" s="13"/>
      <c r="HME53" s="13"/>
      <c r="HMF53" s="13"/>
      <c r="HMG53" s="13"/>
      <c r="HMH53" s="13"/>
      <c r="HMI53" s="13"/>
      <c r="HMJ53" s="13"/>
      <c r="HMK53" s="13"/>
      <c r="HML53" s="13"/>
      <c r="HMM53" s="13"/>
      <c r="HMN53" s="13"/>
      <c r="HMO53" s="13"/>
      <c r="HMP53" s="13"/>
      <c r="HMQ53" s="13"/>
      <c r="HMR53" s="13"/>
      <c r="HMS53" s="13"/>
      <c r="HMT53" s="13"/>
      <c r="HMU53" s="13"/>
      <c r="HMV53" s="13"/>
      <c r="HMW53" s="13"/>
      <c r="HMX53" s="13"/>
      <c r="HMY53" s="13"/>
      <c r="HMZ53" s="13"/>
      <c r="HNA53" s="13"/>
      <c r="HNB53" s="13"/>
      <c r="HNC53" s="13"/>
      <c r="HND53" s="13"/>
      <c r="HNE53" s="13"/>
      <c r="HNF53" s="13"/>
      <c r="HNG53" s="13"/>
      <c r="HNH53" s="13"/>
      <c r="HNI53" s="13"/>
      <c r="HNJ53" s="13"/>
      <c r="HNK53" s="13"/>
      <c r="HNL53" s="13"/>
      <c r="HNM53" s="13"/>
      <c r="HNN53" s="13"/>
      <c r="HNO53" s="13"/>
      <c r="HNP53" s="13"/>
      <c r="HNQ53" s="13"/>
      <c r="HNR53" s="13"/>
      <c r="HNS53" s="13"/>
      <c r="HNT53" s="13"/>
      <c r="HNU53" s="13"/>
      <c r="HNV53" s="13"/>
      <c r="HNW53" s="13"/>
      <c r="HNX53" s="13"/>
      <c r="HNY53" s="13"/>
      <c r="HNZ53" s="13"/>
      <c r="HOA53" s="13"/>
      <c r="HOB53" s="13"/>
      <c r="HOC53" s="13"/>
      <c r="HOD53" s="13"/>
      <c r="HOE53" s="13"/>
      <c r="HOF53" s="13"/>
      <c r="HOG53" s="13"/>
      <c r="HOH53" s="13"/>
      <c r="HOI53" s="13"/>
      <c r="HOJ53" s="13"/>
      <c r="HOK53" s="13"/>
      <c r="HOL53" s="13"/>
      <c r="HOM53" s="13"/>
      <c r="HON53" s="13"/>
      <c r="HOO53" s="13"/>
      <c r="HOP53" s="13"/>
      <c r="HOQ53" s="13"/>
      <c r="HOR53" s="13"/>
      <c r="HOS53" s="13"/>
      <c r="HOT53" s="13"/>
      <c r="HOU53" s="13"/>
      <c r="HOV53" s="13"/>
      <c r="HOW53" s="13"/>
      <c r="HOX53" s="13"/>
      <c r="HOY53" s="13"/>
      <c r="HOZ53" s="13"/>
      <c r="HPA53" s="13"/>
      <c r="HPB53" s="13"/>
      <c r="HPC53" s="13"/>
      <c r="HPD53" s="13"/>
      <c r="HPE53" s="13"/>
      <c r="HPF53" s="13"/>
      <c r="HPG53" s="13"/>
      <c r="HPH53" s="13"/>
      <c r="HPI53" s="13"/>
      <c r="HPJ53" s="13"/>
      <c r="HPK53" s="13"/>
      <c r="HPL53" s="13"/>
      <c r="HPM53" s="13"/>
      <c r="HPN53" s="13"/>
      <c r="HPO53" s="13"/>
      <c r="HPP53" s="13"/>
      <c r="HPQ53" s="13"/>
      <c r="HPR53" s="13"/>
      <c r="HPS53" s="13"/>
      <c r="HPT53" s="13"/>
      <c r="HPU53" s="13"/>
      <c r="HPV53" s="13"/>
      <c r="HPW53" s="13"/>
      <c r="HPX53" s="13"/>
      <c r="HPY53" s="13"/>
      <c r="HPZ53" s="13"/>
      <c r="HQA53" s="13"/>
      <c r="HQB53" s="13"/>
      <c r="HQC53" s="13"/>
      <c r="HQD53" s="13"/>
      <c r="HQE53" s="13"/>
      <c r="HQF53" s="13"/>
      <c r="HQG53" s="13"/>
      <c r="HQH53" s="13"/>
      <c r="HQI53" s="13"/>
      <c r="HQJ53" s="13"/>
      <c r="HQK53" s="13"/>
      <c r="HQL53" s="13"/>
      <c r="HQM53" s="13"/>
      <c r="HQN53" s="13"/>
      <c r="HQO53" s="13"/>
      <c r="HQP53" s="13"/>
      <c r="HQQ53" s="13"/>
      <c r="HQR53" s="13"/>
      <c r="HQS53" s="13"/>
      <c r="HQT53" s="13"/>
      <c r="HQU53" s="13"/>
      <c r="HQV53" s="13"/>
      <c r="HQW53" s="13"/>
      <c r="HQX53" s="13"/>
      <c r="HQY53" s="13"/>
      <c r="HQZ53" s="13"/>
      <c r="HRA53" s="13"/>
      <c r="HRB53" s="13"/>
      <c r="HRC53" s="13"/>
      <c r="HRD53" s="13"/>
      <c r="HRE53" s="13"/>
      <c r="HRF53" s="13"/>
      <c r="HRG53" s="13"/>
      <c r="HRH53" s="13"/>
      <c r="HRI53" s="13"/>
      <c r="HRJ53" s="13"/>
      <c r="HRK53" s="13"/>
      <c r="HRL53" s="13"/>
      <c r="HRM53" s="13"/>
      <c r="HRN53" s="13"/>
      <c r="HRO53" s="13"/>
      <c r="HRP53" s="13"/>
      <c r="HRQ53" s="13"/>
      <c r="HRR53" s="13"/>
      <c r="HRS53" s="13"/>
      <c r="HRT53" s="13"/>
      <c r="HRU53" s="13"/>
      <c r="HRV53" s="13"/>
      <c r="HRW53" s="13"/>
      <c r="HRX53" s="13"/>
      <c r="HRY53" s="13"/>
      <c r="HRZ53" s="13"/>
      <c r="HSA53" s="13"/>
      <c r="HSB53" s="13"/>
      <c r="HSC53" s="13"/>
      <c r="HSD53" s="13"/>
      <c r="HSE53" s="13"/>
      <c r="HSF53" s="13"/>
      <c r="HSG53" s="13"/>
      <c r="HSH53" s="13"/>
      <c r="HSI53" s="13"/>
      <c r="HSJ53" s="13"/>
      <c r="HSK53" s="13"/>
      <c r="HSL53" s="13"/>
      <c r="HSM53" s="13"/>
      <c r="HSN53" s="13"/>
      <c r="HSO53" s="13"/>
      <c r="HSP53" s="13"/>
      <c r="HSQ53" s="13"/>
      <c r="HSR53" s="13"/>
      <c r="HSS53" s="13"/>
      <c r="HST53" s="13"/>
      <c r="HSU53" s="13"/>
      <c r="HSV53" s="13"/>
      <c r="HSW53" s="13"/>
      <c r="HSX53" s="13"/>
      <c r="HSY53" s="13"/>
      <c r="HSZ53" s="13"/>
      <c r="HTA53" s="13"/>
      <c r="HTB53" s="13"/>
      <c r="HTC53" s="13"/>
      <c r="HTD53" s="13"/>
      <c r="HTE53" s="13"/>
      <c r="HTF53" s="13"/>
      <c r="HTG53" s="13"/>
      <c r="HTH53" s="13"/>
      <c r="HTI53" s="13"/>
      <c r="HTJ53" s="13"/>
      <c r="HTK53" s="13"/>
      <c r="HTL53" s="13"/>
      <c r="HTM53" s="13"/>
      <c r="HTN53" s="13"/>
      <c r="HTO53" s="13"/>
      <c r="HTP53" s="13"/>
      <c r="HTQ53" s="13"/>
      <c r="HTR53" s="13"/>
      <c r="HTS53" s="13"/>
      <c r="HTT53" s="13"/>
      <c r="HTU53" s="13"/>
      <c r="HTV53" s="13"/>
      <c r="HTW53" s="13"/>
      <c r="HTX53" s="13"/>
      <c r="HTY53" s="13"/>
      <c r="HTZ53" s="13"/>
      <c r="HUA53" s="13"/>
      <c r="HUB53" s="13"/>
      <c r="HUC53" s="13"/>
      <c r="HUD53" s="13"/>
      <c r="HUE53" s="13"/>
      <c r="HUF53" s="13"/>
      <c r="HUG53" s="13"/>
      <c r="HUH53" s="13"/>
      <c r="HUI53" s="13"/>
      <c r="HUJ53" s="13"/>
      <c r="HUK53" s="13"/>
      <c r="HUL53" s="13"/>
      <c r="HUM53" s="13"/>
      <c r="HUN53" s="13"/>
      <c r="HUO53" s="13"/>
      <c r="HUP53" s="13"/>
      <c r="HUQ53" s="13"/>
      <c r="HUR53" s="13"/>
      <c r="HUS53" s="13"/>
      <c r="HUT53" s="13"/>
      <c r="HUU53" s="13"/>
      <c r="HUV53" s="13"/>
      <c r="HUW53" s="13"/>
      <c r="HUX53" s="13"/>
      <c r="HUY53" s="13"/>
      <c r="HUZ53" s="13"/>
      <c r="HVA53" s="13"/>
      <c r="HVB53" s="13"/>
      <c r="HVC53" s="13"/>
      <c r="HVD53" s="13"/>
      <c r="HVE53" s="13"/>
      <c r="HVF53" s="13"/>
      <c r="HVG53" s="13"/>
      <c r="HVH53" s="13"/>
      <c r="HVI53" s="13"/>
      <c r="HVJ53" s="13"/>
      <c r="HVK53" s="13"/>
      <c r="HVL53" s="13"/>
      <c r="HVM53" s="13"/>
      <c r="HVN53" s="13"/>
      <c r="HVO53" s="13"/>
      <c r="HVP53" s="13"/>
      <c r="HVQ53" s="13"/>
      <c r="HVR53" s="13"/>
      <c r="HVS53" s="13"/>
      <c r="HVT53" s="13"/>
      <c r="HVU53" s="13"/>
      <c r="HVV53" s="13"/>
      <c r="HVW53" s="13"/>
      <c r="HVX53" s="13"/>
      <c r="HVY53" s="13"/>
      <c r="HVZ53" s="13"/>
      <c r="HWA53" s="13"/>
      <c r="HWB53" s="13"/>
      <c r="HWC53" s="13"/>
      <c r="HWD53" s="13"/>
      <c r="HWE53" s="13"/>
      <c r="HWF53" s="13"/>
      <c r="HWG53" s="13"/>
      <c r="HWH53" s="13"/>
      <c r="HWI53" s="13"/>
      <c r="HWJ53" s="13"/>
      <c r="HWK53" s="13"/>
      <c r="HWL53" s="13"/>
      <c r="HWM53" s="13"/>
      <c r="HWN53" s="13"/>
      <c r="HWO53" s="13"/>
      <c r="HWP53" s="13"/>
      <c r="HWQ53" s="13"/>
      <c r="HWR53" s="13"/>
      <c r="HWS53" s="13"/>
      <c r="HWT53" s="13"/>
      <c r="HWU53" s="13"/>
      <c r="HWV53" s="13"/>
      <c r="HWW53" s="13"/>
      <c r="HWX53" s="13"/>
      <c r="HWY53" s="13"/>
      <c r="HWZ53" s="13"/>
      <c r="HXA53" s="13"/>
      <c r="HXB53" s="13"/>
      <c r="HXC53" s="13"/>
      <c r="HXD53" s="13"/>
      <c r="HXE53" s="13"/>
      <c r="HXF53" s="13"/>
      <c r="HXG53" s="13"/>
      <c r="HXH53" s="13"/>
      <c r="HXI53" s="13"/>
      <c r="HXJ53" s="13"/>
      <c r="HXK53" s="13"/>
      <c r="HXL53" s="13"/>
      <c r="HXM53" s="13"/>
      <c r="HXN53" s="13"/>
      <c r="HXO53" s="13"/>
      <c r="HXP53" s="13"/>
      <c r="HXQ53" s="13"/>
      <c r="HXR53" s="13"/>
      <c r="HXS53" s="13"/>
      <c r="HXT53" s="13"/>
      <c r="HXU53" s="13"/>
      <c r="HXV53" s="13"/>
      <c r="HXW53" s="13"/>
      <c r="HXX53" s="13"/>
      <c r="HXY53" s="13"/>
      <c r="HXZ53" s="13"/>
      <c r="HYA53" s="13"/>
      <c r="HYB53" s="13"/>
      <c r="HYC53" s="13"/>
      <c r="HYD53" s="13"/>
      <c r="HYE53" s="13"/>
      <c r="HYF53" s="13"/>
      <c r="HYG53" s="13"/>
      <c r="HYH53" s="13"/>
      <c r="HYI53" s="13"/>
      <c r="HYJ53" s="13"/>
      <c r="HYK53" s="13"/>
      <c r="HYL53" s="13"/>
      <c r="HYM53" s="13"/>
      <c r="HYN53" s="13"/>
      <c r="HYO53" s="13"/>
      <c r="HYP53" s="13"/>
      <c r="HYQ53" s="13"/>
      <c r="HYR53" s="13"/>
      <c r="HYS53" s="13"/>
      <c r="HYT53" s="13"/>
      <c r="HYU53" s="13"/>
      <c r="HYV53" s="13"/>
      <c r="HYW53" s="13"/>
      <c r="HYX53" s="13"/>
      <c r="HYY53" s="13"/>
      <c r="HYZ53" s="13"/>
      <c r="HZA53" s="13"/>
      <c r="HZB53" s="13"/>
      <c r="HZC53" s="13"/>
      <c r="HZD53" s="13"/>
      <c r="HZE53" s="13"/>
      <c r="HZF53" s="13"/>
      <c r="HZG53" s="13"/>
      <c r="HZH53" s="13"/>
      <c r="HZI53" s="13"/>
      <c r="HZJ53" s="13"/>
      <c r="HZK53" s="13"/>
      <c r="HZL53" s="13"/>
      <c r="HZM53" s="13"/>
      <c r="HZN53" s="13"/>
      <c r="HZO53" s="13"/>
      <c r="HZP53" s="13"/>
      <c r="HZQ53" s="13"/>
      <c r="HZR53" s="13"/>
      <c r="HZS53" s="13"/>
      <c r="HZT53" s="13"/>
      <c r="HZU53" s="13"/>
      <c r="HZV53" s="13"/>
      <c r="HZW53" s="13"/>
      <c r="HZX53" s="13"/>
      <c r="HZY53" s="13"/>
      <c r="HZZ53" s="13"/>
      <c r="IAA53" s="13"/>
      <c r="IAB53" s="13"/>
      <c r="IAC53" s="13"/>
      <c r="IAD53" s="13"/>
      <c r="IAE53" s="13"/>
      <c r="IAF53" s="13"/>
      <c r="IAG53" s="13"/>
      <c r="IAH53" s="13"/>
      <c r="IAI53" s="13"/>
      <c r="IAJ53" s="13"/>
      <c r="IAK53" s="13"/>
      <c r="IAL53" s="13"/>
      <c r="IAM53" s="13"/>
      <c r="IAN53" s="13"/>
      <c r="IAO53" s="13"/>
      <c r="IAP53" s="13"/>
      <c r="IAQ53" s="13"/>
      <c r="IAR53" s="13"/>
      <c r="IAS53" s="13"/>
      <c r="IAT53" s="13"/>
      <c r="IAU53" s="13"/>
      <c r="IAV53" s="13"/>
      <c r="IAW53" s="13"/>
      <c r="IAX53" s="13"/>
      <c r="IAY53" s="13"/>
      <c r="IAZ53" s="13"/>
      <c r="IBA53" s="13"/>
      <c r="IBB53" s="13"/>
      <c r="IBC53" s="13"/>
      <c r="IBD53" s="13"/>
      <c r="IBE53" s="13"/>
      <c r="IBF53" s="13"/>
      <c r="IBG53" s="13"/>
      <c r="IBH53" s="13"/>
      <c r="IBI53" s="13"/>
      <c r="IBJ53" s="13"/>
      <c r="IBK53" s="13"/>
      <c r="IBL53" s="13"/>
      <c r="IBM53" s="13"/>
      <c r="IBN53" s="13"/>
      <c r="IBO53" s="13"/>
      <c r="IBP53" s="13"/>
      <c r="IBQ53" s="13"/>
      <c r="IBR53" s="13"/>
      <c r="IBS53" s="13"/>
      <c r="IBT53" s="13"/>
      <c r="IBU53" s="13"/>
      <c r="IBV53" s="13"/>
      <c r="IBW53" s="13"/>
      <c r="IBX53" s="13"/>
      <c r="IBY53" s="13"/>
      <c r="IBZ53" s="13"/>
      <c r="ICA53" s="13"/>
      <c r="ICB53" s="13"/>
      <c r="ICC53" s="13"/>
      <c r="ICD53" s="13"/>
      <c r="ICE53" s="13"/>
      <c r="ICF53" s="13"/>
      <c r="ICG53" s="13"/>
      <c r="ICH53" s="13"/>
      <c r="ICI53" s="13"/>
      <c r="ICJ53" s="13"/>
      <c r="ICK53" s="13"/>
      <c r="ICL53" s="13"/>
      <c r="ICM53" s="13"/>
      <c r="ICN53" s="13"/>
      <c r="ICO53" s="13"/>
      <c r="ICP53" s="13"/>
      <c r="ICQ53" s="13"/>
      <c r="ICR53" s="13"/>
      <c r="ICS53" s="13"/>
      <c r="ICT53" s="13"/>
      <c r="ICU53" s="13"/>
      <c r="ICV53" s="13"/>
      <c r="ICW53" s="13"/>
      <c r="ICX53" s="13"/>
      <c r="ICY53" s="13"/>
      <c r="ICZ53" s="13"/>
      <c r="IDA53" s="13"/>
      <c r="IDB53" s="13"/>
      <c r="IDC53" s="13"/>
      <c r="IDD53" s="13"/>
      <c r="IDE53" s="13"/>
      <c r="IDF53" s="13"/>
      <c r="IDG53" s="13"/>
      <c r="IDH53" s="13"/>
      <c r="IDI53" s="13"/>
      <c r="IDJ53" s="13"/>
      <c r="IDK53" s="13"/>
      <c r="IDL53" s="13"/>
      <c r="IDM53" s="13"/>
      <c r="IDN53" s="13"/>
      <c r="IDO53" s="13"/>
      <c r="IDP53" s="13"/>
      <c r="IDQ53" s="13"/>
      <c r="IDR53" s="13"/>
      <c r="IDS53" s="13"/>
      <c r="IDT53" s="13"/>
      <c r="IDU53" s="13"/>
      <c r="IDV53" s="13"/>
      <c r="IDW53" s="13"/>
      <c r="IDX53" s="13"/>
      <c r="IDY53" s="13"/>
      <c r="IDZ53" s="13"/>
      <c r="IEA53" s="13"/>
      <c r="IEB53" s="13"/>
      <c r="IEC53" s="13"/>
      <c r="IED53" s="13"/>
      <c r="IEE53" s="13"/>
      <c r="IEF53" s="13"/>
      <c r="IEG53" s="13"/>
      <c r="IEH53" s="13"/>
      <c r="IEI53" s="13"/>
      <c r="IEJ53" s="13"/>
      <c r="IEK53" s="13"/>
      <c r="IEL53" s="13"/>
      <c r="IEM53" s="13"/>
      <c r="IEN53" s="13"/>
      <c r="IEO53" s="13"/>
      <c r="IEP53" s="13"/>
      <c r="IEQ53" s="13"/>
      <c r="IER53" s="13"/>
      <c r="IES53" s="13"/>
      <c r="IET53" s="13"/>
      <c r="IEU53" s="13"/>
      <c r="IEV53" s="13"/>
      <c r="IEW53" s="13"/>
      <c r="IEX53" s="13"/>
      <c r="IEY53" s="13"/>
      <c r="IEZ53" s="13"/>
      <c r="IFA53" s="13"/>
      <c r="IFB53" s="13"/>
      <c r="IFC53" s="13"/>
      <c r="IFD53" s="13"/>
      <c r="IFE53" s="13"/>
      <c r="IFF53" s="13"/>
      <c r="IFG53" s="13"/>
      <c r="IFH53" s="13"/>
      <c r="IFI53" s="13"/>
      <c r="IFJ53" s="13"/>
      <c r="IFK53" s="13"/>
      <c r="IFL53" s="13"/>
      <c r="IFM53" s="13"/>
      <c r="IFN53" s="13"/>
      <c r="IFO53" s="13"/>
      <c r="IFP53" s="13"/>
      <c r="IFQ53" s="13"/>
      <c r="IFR53" s="13"/>
      <c r="IFS53" s="13"/>
      <c r="IFT53" s="13"/>
      <c r="IFU53" s="13"/>
      <c r="IFV53" s="13"/>
      <c r="IFW53" s="13"/>
      <c r="IFX53" s="13"/>
      <c r="IFY53" s="13"/>
      <c r="IFZ53" s="13"/>
      <c r="IGA53" s="13"/>
      <c r="IGB53" s="13"/>
      <c r="IGC53" s="13"/>
      <c r="IGD53" s="13"/>
      <c r="IGE53" s="13"/>
      <c r="IGF53" s="13"/>
      <c r="IGG53" s="13"/>
      <c r="IGH53" s="13"/>
      <c r="IGI53" s="13"/>
      <c r="IGJ53" s="13"/>
      <c r="IGK53" s="13"/>
      <c r="IGL53" s="13"/>
      <c r="IGM53" s="13"/>
      <c r="IGN53" s="13"/>
      <c r="IGO53" s="13"/>
      <c r="IGP53" s="13"/>
      <c r="IGQ53" s="13"/>
      <c r="IGR53" s="13"/>
      <c r="IGS53" s="13"/>
      <c r="IGT53" s="13"/>
      <c r="IGU53" s="13"/>
      <c r="IGV53" s="13"/>
      <c r="IGW53" s="13"/>
      <c r="IGX53" s="13"/>
      <c r="IGY53" s="13"/>
      <c r="IGZ53" s="13"/>
      <c r="IHA53" s="13"/>
      <c r="IHB53" s="13"/>
      <c r="IHC53" s="13"/>
      <c r="IHD53" s="13"/>
      <c r="IHE53" s="13"/>
      <c r="IHF53" s="13"/>
      <c r="IHG53" s="13"/>
      <c r="IHH53" s="13"/>
      <c r="IHI53" s="13"/>
      <c r="IHJ53" s="13"/>
      <c r="IHK53" s="13"/>
      <c r="IHL53" s="13"/>
      <c r="IHM53" s="13"/>
      <c r="IHN53" s="13"/>
      <c r="IHO53" s="13"/>
      <c r="IHP53" s="13"/>
      <c r="IHQ53" s="13"/>
      <c r="IHR53" s="13"/>
      <c r="IHS53" s="13"/>
      <c r="IHT53" s="13"/>
      <c r="IHU53" s="13"/>
      <c r="IHV53" s="13"/>
      <c r="IHW53" s="13"/>
      <c r="IHX53" s="13"/>
      <c r="IHY53" s="13"/>
      <c r="IHZ53" s="13"/>
      <c r="IIA53" s="13"/>
      <c r="IIB53" s="13"/>
      <c r="IIC53" s="13"/>
      <c r="IID53" s="13"/>
      <c r="IIE53" s="13"/>
      <c r="IIF53" s="13"/>
      <c r="IIG53" s="13"/>
      <c r="IIH53" s="13"/>
      <c r="III53" s="13"/>
      <c r="IIJ53" s="13"/>
      <c r="IIK53" s="13"/>
      <c r="IIL53" s="13"/>
      <c r="IIM53" s="13"/>
      <c r="IIN53" s="13"/>
      <c r="IIO53" s="13"/>
      <c r="IIP53" s="13"/>
      <c r="IIQ53" s="13"/>
      <c r="IIR53" s="13"/>
      <c r="IIS53" s="13"/>
      <c r="IIT53" s="13"/>
      <c r="IIU53" s="13"/>
      <c r="IIV53" s="13"/>
      <c r="IIW53" s="13"/>
      <c r="IIX53" s="13"/>
      <c r="IIY53" s="13"/>
      <c r="IIZ53" s="13"/>
      <c r="IJA53" s="13"/>
      <c r="IJB53" s="13"/>
      <c r="IJC53" s="13"/>
      <c r="IJD53" s="13"/>
      <c r="IJE53" s="13"/>
      <c r="IJF53" s="13"/>
      <c r="IJG53" s="13"/>
      <c r="IJH53" s="13"/>
      <c r="IJI53" s="13"/>
      <c r="IJJ53" s="13"/>
      <c r="IJK53" s="13"/>
      <c r="IJL53" s="13"/>
      <c r="IJM53" s="13"/>
      <c r="IJN53" s="13"/>
      <c r="IJO53" s="13"/>
      <c r="IJP53" s="13"/>
      <c r="IJQ53" s="13"/>
      <c r="IJR53" s="13"/>
      <c r="IJS53" s="13"/>
      <c r="IJT53" s="13"/>
      <c r="IJU53" s="13"/>
      <c r="IJV53" s="13"/>
      <c r="IJW53" s="13"/>
      <c r="IJX53" s="13"/>
      <c r="IJY53" s="13"/>
      <c r="IJZ53" s="13"/>
      <c r="IKA53" s="13"/>
      <c r="IKB53" s="13"/>
      <c r="IKC53" s="13"/>
      <c r="IKD53" s="13"/>
      <c r="IKE53" s="13"/>
      <c r="IKF53" s="13"/>
      <c r="IKG53" s="13"/>
      <c r="IKH53" s="13"/>
      <c r="IKI53" s="13"/>
      <c r="IKJ53" s="13"/>
      <c r="IKK53" s="13"/>
      <c r="IKL53" s="13"/>
      <c r="IKM53" s="13"/>
      <c r="IKN53" s="13"/>
      <c r="IKO53" s="13"/>
      <c r="IKP53" s="13"/>
      <c r="IKQ53" s="13"/>
      <c r="IKR53" s="13"/>
      <c r="IKS53" s="13"/>
      <c r="IKT53" s="13"/>
      <c r="IKU53" s="13"/>
      <c r="IKV53" s="13"/>
      <c r="IKW53" s="13"/>
      <c r="IKX53" s="13"/>
      <c r="IKY53" s="13"/>
      <c r="IKZ53" s="13"/>
      <c r="ILA53" s="13"/>
      <c r="ILB53" s="13"/>
      <c r="ILC53" s="13"/>
      <c r="ILD53" s="13"/>
      <c r="ILE53" s="13"/>
      <c r="ILF53" s="13"/>
      <c r="ILG53" s="13"/>
      <c r="ILH53" s="13"/>
      <c r="ILI53" s="13"/>
      <c r="ILJ53" s="13"/>
      <c r="ILK53" s="13"/>
      <c r="ILL53" s="13"/>
      <c r="ILM53" s="13"/>
      <c r="ILN53" s="13"/>
      <c r="ILO53" s="13"/>
      <c r="ILP53" s="13"/>
      <c r="ILQ53" s="13"/>
      <c r="ILR53" s="13"/>
      <c r="ILS53" s="13"/>
      <c r="ILT53" s="13"/>
      <c r="ILU53" s="13"/>
      <c r="ILV53" s="13"/>
      <c r="ILW53" s="13"/>
      <c r="ILX53" s="13"/>
      <c r="ILY53" s="13"/>
      <c r="ILZ53" s="13"/>
      <c r="IMA53" s="13"/>
      <c r="IMB53" s="13"/>
      <c r="IMC53" s="13"/>
      <c r="IMD53" s="13"/>
      <c r="IME53" s="13"/>
      <c r="IMF53" s="13"/>
      <c r="IMG53" s="13"/>
      <c r="IMH53" s="13"/>
      <c r="IMI53" s="13"/>
      <c r="IMJ53" s="13"/>
      <c r="IMK53" s="13"/>
      <c r="IML53" s="13"/>
      <c r="IMM53" s="13"/>
      <c r="IMN53" s="13"/>
      <c r="IMO53" s="13"/>
      <c r="IMP53" s="13"/>
      <c r="IMQ53" s="13"/>
      <c r="IMR53" s="13"/>
      <c r="IMS53" s="13"/>
      <c r="IMT53" s="13"/>
      <c r="IMU53" s="13"/>
      <c r="IMV53" s="13"/>
      <c r="IMW53" s="13"/>
      <c r="IMX53" s="13"/>
      <c r="IMY53" s="13"/>
      <c r="IMZ53" s="13"/>
      <c r="INA53" s="13"/>
      <c r="INB53" s="13"/>
      <c r="INC53" s="13"/>
      <c r="IND53" s="13"/>
      <c r="INE53" s="13"/>
      <c r="INF53" s="13"/>
      <c r="ING53" s="13"/>
      <c r="INH53" s="13"/>
      <c r="INI53" s="13"/>
      <c r="INJ53" s="13"/>
      <c r="INK53" s="13"/>
      <c r="INL53" s="13"/>
      <c r="INM53" s="13"/>
      <c r="INN53" s="13"/>
      <c r="INO53" s="13"/>
      <c r="INP53" s="13"/>
      <c r="INQ53" s="13"/>
      <c r="INR53" s="13"/>
      <c r="INS53" s="13"/>
      <c r="INT53" s="13"/>
      <c r="INU53" s="13"/>
      <c r="INV53" s="13"/>
      <c r="INW53" s="13"/>
      <c r="INX53" s="13"/>
      <c r="INY53" s="13"/>
      <c r="INZ53" s="13"/>
      <c r="IOA53" s="13"/>
      <c r="IOB53" s="13"/>
      <c r="IOC53" s="13"/>
      <c r="IOD53" s="13"/>
      <c r="IOE53" s="13"/>
      <c r="IOF53" s="13"/>
      <c r="IOG53" s="13"/>
      <c r="IOH53" s="13"/>
      <c r="IOI53" s="13"/>
      <c r="IOJ53" s="13"/>
      <c r="IOK53" s="13"/>
      <c r="IOL53" s="13"/>
      <c r="IOM53" s="13"/>
      <c r="ION53" s="13"/>
      <c r="IOO53" s="13"/>
      <c r="IOP53" s="13"/>
      <c r="IOQ53" s="13"/>
      <c r="IOR53" s="13"/>
      <c r="IOS53" s="13"/>
      <c r="IOT53" s="13"/>
      <c r="IOU53" s="13"/>
      <c r="IOV53" s="13"/>
      <c r="IOW53" s="13"/>
      <c r="IOX53" s="13"/>
      <c r="IOY53" s="13"/>
      <c r="IOZ53" s="13"/>
      <c r="IPA53" s="13"/>
      <c r="IPB53" s="13"/>
      <c r="IPC53" s="13"/>
      <c r="IPD53" s="13"/>
      <c r="IPE53" s="13"/>
      <c r="IPF53" s="13"/>
      <c r="IPG53" s="13"/>
      <c r="IPH53" s="13"/>
      <c r="IPI53" s="13"/>
      <c r="IPJ53" s="13"/>
      <c r="IPK53" s="13"/>
      <c r="IPL53" s="13"/>
      <c r="IPM53" s="13"/>
      <c r="IPN53" s="13"/>
      <c r="IPO53" s="13"/>
      <c r="IPP53" s="13"/>
      <c r="IPQ53" s="13"/>
      <c r="IPR53" s="13"/>
      <c r="IPS53" s="13"/>
      <c r="IPT53" s="13"/>
      <c r="IPU53" s="13"/>
      <c r="IPV53" s="13"/>
      <c r="IPW53" s="13"/>
      <c r="IPX53" s="13"/>
      <c r="IPY53" s="13"/>
      <c r="IPZ53" s="13"/>
      <c r="IQA53" s="13"/>
      <c r="IQB53" s="13"/>
      <c r="IQC53" s="13"/>
      <c r="IQD53" s="13"/>
      <c r="IQE53" s="13"/>
      <c r="IQF53" s="13"/>
      <c r="IQG53" s="13"/>
      <c r="IQH53" s="13"/>
      <c r="IQI53" s="13"/>
      <c r="IQJ53" s="13"/>
      <c r="IQK53" s="13"/>
      <c r="IQL53" s="13"/>
      <c r="IQM53" s="13"/>
      <c r="IQN53" s="13"/>
      <c r="IQO53" s="13"/>
      <c r="IQP53" s="13"/>
      <c r="IQQ53" s="13"/>
      <c r="IQR53" s="13"/>
      <c r="IQS53" s="13"/>
      <c r="IQT53" s="13"/>
      <c r="IQU53" s="13"/>
      <c r="IQV53" s="13"/>
      <c r="IQW53" s="13"/>
      <c r="IQX53" s="13"/>
      <c r="IQY53" s="13"/>
      <c r="IQZ53" s="13"/>
      <c r="IRA53" s="13"/>
      <c r="IRB53" s="13"/>
      <c r="IRC53" s="13"/>
      <c r="IRD53" s="13"/>
      <c r="IRE53" s="13"/>
      <c r="IRF53" s="13"/>
      <c r="IRG53" s="13"/>
      <c r="IRH53" s="13"/>
      <c r="IRI53" s="13"/>
      <c r="IRJ53" s="13"/>
      <c r="IRK53" s="13"/>
      <c r="IRL53" s="13"/>
      <c r="IRM53" s="13"/>
      <c r="IRN53" s="13"/>
      <c r="IRO53" s="13"/>
      <c r="IRP53" s="13"/>
      <c r="IRQ53" s="13"/>
      <c r="IRR53" s="13"/>
      <c r="IRS53" s="13"/>
      <c r="IRT53" s="13"/>
      <c r="IRU53" s="13"/>
      <c r="IRV53" s="13"/>
      <c r="IRW53" s="13"/>
      <c r="IRX53" s="13"/>
      <c r="IRY53" s="13"/>
      <c r="IRZ53" s="13"/>
      <c r="ISA53" s="13"/>
      <c r="ISB53" s="13"/>
      <c r="ISC53" s="13"/>
      <c r="ISD53" s="13"/>
      <c r="ISE53" s="13"/>
      <c r="ISF53" s="13"/>
      <c r="ISG53" s="13"/>
      <c r="ISH53" s="13"/>
      <c r="ISI53" s="13"/>
      <c r="ISJ53" s="13"/>
      <c r="ISK53" s="13"/>
      <c r="ISL53" s="13"/>
      <c r="ISM53" s="13"/>
      <c r="ISN53" s="13"/>
      <c r="ISO53" s="13"/>
      <c r="ISP53" s="13"/>
      <c r="ISQ53" s="13"/>
      <c r="ISR53" s="13"/>
      <c r="ISS53" s="13"/>
      <c r="IST53" s="13"/>
      <c r="ISU53" s="13"/>
      <c r="ISV53" s="13"/>
      <c r="ISW53" s="13"/>
      <c r="ISX53" s="13"/>
      <c r="ISY53" s="13"/>
      <c r="ISZ53" s="13"/>
      <c r="ITA53" s="13"/>
      <c r="ITB53" s="13"/>
      <c r="ITC53" s="13"/>
      <c r="ITD53" s="13"/>
      <c r="ITE53" s="13"/>
      <c r="ITF53" s="13"/>
      <c r="ITG53" s="13"/>
      <c r="ITH53" s="13"/>
      <c r="ITI53" s="13"/>
      <c r="ITJ53" s="13"/>
      <c r="ITK53" s="13"/>
      <c r="ITL53" s="13"/>
      <c r="ITM53" s="13"/>
      <c r="ITN53" s="13"/>
      <c r="ITO53" s="13"/>
      <c r="ITP53" s="13"/>
      <c r="ITQ53" s="13"/>
      <c r="ITR53" s="13"/>
      <c r="ITS53" s="13"/>
      <c r="ITT53" s="13"/>
      <c r="ITU53" s="13"/>
      <c r="ITV53" s="13"/>
      <c r="ITW53" s="13"/>
      <c r="ITX53" s="13"/>
      <c r="ITY53" s="13"/>
      <c r="ITZ53" s="13"/>
      <c r="IUA53" s="13"/>
      <c r="IUB53" s="13"/>
      <c r="IUC53" s="13"/>
      <c r="IUD53" s="13"/>
      <c r="IUE53" s="13"/>
      <c r="IUF53" s="13"/>
      <c r="IUG53" s="13"/>
      <c r="IUH53" s="13"/>
      <c r="IUI53" s="13"/>
      <c r="IUJ53" s="13"/>
      <c r="IUK53" s="13"/>
      <c r="IUL53" s="13"/>
      <c r="IUM53" s="13"/>
      <c r="IUN53" s="13"/>
      <c r="IUO53" s="13"/>
      <c r="IUP53" s="13"/>
      <c r="IUQ53" s="13"/>
      <c r="IUR53" s="13"/>
      <c r="IUS53" s="13"/>
      <c r="IUT53" s="13"/>
      <c r="IUU53" s="13"/>
      <c r="IUV53" s="13"/>
      <c r="IUW53" s="13"/>
      <c r="IUX53" s="13"/>
      <c r="IUY53" s="13"/>
      <c r="IUZ53" s="13"/>
      <c r="IVA53" s="13"/>
      <c r="IVB53" s="13"/>
      <c r="IVC53" s="13"/>
      <c r="IVD53" s="13"/>
      <c r="IVE53" s="13"/>
      <c r="IVF53" s="13"/>
      <c r="IVG53" s="13"/>
      <c r="IVH53" s="13"/>
      <c r="IVI53" s="13"/>
      <c r="IVJ53" s="13"/>
      <c r="IVK53" s="13"/>
      <c r="IVL53" s="13"/>
      <c r="IVM53" s="13"/>
      <c r="IVN53" s="13"/>
      <c r="IVO53" s="13"/>
      <c r="IVP53" s="13"/>
      <c r="IVQ53" s="13"/>
      <c r="IVR53" s="13"/>
      <c r="IVS53" s="13"/>
      <c r="IVT53" s="13"/>
      <c r="IVU53" s="13"/>
      <c r="IVV53" s="13"/>
      <c r="IVW53" s="13"/>
      <c r="IVX53" s="13"/>
      <c r="IVY53" s="13"/>
      <c r="IVZ53" s="13"/>
      <c r="IWA53" s="13"/>
      <c r="IWB53" s="13"/>
      <c r="IWC53" s="13"/>
      <c r="IWD53" s="13"/>
      <c r="IWE53" s="13"/>
      <c r="IWF53" s="13"/>
      <c r="IWG53" s="13"/>
      <c r="IWH53" s="13"/>
      <c r="IWI53" s="13"/>
      <c r="IWJ53" s="13"/>
      <c r="IWK53" s="13"/>
      <c r="IWL53" s="13"/>
      <c r="IWM53" s="13"/>
      <c r="IWN53" s="13"/>
      <c r="IWO53" s="13"/>
      <c r="IWP53" s="13"/>
      <c r="IWQ53" s="13"/>
      <c r="IWR53" s="13"/>
      <c r="IWS53" s="13"/>
      <c r="IWT53" s="13"/>
      <c r="IWU53" s="13"/>
      <c r="IWV53" s="13"/>
      <c r="IWW53" s="13"/>
      <c r="IWX53" s="13"/>
      <c r="IWY53" s="13"/>
      <c r="IWZ53" s="13"/>
      <c r="IXA53" s="13"/>
      <c r="IXB53" s="13"/>
      <c r="IXC53" s="13"/>
      <c r="IXD53" s="13"/>
      <c r="IXE53" s="13"/>
      <c r="IXF53" s="13"/>
      <c r="IXG53" s="13"/>
      <c r="IXH53" s="13"/>
      <c r="IXI53" s="13"/>
      <c r="IXJ53" s="13"/>
      <c r="IXK53" s="13"/>
      <c r="IXL53" s="13"/>
      <c r="IXM53" s="13"/>
      <c r="IXN53" s="13"/>
      <c r="IXO53" s="13"/>
      <c r="IXP53" s="13"/>
      <c r="IXQ53" s="13"/>
      <c r="IXR53" s="13"/>
      <c r="IXS53" s="13"/>
      <c r="IXT53" s="13"/>
      <c r="IXU53" s="13"/>
      <c r="IXV53" s="13"/>
      <c r="IXW53" s="13"/>
      <c r="IXX53" s="13"/>
      <c r="IXY53" s="13"/>
      <c r="IXZ53" s="13"/>
      <c r="IYA53" s="13"/>
      <c r="IYB53" s="13"/>
      <c r="IYC53" s="13"/>
      <c r="IYD53" s="13"/>
      <c r="IYE53" s="13"/>
      <c r="IYF53" s="13"/>
      <c r="IYG53" s="13"/>
      <c r="IYH53" s="13"/>
      <c r="IYI53" s="13"/>
      <c r="IYJ53" s="13"/>
      <c r="IYK53" s="13"/>
      <c r="IYL53" s="13"/>
      <c r="IYM53" s="13"/>
      <c r="IYN53" s="13"/>
      <c r="IYO53" s="13"/>
      <c r="IYP53" s="13"/>
      <c r="IYQ53" s="13"/>
      <c r="IYR53" s="13"/>
      <c r="IYS53" s="13"/>
      <c r="IYT53" s="13"/>
      <c r="IYU53" s="13"/>
      <c r="IYV53" s="13"/>
      <c r="IYW53" s="13"/>
      <c r="IYX53" s="13"/>
      <c r="IYY53" s="13"/>
      <c r="IYZ53" s="13"/>
      <c r="IZA53" s="13"/>
      <c r="IZB53" s="13"/>
      <c r="IZC53" s="13"/>
      <c r="IZD53" s="13"/>
      <c r="IZE53" s="13"/>
      <c r="IZF53" s="13"/>
      <c r="IZG53" s="13"/>
      <c r="IZH53" s="13"/>
      <c r="IZI53" s="13"/>
      <c r="IZJ53" s="13"/>
      <c r="IZK53" s="13"/>
      <c r="IZL53" s="13"/>
      <c r="IZM53" s="13"/>
      <c r="IZN53" s="13"/>
      <c r="IZO53" s="13"/>
      <c r="IZP53" s="13"/>
      <c r="IZQ53" s="13"/>
      <c r="IZR53" s="13"/>
      <c r="IZS53" s="13"/>
      <c r="IZT53" s="13"/>
      <c r="IZU53" s="13"/>
      <c r="IZV53" s="13"/>
      <c r="IZW53" s="13"/>
      <c r="IZX53" s="13"/>
      <c r="IZY53" s="13"/>
      <c r="IZZ53" s="13"/>
      <c r="JAA53" s="13"/>
      <c r="JAB53" s="13"/>
      <c r="JAC53" s="13"/>
      <c r="JAD53" s="13"/>
      <c r="JAE53" s="13"/>
      <c r="JAF53" s="13"/>
      <c r="JAG53" s="13"/>
      <c r="JAH53" s="13"/>
      <c r="JAI53" s="13"/>
      <c r="JAJ53" s="13"/>
      <c r="JAK53" s="13"/>
      <c r="JAL53" s="13"/>
      <c r="JAM53" s="13"/>
      <c r="JAN53" s="13"/>
      <c r="JAO53" s="13"/>
      <c r="JAP53" s="13"/>
      <c r="JAQ53" s="13"/>
      <c r="JAR53" s="13"/>
      <c r="JAS53" s="13"/>
      <c r="JAT53" s="13"/>
      <c r="JAU53" s="13"/>
      <c r="JAV53" s="13"/>
      <c r="JAW53" s="13"/>
      <c r="JAX53" s="13"/>
      <c r="JAY53" s="13"/>
      <c r="JAZ53" s="13"/>
      <c r="JBA53" s="13"/>
      <c r="JBB53" s="13"/>
      <c r="JBC53" s="13"/>
      <c r="JBD53" s="13"/>
      <c r="JBE53" s="13"/>
      <c r="JBF53" s="13"/>
      <c r="JBG53" s="13"/>
      <c r="JBH53" s="13"/>
      <c r="JBI53" s="13"/>
      <c r="JBJ53" s="13"/>
      <c r="JBK53" s="13"/>
      <c r="JBL53" s="13"/>
      <c r="JBM53" s="13"/>
      <c r="JBN53" s="13"/>
      <c r="JBO53" s="13"/>
      <c r="JBP53" s="13"/>
      <c r="JBQ53" s="13"/>
      <c r="JBR53" s="13"/>
      <c r="JBS53" s="13"/>
      <c r="JBT53" s="13"/>
      <c r="JBU53" s="13"/>
      <c r="JBV53" s="13"/>
      <c r="JBW53" s="13"/>
      <c r="JBX53" s="13"/>
      <c r="JBY53" s="13"/>
      <c r="JBZ53" s="13"/>
      <c r="JCA53" s="13"/>
      <c r="JCB53" s="13"/>
      <c r="JCC53" s="13"/>
      <c r="JCD53" s="13"/>
      <c r="JCE53" s="13"/>
      <c r="JCF53" s="13"/>
      <c r="JCG53" s="13"/>
      <c r="JCH53" s="13"/>
      <c r="JCI53" s="13"/>
      <c r="JCJ53" s="13"/>
      <c r="JCK53" s="13"/>
      <c r="JCL53" s="13"/>
      <c r="JCM53" s="13"/>
      <c r="JCN53" s="13"/>
      <c r="JCO53" s="13"/>
      <c r="JCP53" s="13"/>
      <c r="JCQ53" s="13"/>
      <c r="JCR53" s="13"/>
      <c r="JCS53" s="13"/>
      <c r="JCT53" s="13"/>
      <c r="JCU53" s="13"/>
      <c r="JCV53" s="13"/>
      <c r="JCW53" s="13"/>
      <c r="JCX53" s="13"/>
      <c r="JCY53" s="13"/>
      <c r="JCZ53" s="13"/>
      <c r="JDA53" s="13"/>
      <c r="JDB53" s="13"/>
      <c r="JDC53" s="13"/>
      <c r="JDD53" s="13"/>
      <c r="JDE53" s="13"/>
      <c r="JDF53" s="13"/>
      <c r="JDG53" s="13"/>
      <c r="JDH53" s="13"/>
      <c r="JDI53" s="13"/>
      <c r="JDJ53" s="13"/>
      <c r="JDK53" s="13"/>
      <c r="JDL53" s="13"/>
      <c r="JDM53" s="13"/>
      <c r="JDN53" s="13"/>
      <c r="JDO53" s="13"/>
      <c r="JDP53" s="13"/>
      <c r="JDQ53" s="13"/>
      <c r="JDR53" s="13"/>
      <c r="JDS53" s="13"/>
      <c r="JDT53" s="13"/>
      <c r="JDU53" s="13"/>
      <c r="JDV53" s="13"/>
      <c r="JDW53" s="13"/>
      <c r="JDX53" s="13"/>
      <c r="JDY53" s="13"/>
      <c r="JDZ53" s="13"/>
      <c r="JEA53" s="13"/>
      <c r="JEB53" s="13"/>
      <c r="JEC53" s="13"/>
      <c r="JED53" s="13"/>
      <c r="JEE53" s="13"/>
      <c r="JEF53" s="13"/>
      <c r="JEG53" s="13"/>
      <c r="JEH53" s="13"/>
      <c r="JEI53" s="13"/>
      <c r="JEJ53" s="13"/>
      <c r="JEK53" s="13"/>
      <c r="JEL53" s="13"/>
      <c r="JEM53" s="13"/>
      <c r="JEN53" s="13"/>
      <c r="JEO53" s="13"/>
      <c r="JEP53" s="13"/>
      <c r="JEQ53" s="13"/>
      <c r="JER53" s="13"/>
      <c r="JES53" s="13"/>
      <c r="JET53" s="13"/>
      <c r="JEU53" s="13"/>
      <c r="JEV53" s="13"/>
      <c r="JEW53" s="13"/>
      <c r="JEX53" s="13"/>
      <c r="JEY53" s="13"/>
      <c r="JEZ53" s="13"/>
      <c r="JFA53" s="13"/>
      <c r="JFB53" s="13"/>
      <c r="JFC53" s="13"/>
      <c r="JFD53" s="13"/>
      <c r="JFE53" s="13"/>
      <c r="JFF53" s="13"/>
      <c r="JFG53" s="13"/>
      <c r="JFH53" s="13"/>
      <c r="JFI53" s="13"/>
      <c r="JFJ53" s="13"/>
      <c r="JFK53" s="13"/>
      <c r="JFL53" s="13"/>
      <c r="JFM53" s="13"/>
      <c r="JFN53" s="13"/>
      <c r="JFO53" s="13"/>
      <c r="JFP53" s="13"/>
      <c r="JFQ53" s="13"/>
      <c r="JFR53" s="13"/>
      <c r="JFS53" s="13"/>
      <c r="JFT53" s="13"/>
      <c r="JFU53" s="13"/>
      <c r="JFV53" s="13"/>
      <c r="JFW53" s="13"/>
      <c r="JFX53" s="13"/>
      <c r="JFY53" s="13"/>
      <c r="JFZ53" s="13"/>
      <c r="JGA53" s="13"/>
      <c r="JGB53" s="13"/>
      <c r="JGC53" s="13"/>
      <c r="JGD53" s="13"/>
      <c r="JGE53" s="13"/>
      <c r="JGF53" s="13"/>
      <c r="JGG53" s="13"/>
      <c r="JGH53" s="13"/>
      <c r="JGI53" s="13"/>
      <c r="JGJ53" s="13"/>
      <c r="JGK53" s="13"/>
      <c r="JGL53" s="13"/>
      <c r="JGM53" s="13"/>
      <c r="JGN53" s="13"/>
      <c r="JGO53" s="13"/>
      <c r="JGP53" s="13"/>
      <c r="JGQ53" s="13"/>
      <c r="JGR53" s="13"/>
      <c r="JGS53" s="13"/>
      <c r="JGT53" s="13"/>
      <c r="JGU53" s="13"/>
      <c r="JGV53" s="13"/>
      <c r="JGW53" s="13"/>
      <c r="JGX53" s="13"/>
      <c r="JGY53" s="13"/>
      <c r="JGZ53" s="13"/>
      <c r="JHA53" s="13"/>
      <c r="JHB53" s="13"/>
      <c r="JHC53" s="13"/>
      <c r="JHD53" s="13"/>
      <c r="JHE53" s="13"/>
      <c r="JHF53" s="13"/>
      <c r="JHG53" s="13"/>
      <c r="JHH53" s="13"/>
      <c r="JHI53" s="13"/>
      <c r="JHJ53" s="13"/>
      <c r="JHK53" s="13"/>
      <c r="JHL53" s="13"/>
      <c r="JHM53" s="13"/>
      <c r="JHN53" s="13"/>
      <c r="JHO53" s="13"/>
      <c r="JHP53" s="13"/>
      <c r="JHQ53" s="13"/>
      <c r="JHR53" s="13"/>
      <c r="JHS53" s="13"/>
      <c r="JHT53" s="13"/>
      <c r="JHU53" s="13"/>
      <c r="JHV53" s="13"/>
      <c r="JHW53" s="13"/>
      <c r="JHX53" s="13"/>
      <c r="JHY53" s="13"/>
      <c r="JHZ53" s="13"/>
      <c r="JIA53" s="13"/>
      <c r="JIB53" s="13"/>
      <c r="JIC53" s="13"/>
      <c r="JID53" s="13"/>
      <c r="JIE53" s="13"/>
      <c r="JIF53" s="13"/>
      <c r="JIG53" s="13"/>
      <c r="JIH53" s="13"/>
      <c r="JII53" s="13"/>
      <c r="JIJ53" s="13"/>
      <c r="JIK53" s="13"/>
      <c r="JIL53" s="13"/>
      <c r="JIM53" s="13"/>
      <c r="JIN53" s="13"/>
      <c r="JIO53" s="13"/>
      <c r="JIP53" s="13"/>
      <c r="JIQ53" s="13"/>
      <c r="JIR53" s="13"/>
      <c r="JIS53" s="13"/>
      <c r="JIT53" s="13"/>
      <c r="JIU53" s="13"/>
      <c r="JIV53" s="13"/>
      <c r="JIW53" s="13"/>
      <c r="JIX53" s="13"/>
      <c r="JIY53" s="13"/>
      <c r="JIZ53" s="13"/>
      <c r="JJA53" s="13"/>
      <c r="JJB53" s="13"/>
      <c r="JJC53" s="13"/>
      <c r="JJD53" s="13"/>
      <c r="JJE53" s="13"/>
      <c r="JJF53" s="13"/>
      <c r="JJG53" s="13"/>
      <c r="JJH53" s="13"/>
      <c r="JJI53" s="13"/>
      <c r="JJJ53" s="13"/>
      <c r="JJK53" s="13"/>
      <c r="JJL53" s="13"/>
      <c r="JJM53" s="13"/>
      <c r="JJN53" s="13"/>
      <c r="JJO53" s="13"/>
      <c r="JJP53" s="13"/>
      <c r="JJQ53" s="13"/>
      <c r="JJR53" s="13"/>
      <c r="JJS53" s="13"/>
      <c r="JJT53" s="13"/>
      <c r="JJU53" s="13"/>
      <c r="JJV53" s="13"/>
      <c r="JJW53" s="13"/>
      <c r="JJX53" s="13"/>
      <c r="JJY53" s="13"/>
      <c r="JJZ53" s="13"/>
      <c r="JKA53" s="13"/>
      <c r="JKB53" s="13"/>
      <c r="JKC53" s="13"/>
      <c r="JKD53" s="13"/>
      <c r="JKE53" s="13"/>
      <c r="JKF53" s="13"/>
      <c r="JKG53" s="13"/>
      <c r="JKH53" s="13"/>
      <c r="JKI53" s="13"/>
      <c r="JKJ53" s="13"/>
      <c r="JKK53" s="13"/>
      <c r="JKL53" s="13"/>
      <c r="JKM53" s="13"/>
      <c r="JKN53" s="13"/>
      <c r="JKO53" s="13"/>
      <c r="JKP53" s="13"/>
      <c r="JKQ53" s="13"/>
      <c r="JKR53" s="13"/>
      <c r="JKS53" s="13"/>
      <c r="JKT53" s="13"/>
      <c r="JKU53" s="13"/>
      <c r="JKV53" s="13"/>
      <c r="JKW53" s="13"/>
      <c r="JKX53" s="13"/>
      <c r="JKY53" s="13"/>
      <c r="JKZ53" s="13"/>
      <c r="JLA53" s="13"/>
      <c r="JLB53" s="13"/>
      <c r="JLC53" s="13"/>
      <c r="JLD53" s="13"/>
      <c r="JLE53" s="13"/>
      <c r="JLF53" s="13"/>
      <c r="JLG53" s="13"/>
      <c r="JLH53" s="13"/>
      <c r="JLI53" s="13"/>
      <c r="JLJ53" s="13"/>
      <c r="JLK53" s="13"/>
      <c r="JLL53" s="13"/>
      <c r="JLM53" s="13"/>
      <c r="JLN53" s="13"/>
      <c r="JLO53" s="13"/>
      <c r="JLP53" s="13"/>
      <c r="JLQ53" s="13"/>
      <c r="JLR53" s="13"/>
      <c r="JLS53" s="13"/>
      <c r="JLT53" s="13"/>
      <c r="JLU53" s="13"/>
      <c r="JLV53" s="13"/>
      <c r="JLW53" s="13"/>
      <c r="JLX53" s="13"/>
      <c r="JLY53" s="13"/>
      <c r="JLZ53" s="13"/>
      <c r="JMA53" s="13"/>
      <c r="JMB53" s="13"/>
      <c r="JMC53" s="13"/>
      <c r="JMD53" s="13"/>
      <c r="JME53" s="13"/>
      <c r="JMF53" s="13"/>
      <c r="JMG53" s="13"/>
      <c r="JMH53" s="13"/>
      <c r="JMI53" s="13"/>
      <c r="JMJ53" s="13"/>
      <c r="JMK53" s="13"/>
      <c r="JML53" s="13"/>
      <c r="JMM53" s="13"/>
      <c r="JMN53" s="13"/>
      <c r="JMO53" s="13"/>
      <c r="JMP53" s="13"/>
      <c r="JMQ53" s="13"/>
      <c r="JMR53" s="13"/>
      <c r="JMS53" s="13"/>
      <c r="JMT53" s="13"/>
      <c r="JMU53" s="13"/>
      <c r="JMV53" s="13"/>
      <c r="JMW53" s="13"/>
      <c r="JMX53" s="13"/>
      <c r="JMY53" s="13"/>
      <c r="JMZ53" s="13"/>
      <c r="JNA53" s="13"/>
      <c r="JNB53" s="13"/>
      <c r="JNC53" s="13"/>
      <c r="JND53" s="13"/>
      <c r="JNE53" s="13"/>
      <c r="JNF53" s="13"/>
      <c r="JNG53" s="13"/>
      <c r="JNH53" s="13"/>
      <c r="JNI53" s="13"/>
      <c r="JNJ53" s="13"/>
      <c r="JNK53" s="13"/>
      <c r="JNL53" s="13"/>
      <c r="JNM53" s="13"/>
      <c r="JNN53" s="13"/>
      <c r="JNO53" s="13"/>
      <c r="JNP53" s="13"/>
      <c r="JNQ53" s="13"/>
      <c r="JNR53" s="13"/>
      <c r="JNS53" s="13"/>
      <c r="JNT53" s="13"/>
      <c r="JNU53" s="13"/>
      <c r="JNV53" s="13"/>
      <c r="JNW53" s="13"/>
      <c r="JNX53" s="13"/>
      <c r="JNY53" s="13"/>
      <c r="JNZ53" s="13"/>
      <c r="JOA53" s="13"/>
      <c r="JOB53" s="13"/>
      <c r="JOC53" s="13"/>
      <c r="JOD53" s="13"/>
      <c r="JOE53" s="13"/>
      <c r="JOF53" s="13"/>
      <c r="JOG53" s="13"/>
      <c r="JOH53" s="13"/>
      <c r="JOI53" s="13"/>
      <c r="JOJ53" s="13"/>
      <c r="JOK53" s="13"/>
      <c r="JOL53" s="13"/>
      <c r="JOM53" s="13"/>
      <c r="JON53" s="13"/>
      <c r="JOO53" s="13"/>
      <c r="JOP53" s="13"/>
      <c r="JOQ53" s="13"/>
      <c r="JOR53" s="13"/>
      <c r="JOS53" s="13"/>
      <c r="JOT53" s="13"/>
      <c r="JOU53" s="13"/>
      <c r="JOV53" s="13"/>
      <c r="JOW53" s="13"/>
      <c r="JOX53" s="13"/>
      <c r="JOY53" s="13"/>
      <c r="JOZ53" s="13"/>
      <c r="JPA53" s="13"/>
      <c r="JPB53" s="13"/>
      <c r="JPC53" s="13"/>
      <c r="JPD53" s="13"/>
      <c r="JPE53" s="13"/>
      <c r="JPF53" s="13"/>
      <c r="JPG53" s="13"/>
      <c r="JPH53" s="13"/>
      <c r="JPI53" s="13"/>
      <c r="JPJ53" s="13"/>
      <c r="JPK53" s="13"/>
      <c r="JPL53" s="13"/>
      <c r="JPM53" s="13"/>
      <c r="JPN53" s="13"/>
      <c r="JPO53" s="13"/>
      <c r="JPP53" s="13"/>
      <c r="JPQ53" s="13"/>
      <c r="JPR53" s="13"/>
      <c r="JPS53" s="13"/>
      <c r="JPT53" s="13"/>
      <c r="JPU53" s="13"/>
      <c r="JPV53" s="13"/>
      <c r="JPW53" s="13"/>
      <c r="JPX53" s="13"/>
      <c r="JPY53" s="13"/>
      <c r="JPZ53" s="13"/>
      <c r="JQA53" s="13"/>
      <c r="JQB53" s="13"/>
      <c r="JQC53" s="13"/>
      <c r="JQD53" s="13"/>
      <c r="JQE53" s="13"/>
      <c r="JQF53" s="13"/>
      <c r="JQG53" s="13"/>
      <c r="JQH53" s="13"/>
      <c r="JQI53" s="13"/>
      <c r="JQJ53" s="13"/>
      <c r="JQK53" s="13"/>
      <c r="JQL53" s="13"/>
      <c r="JQM53" s="13"/>
      <c r="JQN53" s="13"/>
      <c r="JQO53" s="13"/>
      <c r="JQP53" s="13"/>
      <c r="JQQ53" s="13"/>
      <c r="JQR53" s="13"/>
      <c r="JQS53" s="13"/>
      <c r="JQT53" s="13"/>
      <c r="JQU53" s="13"/>
      <c r="JQV53" s="13"/>
      <c r="JQW53" s="13"/>
      <c r="JQX53" s="13"/>
      <c r="JQY53" s="13"/>
      <c r="JQZ53" s="13"/>
      <c r="JRA53" s="13"/>
      <c r="JRB53" s="13"/>
      <c r="JRC53" s="13"/>
      <c r="JRD53" s="13"/>
      <c r="JRE53" s="13"/>
      <c r="JRF53" s="13"/>
      <c r="JRG53" s="13"/>
      <c r="JRH53" s="13"/>
      <c r="JRI53" s="13"/>
      <c r="JRJ53" s="13"/>
      <c r="JRK53" s="13"/>
      <c r="JRL53" s="13"/>
      <c r="JRM53" s="13"/>
      <c r="JRN53" s="13"/>
      <c r="JRO53" s="13"/>
      <c r="JRP53" s="13"/>
      <c r="JRQ53" s="13"/>
      <c r="JRR53" s="13"/>
      <c r="JRS53" s="13"/>
      <c r="JRT53" s="13"/>
      <c r="JRU53" s="13"/>
      <c r="JRV53" s="13"/>
      <c r="JRW53" s="13"/>
      <c r="JRX53" s="13"/>
      <c r="JRY53" s="13"/>
      <c r="JRZ53" s="13"/>
      <c r="JSA53" s="13"/>
      <c r="JSB53" s="13"/>
      <c r="JSC53" s="13"/>
      <c r="JSD53" s="13"/>
      <c r="JSE53" s="13"/>
      <c r="JSF53" s="13"/>
      <c r="JSG53" s="13"/>
      <c r="JSH53" s="13"/>
      <c r="JSI53" s="13"/>
      <c r="JSJ53" s="13"/>
      <c r="JSK53" s="13"/>
      <c r="JSL53" s="13"/>
      <c r="JSM53" s="13"/>
      <c r="JSN53" s="13"/>
      <c r="JSO53" s="13"/>
      <c r="JSP53" s="13"/>
      <c r="JSQ53" s="13"/>
      <c r="JSR53" s="13"/>
      <c r="JSS53" s="13"/>
      <c r="JST53" s="13"/>
      <c r="JSU53" s="13"/>
      <c r="JSV53" s="13"/>
      <c r="JSW53" s="13"/>
      <c r="JSX53" s="13"/>
      <c r="JSY53" s="13"/>
      <c r="JSZ53" s="13"/>
      <c r="JTA53" s="13"/>
      <c r="JTB53" s="13"/>
      <c r="JTC53" s="13"/>
      <c r="JTD53" s="13"/>
      <c r="JTE53" s="13"/>
      <c r="JTF53" s="13"/>
      <c r="JTG53" s="13"/>
      <c r="JTH53" s="13"/>
      <c r="JTI53" s="13"/>
      <c r="JTJ53" s="13"/>
      <c r="JTK53" s="13"/>
      <c r="JTL53" s="13"/>
      <c r="JTM53" s="13"/>
      <c r="JTN53" s="13"/>
      <c r="JTO53" s="13"/>
      <c r="JTP53" s="13"/>
      <c r="JTQ53" s="13"/>
      <c r="JTR53" s="13"/>
      <c r="JTS53" s="13"/>
      <c r="JTT53" s="13"/>
      <c r="JTU53" s="13"/>
      <c r="JTV53" s="13"/>
      <c r="JTW53" s="13"/>
      <c r="JTX53" s="13"/>
      <c r="JTY53" s="13"/>
      <c r="JTZ53" s="13"/>
      <c r="JUA53" s="13"/>
      <c r="JUB53" s="13"/>
      <c r="JUC53" s="13"/>
      <c r="JUD53" s="13"/>
      <c r="JUE53" s="13"/>
      <c r="JUF53" s="13"/>
      <c r="JUG53" s="13"/>
      <c r="JUH53" s="13"/>
      <c r="JUI53" s="13"/>
      <c r="JUJ53" s="13"/>
      <c r="JUK53" s="13"/>
      <c r="JUL53" s="13"/>
      <c r="JUM53" s="13"/>
      <c r="JUN53" s="13"/>
      <c r="JUO53" s="13"/>
      <c r="JUP53" s="13"/>
      <c r="JUQ53" s="13"/>
      <c r="JUR53" s="13"/>
      <c r="JUS53" s="13"/>
      <c r="JUT53" s="13"/>
      <c r="JUU53" s="13"/>
      <c r="JUV53" s="13"/>
      <c r="JUW53" s="13"/>
      <c r="JUX53" s="13"/>
      <c r="JUY53" s="13"/>
      <c r="JUZ53" s="13"/>
      <c r="JVA53" s="13"/>
      <c r="JVB53" s="13"/>
      <c r="JVC53" s="13"/>
      <c r="JVD53" s="13"/>
      <c r="JVE53" s="13"/>
      <c r="JVF53" s="13"/>
      <c r="JVG53" s="13"/>
      <c r="JVH53" s="13"/>
      <c r="JVI53" s="13"/>
      <c r="JVJ53" s="13"/>
      <c r="JVK53" s="13"/>
      <c r="JVL53" s="13"/>
      <c r="JVM53" s="13"/>
      <c r="JVN53" s="13"/>
      <c r="JVO53" s="13"/>
      <c r="JVP53" s="13"/>
      <c r="JVQ53" s="13"/>
      <c r="JVR53" s="13"/>
      <c r="JVS53" s="13"/>
      <c r="JVT53" s="13"/>
      <c r="JVU53" s="13"/>
      <c r="JVV53" s="13"/>
      <c r="JVW53" s="13"/>
      <c r="JVX53" s="13"/>
      <c r="JVY53" s="13"/>
      <c r="JVZ53" s="13"/>
      <c r="JWA53" s="13"/>
      <c r="JWB53" s="13"/>
      <c r="JWC53" s="13"/>
      <c r="JWD53" s="13"/>
      <c r="JWE53" s="13"/>
      <c r="JWF53" s="13"/>
      <c r="JWG53" s="13"/>
      <c r="JWH53" s="13"/>
      <c r="JWI53" s="13"/>
      <c r="JWJ53" s="13"/>
      <c r="JWK53" s="13"/>
      <c r="JWL53" s="13"/>
      <c r="JWM53" s="13"/>
      <c r="JWN53" s="13"/>
      <c r="JWO53" s="13"/>
      <c r="JWP53" s="13"/>
      <c r="JWQ53" s="13"/>
      <c r="JWR53" s="13"/>
      <c r="JWS53" s="13"/>
      <c r="JWT53" s="13"/>
      <c r="JWU53" s="13"/>
      <c r="JWV53" s="13"/>
      <c r="JWW53" s="13"/>
      <c r="JWX53" s="13"/>
      <c r="JWY53" s="13"/>
      <c r="JWZ53" s="13"/>
      <c r="JXA53" s="13"/>
      <c r="JXB53" s="13"/>
      <c r="JXC53" s="13"/>
      <c r="JXD53" s="13"/>
      <c r="JXE53" s="13"/>
      <c r="JXF53" s="13"/>
      <c r="JXG53" s="13"/>
      <c r="JXH53" s="13"/>
      <c r="JXI53" s="13"/>
      <c r="JXJ53" s="13"/>
      <c r="JXK53" s="13"/>
      <c r="JXL53" s="13"/>
      <c r="JXM53" s="13"/>
      <c r="JXN53" s="13"/>
      <c r="JXO53" s="13"/>
      <c r="JXP53" s="13"/>
      <c r="JXQ53" s="13"/>
      <c r="JXR53" s="13"/>
      <c r="JXS53" s="13"/>
      <c r="JXT53" s="13"/>
      <c r="JXU53" s="13"/>
      <c r="JXV53" s="13"/>
      <c r="JXW53" s="13"/>
      <c r="JXX53" s="13"/>
      <c r="JXY53" s="13"/>
      <c r="JXZ53" s="13"/>
      <c r="JYA53" s="13"/>
      <c r="JYB53" s="13"/>
      <c r="JYC53" s="13"/>
      <c r="JYD53" s="13"/>
      <c r="JYE53" s="13"/>
      <c r="JYF53" s="13"/>
      <c r="JYG53" s="13"/>
      <c r="JYH53" s="13"/>
      <c r="JYI53" s="13"/>
      <c r="JYJ53" s="13"/>
      <c r="JYK53" s="13"/>
      <c r="JYL53" s="13"/>
      <c r="JYM53" s="13"/>
      <c r="JYN53" s="13"/>
      <c r="JYO53" s="13"/>
      <c r="JYP53" s="13"/>
      <c r="JYQ53" s="13"/>
      <c r="JYR53" s="13"/>
      <c r="JYS53" s="13"/>
      <c r="JYT53" s="13"/>
      <c r="JYU53" s="13"/>
      <c r="JYV53" s="13"/>
      <c r="JYW53" s="13"/>
      <c r="JYX53" s="13"/>
      <c r="JYY53" s="13"/>
      <c r="JYZ53" s="13"/>
      <c r="JZA53" s="13"/>
      <c r="JZB53" s="13"/>
      <c r="JZC53" s="13"/>
      <c r="JZD53" s="13"/>
      <c r="JZE53" s="13"/>
      <c r="JZF53" s="13"/>
      <c r="JZG53" s="13"/>
      <c r="JZH53" s="13"/>
      <c r="JZI53" s="13"/>
      <c r="JZJ53" s="13"/>
      <c r="JZK53" s="13"/>
      <c r="JZL53" s="13"/>
      <c r="JZM53" s="13"/>
      <c r="JZN53" s="13"/>
      <c r="JZO53" s="13"/>
      <c r="JZP53" s="13"/>
      <c r="JZQ53" s="13"/>
      <c r="JZR53" s="13"/>
      <c r="JZS53" s="13"/>
      <c r="JZT53" s="13"/>
      <c r="JZU53" s="13"/>
      <c r="JZV53" s="13"/>
      <c r="JZW53" s="13"/>
      <c r="JZX53" s="13"/>
      <c r="JZY53" s="13"/>
      <c r="JZZ53" s="13"/>
      <c r="KAA53" s="13"/>
      <c r="KAB53" s="13"/>
      <c r="KAC53" s="13"/>
      <c r="KAD53" s="13"/>
      <c r="KAE53" s="13"/>
      <c r="KAF53" s="13"/>
      <c r="KAG53" s="13"/>
      <c r="KAH53" s="13"/>
      <c r="KAI53" s="13"/>
      <c r="KAJ53" s="13"/>
      <c r="KAK53" s="13"/>
      <c r="KAL53" s="13"/>
      <c r="KAM53" s="13"/>
      <c r="KAN53" s="13"/>
      <c r="KAO53" s="13"/>
      <c r="KAP53" s="13"/>
      <c r="KAQ53" s="13"/>
      <c r="KAR53" s="13"/>
      <c r="KAS53" s="13"/>
      <c r="KAT53" s="13"/>
      <c r="KAU53" s="13"/>
      <c r="KAV53" s="13"/>
      <c r="KAW53" s="13"/>
      <c r="KAX53" s="13"/>
      <c r="KAY53" s="13"/>
      <c r="KAZ53" s="13"/>
      <c r="KBA53" s="13"/>
      <c r="KBB53" s="13"/>
      <c r="KBC53" s="13"/>
      <c r="KBD53" s="13"/>
      <c r="KBE53" s="13"/>
      <c r="KBF53" s="13"/>
      <c r="KBG53" s="13"/>
      <c r="KBH53" s="13"/>
      <c r="KBI53" s="13"/>
      <c r="KBJ53" s="13"/>
      <c r="KBK53" s="13"/>
      <c r="KBL53" s="13"/>
      <c r="KBM53" s="13"/>
      <c r="KBN53" s="13"/>
      <c r="KBO53" s="13"/>
      <c r="KBP53" s="13"/>
      <c r="KBQ53" s="13"/>
      <c r="KBR53" s="13"/>
      <c r="KBS53" s="13"/>
      <c r="KBT53" s="13"/>
      <c r="KBU53" s="13"/>
      <c r="KBV53" s="13"/>
      <c r="KBW53" s="13"/>
      <c r="KBX53" s="13"/>
      <c r="KBY53" s="13"/>
      <c r="KBZ53" s="13"/>
      <c r="KCA53" s="13"/>
      <c r="KCB53" s="13"/>
      <c r="KCC53" s="13"/>
      <c r="KCD53" s="13"/>
      <c r="KCE53" s="13"/>
      <c r="KCF53" s="13"/>
      <c r="KCG53" s="13"/>
      <c r="KCH53" s="13"/>
      <c r="KCI53" s="13"/>
      <c r="KCJ53" s="13"/>
      <c r="KCK53" s="13"/>
      <c r="KCL53" s="13"/>
      <c r="KCM53" s="13"/>
      <c r="KCN53" s="13"/>
      <c r="KCO53" s="13"/>
      <c r="KCP53" s="13"/>
      <c r="KCQ53" s="13"/>
      <c r="KCR53" s="13"/>
      <c r="KCS53" s="13"/>
      <c r="KCT53" s="13"/>
      <c r="KCU53" s="13"/>
      <c r="KCV53" s="13"/>
      <c r="KCW53" s="13"/>
      <c r="KCX53" s="13"/>
      <c r="KCY53" s="13"/>
      <c r="KCZ53" s="13"/>
      <c r="KDA53" s="13"/>
      <c r="KDB53" s="13"/>
      <c r="KDC53" s="13"/>
      <c r="KDD53" s="13"/>
      <c r="KDE53" s="13"/>
      <c r="KDF53" s="13"/>
      <c r="KDG53" s="13"/>
      <c r="KDH53" s="13"/>
      <c r="KDI53" s="13"/>
      <c r="KDJ53" s="13"/>
      <c r="KDK53" s="13"/>
      <c r="KDL53" s="13"/>
      <c r="KDM53" s="13"/>
      <c r="KDN53" s="13"/>
      <c r="KDO53" s="13"/>
      <c r="KDP53" s="13"/>
      <c r="KDQ53" s="13"/>
      <c r="KDR53" s="13"/>
      <c r="KDS53" s="13"/>
      <c r="KDT53" s="13"/>
      <c r="KDU53" s="13"/>
      <c r="KDV53" s="13"/>
      <c r="KDW53" s="13"/>
      <c r="KDX53" s="13"/>
      <c r="KDY53" s="13"/>
      <c r="KDZ53" s="13"/>
      <c r="KEA53" s="13"/>
      <c r="KEB53" s="13"/>
      <c r="KEC53" s="13"/>
      <c r="KED53" s="13"/>
      <c r="KEE53" s="13"/>
      <c r="KEF53" s="13"/>
      <c r="KEG53" s="13"/>
      <c r="KEH53" s="13"/>
      <c r="KEI53" s="13"/>
      <c r="KEJ53" s="13"/>
      <c r="KEK53" s="13"/>
      <c r="KEL53" s="13"/>
      <c r="KEM53" s="13"/>
      <c r="KEN53" s="13"/>
      <c r="KEO53" s="13"/>
      <c r="KEP53" s="13"/>
      <c r="KEQ53" s="13"/>
      <c r="KER53" s="13"/>
      <c r="KES53" s="13"/>
      <c r="KET53" s="13"/>
      <c r="KEU53" s="13"/>
      <c r="KEV53" s="13"/>
      <c r="KEW53" s="13"/>
      <c r="KEX53" s="13"/>
      <c r="KEY53" s="13"/>
      <c r="KEZ53" s="13"/>
      <c r="KFA53" s="13"/>
      <c r="KFB53" s="13"/>
      <c r="KFC53" s="13"/>
      <c r="KFD53" s="13"/>
      <c r="KFE53" s="13"/>
      <c r="KFF53" s="13"/>
      <c r="KFG53" s="13"/>
      <c r="KFH53" s="13"/>
      <c r="KFI53" s="13"/>
      <c r="KFJ53" s="13"/>
      <c r="KFK53" s="13"/>
      <c r="KFL53" s="13"/>
      <c r="KFM53" s="13"/>
      <c r="KFN53" s="13"/>
      <c r="KFO53" s="13"/>
      <c r="KFP53" s="13"/>
      <c r="KFQ53" s="13"/>
      <c r="KFR53" s="13"/>
      <c r="KFS53" s="13"/>
      <c r="KFT53" s="13"/>
      <c r="KFU53" s="13"/>
      <c r="KFV53" s="13"/>
      <c r="KFW53" s="13"/>
      <c r="KFX53" s="13"/>
      <c r="KFY53" s="13"/>
      <c r="KFZ53" s="13"/>
      <c r="KGA53" s="13"/>
      <c r="KGB53" s="13"/>
      <c r="KGC53" s="13"/>
      <c r="KGD53" s="13"/>
      <c r="KGE53" s="13"/>
      <c r="KGF53" s="13"/>
      <c r="KGG53" s="13"/>
      <c r="KGH53" s="13"/>
      <c r="KGI53" s="13"/>
      <c r="KGJ53" s="13"/>
      <c r="KGK53" s="13"/>
      <c r="KGL53" s="13"/>
      <c r="KGM53" s="13"/>
      <c r="KGN53" s="13"/>
      <c r="KGO53" s="13"/>
      <c r="KGP53" s="13"/>
      <c r="KGQ53" s="13"/>
      <c r="KGR53" s="13"/>
      <c r="KGS53" s="13"/>
      <c r="KGT53" s="13"/>
      <c r="KGU53" s="13"/>
      <c r="KGV53" s="13"/>
      <c r="KGW53" s="13"/>
      <c r="KGX53" s="13"/>
      <c r="KGY53" s="13"/>
      <c r="KGZ53" s="13"/>
      <c r="KHA53" s="13"/>
      <c r="KHB53" s="13"/>
      <c r="KHC53" s="13"/>
      <c r="KHD53" s="13"/>
      <c r="KHE53" s="13"/>
      <c r="KHF53" s="13"/>
      <c r="KHG53" s="13"/>
      <c r="KHH53" s="13"/>
      <c r="KHI53" s="13"/>
      <c r="KHJ53" s="13"/>
      <c r="KHK53" s="13"/>
      <c r="KHL53" s="13"/>
      <c r="KHM53" s="13"/>
      <c r="KHN53" s="13"/>
      <c r="KHO53" s="13"/>
      <c r="KHP53" s="13"/>
      <c r="KHQ53" s="13"/>
      <c r="KHR53" s="13"/>
      <c r="KHS53" s="13"/>
      <c r="KHT53" s="13"/>
      <c r="KHU53" s="13"/>
      <c r="KHV53" s="13"/>
      <c r="KHW53" s="13"/>
      <c r="KHX53" s="13"/>
      <c r="KHY53" s="13"/>
      <c r="KHZ53" s="13"/>
      <c r="KIA53" s="13"/>
      <c r="KIB53" s="13"/>
      <c r="KIC53" s="13"/>
      <c r="KID53" s="13"/>
      <c r="KIE53" s="13"/>
      <c r="KIF53" s="13"/>
      <c r="KIG53" s="13"/>
      <c r="KIH53" s="13"/>
      <c r="KII53" s="13"/>
      <c r="KIJ53" s="13"/>
      <c r="KIK53" s="13"/>
      <c r="KIL53" s="13"/>
      <c r="KIM53" s="13"/>
      <c r="KIN53" s="13"/>
      <c r="KIO53" s="13"/>
      <c r="KIP53" s="13"/>
      <c r="KIQ53" s="13"/>
      <c r="KIR53" s="13"/>
      <c r="KIS53" s="13"/>
      <c r="KIT53" s="13"/>
      <c r="KIU53" s="13"/>
      <c r="KIV53" s="13"/>
      <c r="KIW53" s="13"/>
      <c r="KIX53" s="13"/>
      <c r="KIY53" s="13"/>
      <c r="KIZ53" s="13"/>
      <c r="KJA53" s="13"/>
      <c r="KJB53" s="13"/>
      <c r="KJC53" s="13"/>
      <c r="KJD53" s="13"/>
      <c r="KJE53" s="13"/>
      <c r="KJF53" s="13"/>
      <c r="KJG53" s="13"/>
      <c r="KJH53" s="13"/>
      <c r="KJI53" s="13"/>
      <c r="KJJ53" s="13"/>
      <c r="KJK53" s="13"/>
      <c r="KJL53" s="13"/>
      <c r="KJM53" s="13"/>
      <c r="KJN53" s="13"/>
      <c r="KJO53" s="13"/>
      <c r="KJP53" s="13"/>
      <c r="KJQ53" s="13"/>
      <c r="KJR53" s="13"/>
      <c r="KJS53" s="13"/>
      <c r="KJT53" s="13"/>
      <c r="KJU53" s="13"/>
      <c r="KJV53" s="13"/>
      <c r="KJW53" s="13"/>
      <c r="KJX53" s="13"/>
      <c r="KJY53" s="13"/>
      <c r="KJZ53" s="13"/>
      <c r="KKA53" s="13"/>
      <c r="KKB53" s="13"/>
      <c r="KKC53" s="13"/>
      <c r="KKD53" s="13"/>
      <c r="KKE53" s="13"/>
      <c r="KKF53" s="13"/>
      <c r="KKG53" s="13"/>
      <c r="KKH53" s="13"/>
      <c r="KKI53" s="13"/>
      <c r="KKJ53" s="13"/>
      <c r="KKK53" s="13"/>
      <c r="KKL53" s="13"/>
      <c r="KKM53" s="13"/>
      <c r="KKN53" s="13"/>
      <c r="KKO53" s="13"/>
      <c r="KKP53" s="13"/>
      <c r="KKQ53" s="13"/>
      <c r="KKR53" s="13"/>
      <c r="KKS53" s="13"/>
      <c r="KKT53" s="13"/>
      <c r="KKU53" s="13"/>
      <c r="KKV53" s="13"/>
      <c r="KKW53" s="13"/>
      <c r="KKX53" s="13"/>
      <c r="KKY53" s="13"/>
      <c r="KKZ53" s="13"/>
      <c r="KLA53" s="13"/>
      <c r="KLB53" s="13"/>
      <c r="KLC53" s="13"/>
      <c r="KLD53" s="13"/>
      <c r="KLE53" s="13"/>
      <c r="KLF53" s="13"/>
      <c r="KLG53" s="13"/>
      <c r="KLH53" s="13"/>
      <c r="KLI53" s="13"/>
      <c r="KLJ53" s="13"/>
      <c r="KLK53" s="13"/>
      <c r="KLL53" s="13"/>
      <c r="KLM53" s="13"/>
      <c r="KLN53" s="13"/>
      <c r="KLO53" s="13"/>
      <c r="KLP53" s="13"/>
      <c r="KLQ53" s="13"/>
      <c r="KLR53" s="13"/>
      <c r="KLS53" s="13"/>
      <c r="KLT53" s="13"/>
      <c r="KLU53" s="13"/>
      <c r="KLV53" s="13"/>
      <c r="KLW53" s="13"/>
      <c r="KLX53" s="13"/>
      <c r="KLY53" s="13"/>
      <c r="KLZ53" s="13"/>
      <c r="KMA53" s="13"/>
      <c r="KMB53" s="13"/>
      <c r="KMC53" s="13"/>
      <c r="KMD53" s="13"/>
      <c r="KME53" s="13"/>
      <c r="KMF53" s="13"/>
      <c r="KMG53" s="13"/>
      <c r="KMH53" s="13"/>
      <c r="KMI53" s="13"/>
      <c r="KMJ53" s="13"/>
      <c r="KMK53" s="13"/>
      <c r="KML53" s="13"/>
      <c r="KMM53" s="13"/>
      <c r="KMN53" s="13"/>
      <c r="KMO53" s="13"/>
      <c r="KMP53" s="13"/>
      <c r="KMQ53" s="13"/>
      <c r="KMR53" s="13"/>
      <c r="KMS53" s="13"/>
      <c r="KMT53" s="13"/>
      <c r="KMU53" s="13"/>
      <c r="KMV53" s="13"/>
      <c r="KMW53" s="13"/>
      <c r="KMX53" s="13"/>
      <c r="KMY53" s="13"/>
      <c r="KMZ53" s="13"/>
      <c r="KNA53" s="13"/>
      <c r="KNB53" s="13"/>
      <c r="KNC53" s="13"/>
      <c r="KND53" s="13"/>
      <c r="KNE53" s="13"/>
      <c r="KNF53" s="13"/>
      <c r="KNG53" s="13"/>
      <c r="KNH53" s="13"/>
      <c r="KNI53" s="13"/>
      <c r="KNJ53" s="13"/>
      <c r="KNK53" s="13"/>
      <c r="KNL53" s="13"/>
      <c r="KNM53" s="13"/>
      <c r="KNN53" s="13"/>
      <c r="KNO53" s="13"/>
      <c r="KNP53" s="13"/>
      <c r="KNQ53" s="13"/>
      <c r="KNR53" s="13"/>
      <c r="KNS53" s="13"/>
      <c r="KNT53" s="13"/>
      <c r="KNU53" s="13"/>
      <c r="KNV53" s="13"/>
      <c r="KNW53" s="13"/>
      <c r="KNX53" s="13"/>
      <c r="KNY53" s="13"/>
      <c r="KNZ53" s="13"/>
      <c r="KOA53" s="13"/>
      <c r="KOB53" s="13"/>
      <c r="KOC53" s="13"/>
      <c r="KOD53" s="13"/>
      <c r="KOE53" s="13"/>
      <c r="KOF53" s="13"/>
      <c r="KOG53" s="13"/>
      <c r="KOH53" s="13"/>
      <c r="KOI53" s="13"/>
      <c r="KOJ53" s="13"/>
      <c r="KOK53" s="13"/>
      <c r="KOL53" s="13"/>
      <c r="KOM53" s="13"/>
      <c r="KON53" s="13"/>
      <c r="KOO53" s="13"/>
      <c r="KOP53" s="13"/>
      <c r="KOQ53" s="13"/>
      <c r="KOR53" s="13"/>
      <c r="KOS53" s="13"/>
      <c r="KOT53" s="13"/>
      <c r="KOU53" s="13"/>
      <c r="KOV53" s="13"/>
      <c r="KOW53" s="13"/>
      <c r="KOX53" s="13"/>
      <c r="KOY53" s="13"/>
      <c r="KOZ53" s="13"/>
      <c r="KPA53" s="13"/>
      <c r="KPB53" s="13"/>
      <c r="KPC53" s="13"/>
      <c r="KPD53" s="13"/>
      <c r="KPE53" s="13"/>
      <c r="KPF53" s="13"/>
      <c r="KPG53" s="13"/>
      <c r="KPH53" s="13"/>
      <c r="KPI53" s="13"/>
      <c r="KPJ53" s="13"/>
      <c r="KPK53" s="13"/>
      <c r="KPL53" s="13"/>
      <c r="KPM53" s="13"/>
      <c r="KPN53" s="13"/>
      <c r="KPO53" s="13"/>
      <c r="KPP53" s="13"/>
      <c r="KPQ53" s="13"/>
      <c r="KPR53" s="13"/>
      <c r="KPS53" s="13"/>
      <c r="KPT53" s="13"/>
      <c r="KPU53" s="13"/>
      <c r="KPV53" s="13"/>
      <c r="KPW53" s="13"/>
      <c r="KPX53" s="13"/>
      <c r="KPY53" s="13"/>
      <c r="KPZ53" s="13"/>
      <c r="KQA53" s="13"/>
      <c r="KQB53" s="13"/>
      <c r="KQC53" s="13"/>
      <c r="KQD53" s="13"/>
      <c r="KQE53" s="13"/>
      <c r="KQF53" s="13"/>
      <c r="KQG53" s="13"/>
      <c r="KQH53" s="13"/>
      <c r="KQI53" s="13"/>
      <c r="KQJ53" s="13"/>
      <c r="KQK53" s="13"/>
      <c r="KQL53" s="13"/>
      <c r="KQM53" s="13"/>
      <c r="KQN53" s="13"/>
      <c r="KQO53" s="13"/>
      <c r="KQP53" s="13"/>
      <c r="KQQ53" s="13"/>
      <c r="KQR53" s="13"/>
      <c r="KQS53" s="13"/>
      <c r="KQT53" s="13"/>
      <c r="KQU53" s="13"/>
      <c r="KQV53" s="13"/>
      <c r="KQW53" s="13"/>
      <c r="KQX53" s="13"/>
      <c r="KQY53" s="13"/>
      <c r="KQZ53" s="13"/>
      <c r="KRA53" s="13"/>
      <c r="KRB53" s="13"/>
      <c r="KRC53" s="13"/>
      <c r="KRD53" s="13"/>
      <c r="KRE53" s="13"/>
      <c r="KRF53" s="13"/>
      <c r="KRG53" s="13"/>
      <c r="KRH53" s="13"/>
      <c r="KRI53" s="13"/>
      <c r="KRJ53" s="13"/>
      <c r="KRK53" s="13"/>
      <c r="KRL53" s="13"/>
      <c r="KRM53" s="13"/>
      <c r="KRN53" s="13"/>
      <c r="KRO53" s="13"/>
      <c r="KRP53" s="13"/>
      <c r="KRQ53" s="13"/>
      <c r="KRR53" s="13"/>
      <c r="KRS53" s="13"/>
      <c r="KRT53" s="13"/>
      <c r="KRU53" s="13"/>
      <c r="KRV53" s="13"/>
      <c r="KRW53" s="13"/>
      <c r="KRX53" s="13"/>
      <c r="KRY53" s="13"/>
      <c r="KRZ53" s="13"/>
      <c r="KSA53" s="13"/>
      <c r="KSB53" s="13"/>
      <c r="KSC53" s="13"/>
      <c r="KSD53" s="13"/>
      <c r="KSE53" s="13"/>
      <c r="KSF53" s="13"/>
      <c r="KSG53" s="13"/>
      <c r="KSH53" s="13"/>
      <c r="KSI53" s="13"/>
      <c r="KSJ53" s="13"/>
      <c r="KSK53" s="13"/>
      <c r="KSL53" s="13"/>
      <c r="KSM53" s="13"/>
      <c r="KSN53" s="13"/>
      <c r="KSO53" s="13"/>
      <c r="KSP53" s="13"/>
      <c r="KSQ53" s="13"/>
      <c r="KSR53" s="13"/>
      <c r="KSS53" s="13"/>
      <c r="KST53" s="13"/>
      <c r="KSU53" s="13"/>
      <c r="KSV53" s="13"/>
      <c r="KSW53" s="13"/>
      <c r="KSX53" s="13"/>
      <c r="KSY53" s="13"/>
      <c r="KSZ53" s="13"/>
      <c r="KTA53" s="13"/>
      <c r="KTB53" s="13"/>
      <c r="KTC53" s="13"/>
      <c r="KTD53" s="13"/>
      <c r="KTE53" s="13"/>
      <c r="KTF53" s="13"/>
      <c r="KTG53" s="13"/>
      <c r="KTH53" s="13"/>
      <c r="KTI53" s="13"/>
      <c r="KTJ53" s="13"/>
      <c r="KTK53" s="13"/>
      <c r="KTL53" s="13"/>
      <c r="KTM53" s="13"/>
      <c r="KTN53" s="13"/>
      <c r="KTO53" s="13"/>
      <c r="KTP53" s="13"/>
      <c r="KTQ53" s="13"/>
      <c r="KTR53" s="13"/>
      <c r="KTS53" s="13"/>
      <c r="KTT53" s="13"/>
      <c r="KTU53" s="13"/>
      <c r="KTV53" s="13"/>
      <c r="KTW53" s="13"/>
      <c r="KTX53" s="13"/>
      <c r="KTY53" s="13"/>
      <c r="KTZ53" s="13"/>
      <c r="KUA53" s="13"/>
      <c r="KUB53" s="13"/>
      <c r="KUC53" s="13"/>
      <c r="KUD53" s="13"/>
      <c r="KUE53" s="13"/>
      <c r="KUF53" s="13"/>
      <c r="KUG53" s="13"/>
      <c r="KUH53" s="13"/>
      <c r="KUI53" s="13"/>
      <c r="KUJ53" s="13"/>
      <c r="KUK53" s="13"/>
      <c r="KUL53" s="13"/>
      <c r="KUM53" s="13"/>
      <c r="KUN53" s="13"/>
      <c r="KUO53" s="13"/>
      <c r="KUP53" s="13"/>
      <c r="KUQ53" s="13"/>
      <c r="KUR53" s="13"/>
      <c r="KUS53" s="13"/>
      <c r="KUT53" s="13"/>
      <c r="KUU53" s="13"/>
      <c r="KUV53" s="13"/>
      <c r="KUW53" s="13"/>
      <c r="KUX53" s="13"/>
      <c r="KUY53" s="13"/>
      <c r="KUZ53" s="13"/>
      <c r="KVA53" s="13"/>
      <c r="KVB53" s="13"/>
      <c r="KVC53" s="13"/>
      <c r="KVD53" s="13"/>
      <c r="KVE53" s="13"/>
      <c r="KVF53" s="13"/>
      <c r="KVG53" s="13"/>
      <c r="KVH53" s="13"/>
      <c r="KVI53" s="13"/>
      <c r="KVJ53" s="13"/>
      <c r="KVK53" s="13"/>
      <c r="KVL53" s="13"/>
      <c r="KVM53" s="13"/>
      <c r="KVN53" s="13"/>
      <c r="KVO53" s="13"/>
      <c r="KVP53" s="13"/>
      <c r="KVQ53" s="13"/>
      <c r="KVR53" s="13"/>
      <c r="KVS53" s="13"/>
      <c r="KVT53" s="13"/>
      <c r="KVU53" s="13"/>
      <c r="KVV53" s="13"/>
      <c r="KVW53" s="13"/>
      <c r="KVX53" s="13"/>
      <c r="KVY53" s="13"/>
      <c r="KVZ53" s="13"/>
      <c r="KWA53" s="13"/>
      <c r="KWB53" s="13"/>
      <c r="KWC53" s="13"/>
      <c r="KWD53" s="13"/>
      <c r="KWE53" s="13"/>
      <c r="KWF53" s="13"/>
      <c r="KWG53" s="13"/>
      <c r="KWH53" s="13"/>
      <c r="KWI53" s="13"/>
      <c r="KWJ53" s="13"/>
      <c r="KWK53" s="13"/>
      <c r="KWL53" s="13"/>
      <c r="KWM53" s="13"/>
      <c r="KWN53" s="13"/>
      <c r="KWO53" s="13"/>
      <c r="KWP53" s="13"/>
      <c r="KWQ53" s="13"/>
      <c r="KWR53" s="13"/>
      <c r="KWS53" s="13"/>
      <c r="KWT53" s="13"/>
      <c r="KWU53" s="13"/>
      <c r="KWV53" s="13"/>
      <c r="KWW53" s="13"/>
      <c r="KWX53" s="13"/>
      <c r="KWY53" s="13"/>
      <c r="KWZ53" s="13"/>
      <c r="KXA53" s="13"/>
      <c r="KXB53" s="13"/>
      <c r="KXC53" s="13"/>
      <c r="KXD53" s="13"/>
      <c r="KXE53" s="13"/>
      <c r="KXF53" s="13"/>
      <c r="KXG53" s="13"/>
      <c r="KXH53" s="13"/>
      <c r="KXI53" s="13"/>
      <c r="KXJ53" s="13"/>
      <c r="KXK53" s="13"/>
      <c r="KXL53" s="13"/>
      <c r="KXM53" s="13"/>
      <c r="KXN53" s="13"/>
      <c r="KXO53" s="13"/>
      <c r="KXP53" s="13"/>
      <c r="KXQ53" s="13"/>
      <c r="KXR53" s="13"/>
      <c r="KXS53" s="13"/>
      <c r="KXT53" s="13"/>
      <c r="KXU53" s="13"/>
      <c r="KXV53" s="13"/>
      <c r="KXW53" s="13"/>
      <c r="KXX53" s="13"/>
      <c r="KXY53" s="13"/>
      <c r="KXZ53" s="13"/>
      <c r="KYA53" s="13"/>
      <c r="KYB53" s="13"/>
      <c r="KYC53" s="13"/>
      <c r="KYD53" s="13"/>
      <c r="KYE53" s="13"/>
      <c r="KYF53" s="13"/>
      <c r="KYG53" s="13"/>
      <c r="KYH53" s="13"/>
      <c r="KYI53" s="13"/>
      <c r="KYJ53" s="13"/>
      <c r="KYK53" s="13"/>
      <c r="KYL53" s="13"/>
      <c r="KYM53" s="13"/>
      <c r="KYN53" s="13"/>
      <c r="KYO53" s="13"/>
      <c r="KYP53" s="13"/>
      <c r="KYQ53" s="13"/>
      <c r="KYR53" s="13"/>
      <c r="KYS53" s="13"/>
      <c r="KYT53" s="13"/>
      <c r="KYU53" s="13"/>
      <c r="KYV53" s="13"/>
      <c r="KYW53" s="13"/>
      <c r="KYX53" s="13"/>
      <c r="KYY53" s="13"/>
      <c r="KYZ53" s="13"/>
      <c r="KZA53" s="13"/>
      <c r="KZB53" s="13"/>
      <c r="KZC53" s="13"/>
      <c r="KZD53" s="13"/>
      <c r="KZE53" s="13"/>
      <c r="KZF53" s="13"/>
      <c r="KZG53" s="13"/>
      <c r="KZH53" s="13"/>
      <c r="KZI53" s="13"/>
      <c r="KZJ53" s="13"/>
      <c r="KZK53" s="13"/>
      <c r="KZL53" s="13"/>
      <c r="KZM53" s="13"/>
      <c r="KZN53" s="13"/>
      <c r="KZO53" s="13"/>
      <c r="KZP53" s="13"/>
      <c r="KZQ53" s="13"/>
      <c r="KZR53" s="13"/>
      <c r="KZS53" s="13"/>
      <c r="KZT53" s="13"/>
      <c r="KZU53" s="13"/>
      <c r="KZV53" s="13"/>
      <c r="KZW53" s="13"/>
      <c r="KZX53" s="13"/>
      <c r="KZY53" s="13"/>
      <c r="KZZ53" s="13"/>
      <c r="LAA53" s="13"/>
      <c r="LAB53" s="13"/>
      <c r="LAC53" s="13"/>
      <c r="LAD53" s="13"/>
      <c r="LAE53" s="13"/>
      <c r="LAF53" s="13"/>
      <c r="LAG53" s="13"/>
      <c r="LAH53" s="13"/>
      <c r="LAI53" s="13"/>
      <c r="LAJ53" s="13"/>
      <c r="LAK53" s="13"/>
      <c r="LAL53" s="13"/>
      <c r="LAM53" s="13"/>
      <c r="LAN53" s="13"/>
      <c r="LAO53" s="13"/>
      <c r="LAP53" s="13"/>
      <c r="LAQ53" s="13"/>
      <c r="LAR53" s="13"/>
      <c r="LAS53" s="13"/>
      <c r="LAT53" s="13"/>
      <c r="LAU53" s="13"/>
      <c r="LAV53" s="13"/>
      <c r="LAW53" s="13"/>
      <c r="LAX53" s="13"/>
      <c r="LAY53" s="13"/>
      <c r="LAZ53" s="13"/>
      <c r="LBA53" s="13"/>
      <c r="LBB53" s="13"/>
      <c r="LBC53" s="13"/>
      <c r="LBD53" s="13"/>
      <c r="LBE53" s="13"/>
      <c r="LBF53" s="13"/>
      <c r="LBG53" s="13"/>
      <c r="LBH53" s="13"/>
      <c r="LBI53" s="13"/>
      <c r="LBJ53" s="13"/>
      <c r="LBK53" s="13"/>
      <c r="LBL53" s="13"/>
      <c r="LBM53" s="13"/>
      <c r="LBN53" s="13"/>
      <c r="LBO53" s="13"/>
      <c r="LBP53" s="13"/>
      <c r="LBQ53" s="13"/>
      <c r="LBR53" s="13"/>
      <c r="LBS53" s="13"/>
      <c r="LBT53" s="13"/>
      <c r="LBU53" s="13"/>
      <c r="LBV53" s="13"/>
      <c r="LBW53" s="13"/>
      <c r="LBX53" s="13"/>
      <c r="LBY53" s="13"/>
      <c r="LBZ53" s="13"/>
      <c r="LCA53" s="13"/>
      <c r="LCB53" s="13"/>
      <c r="LCC53" s="13"/>
      <c r="LCD53" s="13"/>
      <c r="LCE53" s="13"/>
      <c r="LCF53" s="13"/>
      <c r="LCG53" s="13"/>
      <c r="LCH53" s="13"/>
      <c r="LCI53" s="13"/>
      <c r="LCJ53" s="13"/>
      <c r="LCK53" s="13"/>
      <c r="LCL53" s="13"/>
      <c r="LCM53" s="13"/>
      <c r="LCN53" s="13"/>
      <c r="LCO53" s="13"/>
      <c r="LCP53" s="13"/>
      <c r="LCQ53" s="13"/>
      <c r="LCR53" s="13"/>
      <c r="LCS53" s="13"/>
      <c r="LCT53" s="13"/>
      <c r="LCU53" s="13"/>
      <c r="LCV53" s="13"/>
      <c r="LCW53" s="13"/>
      <c r="LCX53" s="13"/>
      <c r="LCY53" s="13"/>
      <c r="LCZ53" s="13"/>
      <c r="LDA53" s="13"/>
      <c r="LDB53" s="13"/>
      <c r="LDC53" s="13"/>
      <c r="LDD53" s="13"/>
      <c r="LDE53" s="13"/>
      <c r="LDF53" s="13"/>
      <c r="LDG53" s="13"/>
      <c r="LDH53" s="13"/>
      <c r="LDI53" s="13"/>
      <c r="LDJ53" s="13"/>
      <c r="LDK53" s="13"/>
      <c r="LDL53" s="13"/>
      <c r="LDM53" s="13"/>
      <c r="LDN53" s="13"/>
      <c r="LDO53" s="13"/>
      <c r="LDP53" s="13"/>
      <c r="LDQ53" s="13"/>
      <c r="LDR53" s="13"/>
      <c r="LDS53" s="13"/>
      <c r="LDT53" s="13"/>
      <c r="LDU53" s="13"/>
      <c r="LDV53" s="13"/>
      <c r="LDW53" s="13"/>
      <c r="LDX53" s="13"/>
      <c r="LDY53" s="13"/>
      <c r="LDZ53" s="13"/>
      <c r="LEA53" s="13"/>
      <c r="LEB53" s="13"/>
      <c r="LEC53" s="13"/>
      <c r="LED53" s="13"/>
      <c r="LEE53" s="13"/>
      <c r="LEF53" s="13"/>
      <c r="LEG53" s="13"/>
      <c r="LEH53" s="13"/>
      <c r="LEI53" s="13"/>
      <c r="LEJ53" s="13"/>
      <c r="LEK53" s="13"/>
      <c r="LEL53" s="13"/>
      <c r="LEM53" s="13"/>
      <c r="LEN53" s="13"/>
      <c r="LEO53" s="13"/>
      <c r="LEP53" s="13"/>
      <c r="LEQ53" s="13"/>
      <c r="LER53" s="13"/>
      <c r="LES53" s="13"/>
      <c r="LET53" s="13"/>
      <c r="LEU53" s="13"/>
      <c r="LEV53" s="13"/>
      <c r="LEW53" s="13"/>
      <c r="LEX53" s="13"/>
      <c r="LEY53" s="13"/>
      <c r="LEZ53" s="13"/>
      <c r="LFA53" s="13"/>
      <c r="LFB53" s="13"/>
      <c r="LFC53" s="13"/>
      <c r="LFD53" s="13"/>
      <c r="LFE53" s="13"/>
      <c r="LFF53" s="13"/>
      <c r="LFG53" s="13"/>
      <c r="LFH53" s="13"/>
      <c r="LFI53" s="13"/>
      <c r="LFJ53" s="13"/>
      <c r="LFK53" s="13"/>
      <c r="LFL53" s="13"/>
      <c r="LFM53" s="13"/>
      <c r="LFN53" s="13"/>
      <c r="LFO53" s="13"/>
      <c r="LFP53" s="13"/>
      <c r="LFQ53" s="13"/>
      <c r="LFR53" s="13"/>
      <c r="LFS53" s="13"/>
      <c r="LFT53" s="13"/>
      <c r="LFU53" s="13"/>
      <c r="LFV53" s="13"/>
      <c r="LFW53" s="13"/>
      <c r="LFX53" s="13"/>
      <c r="LFY53" s="13"/>
      <c r="LFZ53" s="13"/>
      <c r="LGA53" s="13"/>
      <c r="LGB53" s="13"/>
      <c r="LGC53" s="13"/>
      <c r="LGD53" s="13"/>
      <c r="LGE53" s="13"/>
      <c r="LGF53" s="13"/>
      <c r="LGG53" s="13"/>
      <c r="LGH53" s="13"/>
      <c r="LGI53" s="13"/>
      <c r="LGJ53" s="13"/>
      <c r="LGK53" s="13"/>
      <c r="LGL53" s="13"/>
      <c r="LGM53" s="13"/>
      <c r="LGN53" s="13"/>
      <c r="LGO53" s="13"/>
      <c r="LGP53" s="13"/>
      <c r="LGQ53" s="13"/>
      <c r="LGR53" s="13"/>
      <c r="LGS53" s="13"/>
      <c r="LGT53" s="13"/>
      <c r="LGU53" s="13"/>
      <c r="LGV53" s="13"/>
      <c r="LGW53" s="13"/>
      <c r="LGX53" s="13"/>
      <c r="LGY53" s="13"/>
      <c r="LGZ53" s="13"/>
      <c r="LHA53" s="13"/>
      <c r="LHB53" s="13"/>
      <c r="LHC53" s="13"/>
      <c r="LHD53" s="13"/>
      <c r="LHE53" s="13"/>
      <c r="LHF53" s="13"/>
      <c r="LHG53" s="13"/>
      <c r="LHH53" s="13"/>
      <c r="LHI53" s="13"/>
      <c r="LHJ53" s="13"/>
      <c r="LHK53" s="13"/>
      <c r="LHL53" s="13"/>
      <c r="LHM53" s="13"/>
      <c r="LHN53" s="13"/>
      <c r="LHO53" s="13"/>
      <c r="LHP53" s="13"/>
      <c r="LHQ53" s="13"/>
      <c r="LHR53" s="13"/>
      <c r="LHS53" s="13"/>
      <c r="LHT53" s="13"/>
      <c r="LHU53" s="13"/>
      <c r="LHV53" s="13"/>
      <c r="LHW53" s="13"/>
      <c r="LHX53" s="13"/>
      <c r="LHY53" s="13"/>
      <c r="LHZ53" s="13"/>
      <c r="LIA53" s="13"/>
      <c r="LIB53" s="13"/>
      <c r="LIC53" s="13"/>
      <c r="LID53" s="13"/>
      <c r="LIE53" s="13"/>
      <c r="LIF53" s="13"/>
      <c r="LIG53" s="13"/>
      <c r="LIH53" s="13"/>
      <c r="LII53" s="13"/>
      <c r="LIJ53" s="13"/>
      <c r="LIK53" s="13"/>
      <c r="LIL53" s="13"/>
      <c r="LIM53" s="13"/>
      <c r="LIN53" s="13"/>
      <c r="LIO53" s="13"/>
      <c r="LIP53" s="13"/>
      <c r="LIQ53" s="13"/>
      <c r="LIR53" s="13"/>
      <c r="LIS53" s="13"/>
      <c r="LIT53" s="13"/>
      <c r="LIU53" s="13"/>
      <c r="LIV53" s="13"/>
      <c r="LIW53" s="13"/>
      <c r="LIX53" s="13"/>
      <c r="LIY53" s="13"/>
      <c r="LIZ53" s="13"/>
      <c r="LJA53" s="13"/>
      <c r="LJB53" s="13"/>
      <c r="LJC53" s="13"/>
      <c r="LJD53" s="13"/>
      <c r="LJE53" s="13"/>
      <c r="LJF53" s="13"/>
      <c r="LJG53" s="13"/>
      <c r="LJH53" s="13"/>
      <c r="LJI53" s="13"/>
      <c r="LJJ53" s="13"/>
      <c r="LJK53" s="13"/>
      <c r="LJL53" s="13"/>
      <c r="LJM53" s="13"/>
      <c r="LJN53" s="13"/>
      <c r="LJO53" s="13"/>
      <c r="LJP53" s="13"/>
      <c r="LJQ53" s="13"/>
      <c r="LJR53" s="13"/>
      <c r="LJS53" s="13"/>
      <c r="LJT53" s="13"/>
      <c r="LJU53" s="13"/>
      <c r="LJV53" s="13"/>
      <c r="LJW53" s="13"/>
      <c r="LJX53" s="13"/>
      <c r="LJY53" s="13"/>
      <c r="LJZ53" s="13"/>
      <c r="LKA53" s="13"/>
      <c r="LKB53" s="13"/>
      <c r="LKC53" s="13"/>
      <c r="LKD53" s="13"/>
      <c r="LKE53" s="13"/>
      <c r="LKF53" s="13"/>
      <c r="LKG53" s="13"/>
      <c r="LKH53" s="13"/>
      <c r="LKI53" s="13"/>
      <c r="LKJ53" s="13"/>
      <c r="LKK53" s="13"/>
      <c r="LKL53" s="13"/>
      <c r="LKM53" s="13"/>
      <c r="LKN53" s="13"/>
      <c r="LKO53" s="13"/>
      <c r="LKP53" s="13"/>
      <c r="LKQ53" s="13"/>
      <c r="LKR53" s="13"/>
      <c r="LKS53" s="13"/>
      <c r="LKT53" s="13"/>
      <c r="LKU53" s="13"/>
      <c r="LKV53" s="13"/>
      <c r="LKW53" s="13"/>
      <c r="LKX53" s="13"/>
      <c r="LKY53" s="13"/>
      <c r="LKZ53" s="13"/>
      <c r="LLA53" s="13"/>
      <c r="LLB53" s="13"/>
      <c r="LLC53" s="13"/>
      <c r="LLD53" s="13"/>
      <c r="LLE53" s="13"/>
      <c r="LLF53" s="13"/>
      <c r="LLG53" s="13"/>
      <c r="LLH53" s="13"/>
      <c r="LLI53" s="13"/>
      <c r="LLJ53" s="13"/>
      <c r="LLK53" s="13"/>
      <c r="LLL53" s="13"/>
      <c r="LLM53" s="13"/>
      <c r="LLN53" s="13"/>
      <c r="LLO53" s="13"/>
      <c r="LLP53" s="13"/>
      <c r="LLQ53" s="13"/>
      <c r="LLR53" s="13"/>
      <c r="LLS53" s="13"/>
      <c r="LLT53" s="13"/>
      <c r="LLU53" s="13"/>
      <c r="LLV53" s="13"/>
      <c r="LLW53" s="13"/>
      <c r="LLX53" s="13"/>
      <c r="LLY53" s="13"/>
      <c r="LLZ53" s="13"/>
      <c r="LMA53" s="13"/>
      <c r="LMB53" s="13"/>
      <c r="LMC53" s="13"/>
      <c r="LMD53" s="13"/>
      <c r="LME53" s="13"/>
      <c r="LMF53" s="13"/>
      <c r="LMG53" s="13"/>
      <c r="LMH53" s="13"/>
      <c r="LMI53" s="13"/>
      <c r="LMJ53" s="13"/>
      <c r="LMK53" s="13"/>
      <c r="LML53" s="13"/>
      <c r="LMM53" s="13"/>
      <c r="LMN53" s="13"/>
      <c r="LMO53" s="13"/>
      <c r="LMP53" s="13"/>
      <c r="LMQ53" s="13"/>
      <c r="LMR53" s="13"/>
      <c r="LMS53" s="13"/>
      <c r="LMT53" s="13"/>
      <c r="LMU53" s="13"/>
      <c r="LMV53" s="13"/>
      <c r="LMW53" s="13"/>
      <c r="LMX53" s="13"/>
      <c r="LMY53" s="13"/>
      <c r="LMZ53" s="13"/>
      <c r="LNA53" s="13"/>
      <c r="LNB53" s="13"/>
      <c r="LNC53" s="13"/>
      <c r="LND53" s="13"/>
      <c r="LNE53" s="13"/>
      <c r="LNF53" s="13"/>
      <c r="LNG53" s="13"/>
      <c r="LNH53" s="13"/>
      <c r="LNI53" s="13"/>
      <c r="LNJ53" s="13"/>
      <c r="LNK53" s="13"/>
      <c r="LNL53" s="13"/>
      <c r="LNM53" s="13"/>
      <c r="LNN53" s="13"/>
      <c r="LNO53" s="13"/>
      <c r="LNP53" s="13"/>
      <c r="LNQ53" s="13"/>
      <c r="LNR53" s="13"/>
      <c r="LNS53" s="13"/>
      <c r="LNT53" s="13"/>
      <c r="LNU53" s="13"/>
      <c r="LNV53" s="13"/>
      <c r="LNW53" s="13"/>
      <c r="LNX53" s="13"/>
      <c r="LNY53" s="13"/>
      <c r="LNZ53" s="13"/>
      <c r="LOA53" s="13"/>
      <c r="LOB53" s="13"/>
      <c r="LOC53" s="13"/>
      <c r="LOD53" s="13"/>
      <c r="LOE53" s="13"/>
      <c r="LOF53" s="13"/>
      <c r="LOG53" s="13"/>
      <c r="LOH53" s="13"/>
      <c r="LOI53" s="13"/>
      <c r="LOJ53" s="13"/>
      <c r="LOK53" s="13"/>
      <c r="LOL53" s="13"/>
      <c r="LOM53" s="13"/>
      <c r="LON53" s="13"/>
      <c r="LOO53" s="13"/>
      <c r="LOP53" s="13"/>
      <c r="LOQ53" s="13"/>
      <c r="LOR53" s="13"/>
      <c r="LOS53" s="13"/>
      <c r="LOT53" s="13"/>
      <c r="LOU53" s="13"/>
      <c r="LOV53" s="13"/>
      <c r="LOW53" s="13"/>
      <c r="LOX53" s="13"/>
      <c r="LOY53" s="13"/>
      <c r="LOZ53" s="13"/>
      <c r="LPA53" s="13"/>
      <c r="LPB53" s="13"/>
      <c r="LPC53" s="13"/>
      <c r="LPD53" s="13"/>
      <c r="LPE53" s="13"/>
      <c r="LPF53" s="13"/>
      <c r="LPG53" s="13"/>
      <c r="LPH53" s="13"/>
      <c r="LPI53" s="13"/>
      <c r="LPJ53" s="13"/>
      <c r="LPK53" s="13"/>
      <c r="LPL53" s="13"/>
      <c r="LPM53" s="13"/>
      <c r="LPN53" s="13"/>
      <c r="LPO53" s="13"/>
      <c r="LPP53" s="13"/>
      <c r="LPQ53" s="13"/>
      <c r="LPR53" s="13"/>
      <c r="LPS53" s="13"/>
      <c r="LPT53" s="13"/>
      <c r="LPU53" s="13"/>
      <c r="LPV53" s="13"/>
      <c r="LPW53" s="13"/>
      <c r="LPX53" s="13"/>
      <c r="LPY53" s="13"/>
      <c r="LPZ53" s="13"/>
      <c r="LQA53" s="13"/>
      <c r="LQB53" s="13"/>
      <c r="LQC53" s="13"/>
      <c r="LQD53" s="13"/>
      <c r="LQE53" s="13"/>
      <c r="LQF53" s="13"/>
      <c r="LQG53" s="13"/>
      <c r="LQH53" s="13"/>
      <c r="LQI53" s="13"/>
      <c r="LQJ53" s="13"/>
      <c r="LQK53" s="13"/>
      <c r="LQL53" s="13"/>
      <c r="LQM53" s="13"/>
      <c r="LQN53" s="13"/>
      <c r="LQO53" s="13"/>
      <c r="LQP53" s="13"/>
      <c r="LQQ53" s="13"/>
      <c r="LQR53" s="13"/>
      <c r="LQS53" s="13"/>
      <c r="LQT53" s="13"/>
      <c r="LQU53" s="13"/>
      <c r="LQV53" s="13"/>
      <c r="LQW53" s="13"/>
      <c r="LQX53" s="13"/>
      <c r="LQY53" s="13"/>
      <c r="LQZ53" s="13"/>
      <c r="LRA53" s="13"/>
      <c r="LRB53" s="13"/>
      <c r="LRC53" s="13"/>
      <c r="LRD53" s="13"/>
      <c r="LRE53" s="13"/>
      <c r="LRF53" s="13"/>
      <c r="LRG53" s="13"/>
      <c r="LRH53" s="13"/>
      <c r="LRI53" s="13"/>
      <c r="LRJ53" s="13"/>
      <c r="LRK53" s="13"/>
      <c r="LRL53" s="13"/>
      <c r="LRM53" s="13"/>
      <c r="LRN53" s="13"/>
      <c r="LRO53" s="13"/>
      <c r="LRP53" s="13"/>
      <c r="LRQ53" s="13"/>
      <c r="LRR53" s="13"/>
      <c r="LRS53" s="13"/>
      <c r="LRT53" s="13"/>
      <c r="LRU53" s="13"/>
      <c r="LRV53" s="13"/>
      <c r="LRW53" s="13"/>
      <c r="LRX53" s="13"/>
      <c r="LRY53" s="13"/>
      <c r="LRZ53" s="13"/>
      <c r="LSA53" s="13"/>
      <c r="LSB53" s="13"/>
      <c r="LSC53" s="13"/>
      <c r="LSD53" s="13"/>
      <c r="LSE53" s="13"/>
      <c r="LSF53" s="13"/>
      <c r="LSG53" s="13"/>
      <c r="LSH53" s="13"/>
      <c r="LSI53" s="13"/>
      <c r="LSJ53" s="13"/>
      <c r="LSK53" s="13"/>
      <c r="LSL53" s="13"/>
      <c r="LSM53" s="13"/>
      <c r="LSN53" s="13"/>
      <c r="LSO53" s="13"/>
      <c r="LSP53" s="13"/>
      <c r="LSQ53" s="13"/>
      <c r="LSR53" s="13"/>
      <c r="LSS53" s="13"/>
      <c r="LST53" s="13"/>
      <c r="LSU53" s="13"/>
      <c r="LSV53" s="13"/>
      <c r="LSW53" s="13"/>
      <c r="LSX53" s="13"/>
      <c r="LSY53" s="13"/>
      <c r="LSZ53" s="13"/>
      <c r="LTA53" s="13"/>
      <c r="LTB53" s="13"/>
      <c r="LTC53" s="13"/>
      <c r="LTD53" s="13"/>
      <c r="LTE53" s="13"/>
      <c r="LTF53" s="13"/>
      <c r="LTG53" s="13"/>
      <c r="LTH53" s="13"/>
      <c r="LTI53" s="13"/>
      <c r="LTJ53" s="13"/>
      <c r="LTK53" s="13"/>
      <c r="LTL53" s="13"/>
      <c r="LTM53" s="13"/>
      <c r="LTN53" s="13"/>
      <c r="LTO53" s="13"/>
      <c r="LTP53" s="13"/>
      <c r="LTQ53" s="13"/>
      <c r="LTR53" s="13"/>
      <c r="LTS53" s="13"/>
      <c r="LTT53" s="13"/>
      <c r="LTU53" s="13"/>
      <c r="LTV53" s="13"/>
      <c r="LTW53" s="13"/>
      <c r="LTX53" s="13"/>
      <c r="LTY53" s="13"/>
      <c r="LTZ53" s="13"/>
      <c r="LUA53" s="13"/>
      <c r="LUB53" s="13"/>
      <c r="LUC53" s="13"/>
      <c r="LUD53" s="13"/>
      <c r="LUE53" s="13"/>
      <c r="LUF53" s="13"/>
      <c r="LUG53" s="13"/>
      <c r="LUH53" s="13"/>
      <c r="LUI53" s="13"/>
      <c r="LUJ53" s="13"/>
      <c r="LUK53" s="13"/>
      <c r="LUL53" s="13"/>
      <c r="LUM53" s="13"/>
      <c r="LUN53" s="13"/>
      <c r="LUO53" s="13"/>
      <c r="LUP53" s="13"/>
      <c r="LUQ53" s="13"/>
      <c r="LUR53" s="13"/>
      <c r="LUS53" s="13"/>
      <c r="LUT53" s="13"/>
      <c r="LUU53" s="13"/>
      <c r="LUV53" s="13"/>
      <c r="LUW53" s="13"/>
      <c r="LUX53" s="13"/>
      <c r="LUY53" s="13"/>
      <c r="LUZ53" s="13"/>
      <c r="LVA53" s="13"/>
      <c r="LVB53" s="13"/>
      <c r="LVC53" s="13"/>
      <c r="LVD53" s="13"/>
      <c r="LVE53" s="13"/>
      <c r="LVF53" s="13"/>
      <c r="LVG53" s="13"/>
      <c r="LVH53" s="13"/>
      <c r="LVI53" s="13"/>
      <c r="LVJ53" s="13"/>
      <c r="LVK53" s="13"/>
      <c r="LVL53" s="13"/>
      <c r="LVM53" s="13"/>
      <c r="LVN53" s="13"/>
      <c r="LVO53" s="13"/>
      <c r="LVP53" s="13"/>
      <c r="LVQ53" s="13"/>
      <c r="LVR53" s="13"/>
      <c r="LVS53" s="13"/>
      <c r="LVT53" s="13"/>
      <c r="LVU53" s="13"/>
      <c r="LVV53" s="13"/>
      <c r="LVW53" s="13"/>
      <c r="LVX53" s="13"/>
      <c r="LVY53" s="13"/>
      <c r="LVZ53" s="13"/>
      <c r="LWA53" s="13"/>
      <c r="LWB53" s="13"/>
      <c r="LWC53" s="13"/>
      <c r="LWD53" s="13"/>
      <c r="LWE53" s="13"/>
      <c r="LWF53" s="13"/>
      <c r="LWG53" s="13"/>
      <c r="LWH53" s="13"/>
      <c r="LWI53" s="13"/>
      <c r="LWJ53" s="13"/>
      <c r="LWK53" s="13"/>
      <c r="LWL53" s="13"/>
      <c r="LWM53" s="13"/>
      <c r="LWN53" s="13"/>
      <c r="LWO53" s="13"/>
      <c r="LWP53" s="13"/>
      <c r="LWQ53" s="13"/>
      <c r="LWR53" s="13"/>
      <c r="LWS53" s="13"/>
      <c r="LWT53" s="13"/>
      <c r="LWU53" s="13"/>
      <c r="LWV53" s="13"/>
      <c r="LWW53" s="13"/>
      <c r="LWX53" s="13"/>
      <c r="LWY53" s="13"/>
      <c r="LWZ53" s="13"/>
      <c r="LXA53" s="13"/>
      <c r="LXB53" s="13"/>
      <c r="LXC53" s="13"/>
      <c r="LXD53" s="13"/>
      <c r="LXE53" s="13"/>
      <c r="LXF53" s="13"/>
      <c r="LXG53" s="13"/>
      <c r="LXH53" s="13"/>
      <c r="LXI53" s="13"/>
      <c r="LXJ53" s="13"/>
      <c r="LXK53" s="13"/>
      <c r="LXL53" s="13"/>
      <c r="LXM53" s="13"/>
      <c r="LXN53" s="13"/>
      <c r="LXO53" s="13"/>
      <c r="LXP53" s="13"/>
      <c r="LXQ53" s="13"/>
      <c r="LXR53" s="13"/>
      <c r="LXS53" s="13"/>
      <c r="LXT53" s="13"/>
      <c r="LXU53" s="13"/>
      <c r="LXV53" s="13"/>
      <c r="LXW53" s="13"/>
      <c r="LXX53" s="13"/>
      <c r="LXY53" s="13"/>
      <c r="LXZ53" s="13"/>
      <c r="LYA53" s="13"/>
      <c r="LYB53" s="13"/>
      <c r="LYC53" s="13"/>
      <c r="LYD53" s="13"/>
      <c r="LYE53" s="13"/>
      <c r="LYF53" s="13"/>
      <c r="LYG53" s="13"/>
      <c r="LYH53" s="13"/>
      <c r="LYI53" s="13"/>
      <c r="LYJ53" s="13"/>
      <c r="LYK53" s="13"/>
      <c r="LYL53" s="13"/>
      <c r="LYM53" s="13"/>
      <c r="LYN53" s="13"/>
      <c r="LYO53" s="13"/>
      <c r="LYP53" s="13"/>
      <c r="LYQ53" s="13"/>
      <c r="LYR53" s="13"/>
      <c r="LYS53" s="13"/>
      <c r="LYT53" s="13"/>
      <c r="LYU53" s="13"/>
      <c r="LYV53" s="13"/>
      <c r="LYW53" s="13"/>
      <c r="LYX53" s="13"/>
      <c r="LYY53" s="13"/>
      <c r="LYZ53" s="13"/>
      <c r="LZA53" s="13"/>
      <c r="LZB53" s="13"/>
      <c r="LZC53" s="13"/>
      <c r="LZD53" s="13"/>
      <c r="LZE53" s="13"/>
      <c r="LZF53" s="13"/>
      <c r="LZG53" s="13"/>
      <c r="LZH53" s="13"/>
      <c r="LZI53" s="13"/>
      <c r="LZJ53" s="13"/>
      <c r="LZK53" s="13"/>
      <c r="LZL53" s="13"/>
      <c r="LZM53" s="13"/>
      <c r="LZN53" s="13"/>
      <c r="LZO53" s="13"/>
      <c r="LZP53" s="13"/>
      <c r="LZQ53" s="13"/>
      <c r="LZR53" s="13"/>
      <c r="LZS53" s="13"/>
      <c r="LZT53" s="13"/>
      <c r="LZU53" s="13"/>
      <c r="LZV53" s="13"/>
      <c r="LZW53" s="13"/>
      <c r="LZX53" s="13"/>
      <c r="LZY53" s="13"/>
      <c r="LZZ53" s="13"/>
      <c r="MAA53" s="13"/>
      <c r="MAB53" s="13"/>
      <c r="MAC53" s="13"/>
      <c r="MAD53" s="13"/>
      <c r="MAE53" s="13"/>
      <c r="MAF53" s="13"/>
      <c r="MAG53" s="13"/>
      <c r="MAH53" s="13"/>
      <c r="MAI53" s="13"/>
      <c r="MAJ53" s="13"/>
      <c r="MAK53" s="13"/>
      <c r="MAL53" s="13"/>
      <c r="MAM53" s="13"/>
      <c r="MAN53" s="13"/>
      <c r="MAO53" s="13"/>
      <c r="MAP53" s="13"/>
      <c r="MAQ53" s="13"/>
      <c r="MAR53" s="13"/>
      <c r="MAS53" s="13"/>
      <c r="MAT53" s="13"/>
      <c r="MAU53" s="13"/>
      <c r="MAV53" s="13"/>
      <c r="MAW53" s="13"/>
      <c r="MAX53" s="13"/>
      <c r="MAY53" s="13"/>
      <c r="MAZ53" s="13"/>
      <c r="MBA53" s="13"/>
      <c r="MBB53" s="13"/>
      <c r="MBC53" s="13"/>
      <c r="MBD53" s="13"/>
      <c r="MBE53" s="13"/>
      <c r="MBF53" s="13"/>
      <c r="MBG53" s="13"/>
      <c r="MBH53" s="13"/>
      <c r="MBI53" s="13"/>
      <c r="MBJ53" s="13"/>
      <c r="MBK53" s="13"/>
      <c r="MBL53" s="13"/>
      <c r="MBM53" s="13"/>
      <c r="MBN53" s="13"/>
      <c r="MBO53" s="13"/>
      <c r="MBP53" s="13"/>
      <c r="MBQ53" s="13"/>
      <c r="MBR53" s="13"/>
      <c r="MBS53" s="13"/>
      <c r="MBT53" s="13"/>
      <c r="MBU53" s="13"/>
      <c r="MBV53" s="13"/>
      <c r="MBW53" s="13"/>
      <c r="MBX53" s="13"/>
      <c r="MBY53" s="13"/>
      <c r="MBZ53" s="13"/>
      <c r="MCA53" s="13"/>
      <c r="MCB53" s="13"/>
      <c r="MCC53" s="13"/>
      <c r="MCD53" s="13"/>
      <c r="MCE53" s="13"/>
      <c r="MCF53" s="13"/>
      <c r="MCG53" s="13"/>
      <c r="MCH53" s="13"/>
      <c r="MCI53" s="13"/>
      <c r="MCJ53" s="13"/>
      <c r="MCK53" s="13"/>
      <c r="MCL53" s="13"/>
      <c r="MCM53" s="13"/>
      <c r="MCN53" s="13"/>
      <c r="MCO53" s="13"/>
      <c r="MCP53" s="13"/>
      <c r="MCQ53" s="13"/>
      <c r="MCR53" s="13"/>
      <c r="MCS53" s="13"/>
      <c r="MCT53" s="13"/>
      <c r="MCU53" s="13"/>
      <c r="MCV53" s="13"/>
      <c r="MCW53" s="13"/>
      <c r="MCX53" s="13"/>
      <c r="MCY53" s="13"/>
      <c r="MCZ53" s="13"/>
      <c r="MDA53" s="13"/>
      <c r="MDB53" s="13"/>
      <c r="MDC53" s="13"/>
      <c r="MDD53" s="13"/>
      <c r="MDE53" s="13"/>
      <c r="MDF53" s="13"/>
      <c r="MDG53" s="13"/>
      <c r="MDH53" s="13"/>
      <c r="MDI53" s="13"/>
      <c r="MDJ53" s="13"/>
      <c r="MDK53" s="13"/>
      <c r="MDL53" s="13"/>
      <c r="MDM53" s="13"/>
      <c r="MDN53" s="13"/>
      <c r="MDO53" s="13"/>
      <c r="MDP53" s="13"/>
      <c r="MDQ53" s="13"/>
      <c r="MDR53" s="13"/>
      <c r="MDS53" s="13"/>
      <c r="MDT53" s="13"/>
      <c r="MDU53" s="13"/>
      <c r="MDV53" s="13"/>
      <c r="MDW53" s="13"/>
      <c r="MDX53" s="13"/>
      <c r="MDY53" s="13"/>
      <c r="MDZ53" s="13"/>
      <c r="MEA53" s="13"/>
      <c r="MEB53" s="13"/>
      <c r="MEC53" s="13"/>
      <c r="MED53" s="13"/>
      <c r="MEE53" s="13"/>
      <c r="MEF53" s="13"/>
      <c r="MEG53" s="13"/>
      <c r="MEH53" s="13"/>
      <c r="MEI53" s="13"/>
      <c r="MEJ53" s="13"/>
      <c r="MEK53" s="13"/>
      <c r="MEL53" s="13"/>
      <c r="MEM53" s="13"/>
      <c r="MEN53" s="13"/>
      <c r="MEO53" s="13"/>
      <c r="MEP53" s="13"/>
      <c r="MEQ53" s="13"/>
      <c r="MER53" s="13"/>
      <c r="MES53" s="13"/>
      <c r="MET53" s="13"/>
      <c r="MEU53" s="13"/>
      <c r="MEV53" s="13"/>
      <c r="MEW53" s="13"/>
      <c r="MEX53" s="13"/>
      <c r="MEY53" s="13"/>
      <c r="MEZ53" s="13"/>
      <c r="MFA53" s="13"/>
      <c r="MFB53" s="13"/>
      <c r="MFC53" s="13"/>
      <c r="MFD53" s="13"/>
      <c r="MFE53" s="13"/>
      <c r="MFF53" s="13"/>
      <c r="MFG53" s="13"/>
      <c r="MFH53" s="13"/>
      <c r="MFI53" s="13"/>
      <c r="MFJ53" s="13"/>
      <c r="MFK53" s="13"/>
      <c r="MFL53" s="13"/>
      <c r="MFM53" s="13"/>
      <c r="MFN53" s="13"/>
      <c r="MFO53" s="13"/>
      <c r="MFP53" s="13"/>
      <c r="MFQ53" s="13"/>
      <c r="MFR53" s="13"/>
      <c r="MFS53" s="13"/>
      <c r="MFT53" s="13"/>
      <c r="MFU53" s="13"/>
      <c r="MFV53" s="13"/>
      <c r="MFW53" s="13"/>
      <c r="MFX53" s="13"/>
      <c r="MFY53" s="13"/>
      <c r="MFZ53" s="13"/>
      <c r="MGA53" s="13"/>
      <c r="MGB53" s="13"/>
      <c r="MGC53" s="13"/>
      <c r="MGD53" s="13"/>
      <c r="MGE53" s="13"/>
      <c r="MGF53" s="13"/>
      <c r="MGG53" s="13"/>
      <c r="MGH53" s="13"/>
      <c r="MGI53" s="13"/>
      <c r="MGJ53" s="13"/>
      <c r="MGK53" s="13"/>
      <c r="MGL53" s="13"/>
      <c r="MGM53" s="13"/>
      <c r="MGN53" s="13"/>
      <c r="MGO53" s="13"/>
      <c r="MGP53" s="13"/>
      <c r="MGQ53" s="13"/>
      <c r="MGR53" s="13"/>
      <c r="MGS53" s="13"/>
      <c r="MGT53" s="13"/>
      <c r="MGU53" s="13"/>
      <c r="MGV53" s="13"/>
      <c r="MGW53" s="13"/>
      <c r="MGX53" s="13"/>
      <c r="MGY53" s="13"/>
      <c r="MGZ53" s="13"/>
      <c r="MHA53" s="13"/>
      <c r="MHB53" s="13"/>
      <c r="MHC53" s="13"/>
      <c r="MHD53" s="13"/>
      <c r="MHE53" s="13"/>
      <c r="MHF53" s="13"/>
      <c r="MHG53" s="13"/>
      <c r="MHH53" s="13"/>
      <c r="MHI53" s="13"/>
      <c r="MHJ53" s="13"/>
      <c r="MHK53" s="13"/>
      <c r="MHL53" s="13"/>
      <c r="MHM53" s="13"/>
      <c r="MHN53" s="13"/>
      <c r="MHO53" s="13"/>
      <c r="MHP53" s="13"/>
      <c r="MHQ53" s="13"/>
      <c r="MHR53" s="13"/>
      <c r="MHS53" s="13"/>
      <c r="MHT53" s="13"/>
      <c r="MHU53" s="13"/>
      <c r="MHV53" s="13"/>
      <c r="MHW53" s="13"/>
      <c r="MHX53" s="13"/>
      <c r="MHY53" s="13"/>
      <c r="MHZ53" s="13"/>
      <c r="MIA53" s="13"/>
      <c r="MIB53" s="13"/>
      <c r="MIC53" s="13"/>
      <c r="MID53" s="13"/>
      <c r="MIE53" s="13"/>
      <c r="MIF53" s="13"/>
      <c r="MIG53" s="13"/>
      <c r="MIH53" s="13"/>
      <c r="MII53" s="13"/>
      <c r="MIJ53" s="13"/>
      <c r="MIK53" s="13"/>
      <c r="MIL53" s="13"/>
      <c r="MIM53" s="13"/>
      <c r="MIN53" s="13"/>
      <c r="MIO53" s="13"/>
      <c r="MIP53" s="13"/>
      <c r="MIQ53" s="13"/>
      <c r="MIR53" s="13"/>
      <c r="MIS53" s="13"/>
      <c r="MIT53" s="13"/>
      <c r="MIU53" s="13"/>
      <c r="MIV53" s="13"/>
      <c r="MIW53" s="13"/>
      <c r="MIX53" s="13"/>
      <c r="MIY53" s="13"/>
      <c r="MIZ53" s="13"/>
      <c r="MJA53" s="13"/>
      <c r="MJB53" s="13"/>
      <c r="MJC53" s="13"/>
      <c r="MJD53" s="13"/>
      <c r="MJE53" s="13"/>
      <c r="MJF53" s="13"/>
      <c r="MJG53" s="13"/>
      <c r="MJH53" s="13"/>
      <c r="MJI53" s="13"/>
      <c r="MJJ53" s="13"/>
      <c r="MJK53" s="13"/>
      <c r="MJL53" s="13"/>
      <c r="MJM53" s="13"/>
      <c r="MJN53" s="13"/>
      <c r="MJO53" s="13"/>
      <c r="MJP53" s="13"/>
      <c r="MJQ53" s="13"/>
      <c r="MJR53" s="13"/>
      <c r="MJS53" s="13"/>
      <c r="MJT53" s="13"/>
      <c r="MJU53" s="13"/>
      <c r="MJV53" s="13"/>
      <c r="MJW53" s="13"/>
      <c r="MJX53" s="13"/>
      <c r="MJY53" s="13"/>
      <c r="MJZ53" s="13"/>
      <c r="MKA53" s="13"/>
      <c r="MKB53" s="13"/>
      <c r="MKC53" s="13"/>
      <c r="MKD53" s="13"/>
      <c r="MKE53" s="13"/>
      <c r="MKF53" s="13"/>
      <c r="MKG53" s="13"/>
      <c r="MKH53" s="13"/>
      <c r="MKI53" s="13"/>
      <c r="MKJ53" s="13"/>
      <c r="MKK53" s="13"/>
      <c r="MKL53" s="13"/>
      <c r="MKM53" s="13"/>
      <c r="MKN53" s="13"/>
      <c r="MKO53" s="13"/>
      <c r="MKP53" s="13"/>
      <c r="MKQ53" s="13"/>
      <c r="MKR53" s="13"/>
      <c r="MKS53" s="13"/>
      <c r="MKT53" s="13"/>
      <c r="MKU53" s="13"/>
      <c r="MKV53" s="13"/>
      <c r="MKW53" s="13"/>
      <c r="MKX53" s="13"/>
      <c r="MKY53" s="13"/>
      <c r="MKZ53" s="13"/>
      <c r="MLA53" s="13"/>
      <c r="MLB53" s="13"/>
      <c r="MLC53" s="13"/>
      <c r="MLD53" s="13"/>
      <c r="MLE53" s="13"/>
      <c r="MLF53" s="13"/>
      <c r="MLG53" s="13"/>
      <c r="MLH53" s="13"/>
      <c r="MLI53" s="13"/>
      <c r="MLJ53" s="13"/>
      <c r="MLK53" s="13"/>
      <c r="MLL53" s="13"/>
      <c r="MLM53" s="13"/>
      <c r="MLN53" s="13"/>
      <c r="MLO53" s="13"/>
      <c r="MLP53" s="13"/>
      <c r="MLQ53" s="13"/>
      <c r="MLR53" s="13"/>
      <c r="MLS53" s="13"/>
      <c r="MLT53" s="13"/>
      <c r="MLU53" s="13"/>
      <c r="MLV53" s="13"/>
      <c r="MLW53" s="13"/>
      <c r="MLX53" s="13"/>
      <c r="MLY53" s="13"/>
      <c r="MLZ53" s="13"/>
      <c r="MMA53" s="13"/>
      <c r="MMB53" s="13"/>
      <c r="MMC53" s="13"/>
      <c r="MMD53" s="13"/>
      <c r="MME53" s="13"/>
      <c r="MMF53" s="13"/>
      <c r="MMG53" s="13"/>
      <c r="MMH53" s="13"/>
      <c r="MMI53" s="13"/>
      <c r="MMJ53" s="13"/>
      <c r="MMK53" s="13"/>
      <c r="MML53" s="13"/>
      <c r="MMM53" s="13"/>
      <c r="MMN53" s="13"/>
      <c r="MMO53" s="13"/>
      <c r="MMP53" s="13"/>
      <c r="MMQ53" s="13"/>
      <c r="MMR53" s="13"/>
      <c r="MMS53" s="13"/>
      <c r="MMT53" s="13"/>
      <c r="MMU53" s="13"/>
      <c r="MMV53" s="13"/>
      <c r="MMW53" s="13"/>
      <c r="MMX53" s="13"/>
      <c r="MMY53" s="13"/>
      <c r="MMZ53" s="13"/>
      <c r="MNA53" s="13"/>
      <c r="MNB53" s="13"/>
      <c r="MNC53" s="13"/>
      <c r="MND53" s="13"/>
      <c r="MNE53" s="13"/>
      <c r="MNF53" s="13"/>
      <c r="MNG53" s="13"/>
      <c r="MNH53" s="13"/>
      <c r="MNI53" s="13"/>
      <c r="MNJ53" s="13"/>
      <c r="MNK53" s="13"/>
      <c r="MNL53" s="13"/>
      <c r="MNM53" s="13"/>
      <c r="MNN53" s="13"/>
      <c r="MNO53" s="13"/>
      <c r="MNP53" s="13"/>
      <c r="MNQ53" s="13"/>
      <c r="MNR53" s="13"/>
      <c r="MNS53" s="13"/>
      <c r="MNT53" s="13"/>
      <c r="MNU53" s="13"/>
      <c r="MNV53" s="13"/>
      <c r="MNW53" s="13"/>
      <c r="MNX53" s="13"/>
      <c r="MNY53" s="13"/>
      <c r="MNZ53" s="13"/>
      <c r="MOA53" s="13"/>
      <c r="MOB53" s="13"/>
      <c r="MOC53" s="13"/>
      <c r="MOD53" s="13"/>
      <c r="MOE53" s="13"/>
      <c r="MOF53" s="13"/>
      <c r="MOG53" s="13"/>
      <c r="MOH53" s="13"/>
      <c r="MOI53" s="13"/>
      <c r="MOJ53" s="13"/>
      <c r="MOK53" s="13"/>
      <c r="MOL53" s="13"/>
      <c r="MOM53" s="13"/>
      <c r="MON53" s="13"/>
      <c r="MOO53" s="13"/>
      <c r="MOP53" s="13"/>
      <c r="MOQ53" s="13"/>
      <c r="MOR53" s="13"/>
      <c r="MOS53" s="13"/>
      <c r="MOT53" s="13"/>
      <c r="MOU53" s="13"/>
      <c r="MOV53" s="13"/>
      <c r="MOW53" s="13"/>
      <c r="MOX53" s="13"/>
      <c r="MOY53" s="13"/>
      <c r="MOZ53" s="13"/>
      <c r="MPA53" s="13"/>
      <c r="MPB53" s="13"/>
      <c r="MPC53" s="13"/>
      <c r="MPD53" s="13"/>
      <c r="MPE53" s="13"/>
      <c r="MPF53" s="13"/>
      <c r="MPG53" s="13"/>
      <c r="MPH53" s="13"/>
      <c r="MPI53" s="13"/>
      <c r="MPJ53" s="13"/>
      <c r="MPK53" s="13"/>
      <c r="MPL53" s="13"/>
      <c r="MPM53" s="13"/>
      <c r="MPN53" s="13"/>
      <c r="MPO53" s="13"/>
      <c r="MPP53" s="13"/>
      <c r="MPQ53" s="13"/>
      <c r="MPR53" s="13"/>
      <c r="MPS53" s="13"/>
      <c r="MPT53" s="13"/>
      <c r="MPU53" s="13"/>
      <c r="MPV53" s="13"/>
      <c r="MPW53" s="13"/>
      <c r="MPX53" s="13"/>
      <c r="MPY53" s="13"/>
      <c r="MPZ53" s="13"/>
      <c r="MQA53" s="13"/>
      <c r="MQB53" s="13"/>
      <c r="MQC53" s="13"/>
      <c r="MQD53" s="13"/>
      <c r="MQE53" s="13"/>
      <c r="MQF53" s="13"/>
      <c r="MQG53" s="13"/>
      <c r="MQH53" s="13"/>
      <c r="MQI53" s="13"/>
      <c r="MQJ53" s="13"/>
      <c r="MQK53" s="13"/>
      <c r="MQL53" s="13"/>
      <c r="MQM53" s="13"/>
      <c r="MQN53" s="13"/>
      <c r="MQO53" s="13"/>
      <c r="MQP53" s="13"/>
      <c r="MQQ53" s="13"/>
      <c r="MQR53" s="13"/>
      <c r="MQS53" s="13"/>
      <c r="MQT53" s="13"/>
      <c r="MQU53" s="13"/>
      <c r="MQV53" s="13"/>
      <c r="MQW53" s="13"/>
      <c r="MQX53" s="13"/>
      <c r="MQY53" s="13"/>
      <c r="MQZ53" s="13"/>
      <c r="MRA53" s="13"/>
      <c r="MRB53" s="13"/>
      <c r="MRC53" s="13"/>
      <c r="MRD53" s="13"/>
      <c r="MRE53" s="13"/>
      <c r="MRF53" s="13"/>
      <c r="MRG53" s="13"/>
      <c r="MRH53" s="13"/>
      <c r="MRI53" s="13"/>
      <c r="MRJ53" s="13"/>
      <c r="MRK53" s="13"/>
      <c r="MRL53" s="13"/>
      <c r="MRM53" s="13"/>
      <c r="MRN53" s="13"/>
      <c r="MRO53" s="13"/>
      <c r="MRP53" s="13"/>
      <c r="MRQ53" s="13"/>
      <c r="MRR53" s="13"/>
      <c r="MRS53" s="13"/>
      <c r="MRT53" s="13"/>
      <c r="MRU53" s="13"/>
      <c r="MRV53" s="13"/>
      <c r="MRW53" s="13"/>
      <c r="MRX53" s="13"/>
      <c r="MRY53" s="13"/>
      <c r="MRZ53" s="13"/>
      <c r="MSA53" s="13"/>
      <c r="MSB53" s="13"/>
      <c r="MSC53" s="13"/>
      <c r="MSD53" s="13"/>
      <c r="MSE53" s="13"/>
      <c r="MSF53" s="13"/>
      <c r="MSG53" s="13"/>
      <c r="MSH53" s="13"/>
      <c r="MSI53" s="13"/>
      <c r="MSJ53" s="13"/>
      <c r="MSK53" s="13"/>
      <c r="MSL53" s="13"/>
      <c r="MSM53" s="13"/>
      <c r="MSN53" s="13"/>
      <c r="MSO53" s="13"/>
      <c r="MSP53" s="13"/>
      <c r="MSQ53" s="13"/>
      <c r="MSR53" s="13"/>
      <c r="MSS53" s="13"/>
      <c r="MST53" s="13"/>
      <c r="MSU53" s="13"/>
      <c r="MSV53" s="13"/>
      <c r="MSW53" s="13"/>
      <c r="MSX53" s="13"/>
      <c r="MSY53" s="13"/>
      <c r="MSZ53" s="13"/>
      <c r="MTA53" s="13"/>
      <c r="MTB53" s="13"/>
      <c r="MTC53" s="13"/>
      <c r="MTD53" s="13"/>
      <c r="MTE53" s="13"/>
      <c r="MTF53" s="13"/>
      <c r="MTG53" s="13"/>
      <c r="MTH53" s="13"/>
      <c r="MTI53" s="13"/>
      <c r="MTJ53" s="13"/>
      <c r="MTK53" s="13"/>
      <c r="MTL53" s="13"/>
      <c r="MTM53" s="13"/>
      <c r="MTN53" s="13"/>
      <c r="MTO53" s="13"/>
      <c r="MTP53" s="13"/>
      <c r="MTQ53" s="13"/>
      <c r="MTR53" s="13"/>
      <c r="MTS53" s="13"/>
      <c r="MTT53" s="13"/>
      <c r="MTU53" s="13"/>
      <c r="MTV53" s="13"/>
      <c r="MTW53" s="13"/>
      <c r="MTX53" s="13"/>
      <c r="MTY53" s="13"/>
      <c r="MTZ53" s="13"/>
      <c r="MUA53" s="13"/>
      <c r="MUB53" s="13"/>
      <c r="MUC53" s="13"/>
      <c r="MUD53" s="13"/>
      <c r="MUE53" s="13"/>
      <c r="MUF53" s="13"/>
      <c r="MUG53" s="13"/>
      <c r="MUH53" s="13"/>
      <c r="MUI53" s="13"/>
      <c r="MUJ53" s="13"/>
      <c r="MUK53" s="13"/>
      <c r="MUL53" s="13"/>
      <c r="MUM53" s="13"/>
      <c r="MUN53" s="13"/>
      <c r="MUO53" s="13"/>
      <c r="MUP53" s="13"/>
      <c r="MUQ53" s="13"/>
      <c r="MUR53" s="13"/>
      <c r="MUS53" s="13"/>
      <c r="MUT53" s="13"/>
      <c r="MUU53" s="13"/>
      <c r="MUV53" s="13"/>
      <c r="MUW53" s="13"/>
      <c r="MUX53" s="13"/>
      <c r="MUY53" s="13"/>
      <c r="MUZ53" s="13"/>
      <c r="MVA53" s="13"/>
      <c r="MVB53" s="13"/>
      <c r="MVC53" s="13"/>
      <c r="MVD53" s="13"/>
      <c r="MVE53" s="13"/>
      <c r="MVF53" s="13"/>
      <c r="MVG53" s="13"/>
      <c r="MVH53" s="13"/>
      <c r="MVI53" s="13"/>
      <c r="MVJ53" s="13"/>
      <c r="MVK53" s="13"/>
      <c r="MVL53" s="13"/>
      <c r="MVM53" s="13"/>
      <c r="MVN53" s="13"/>
      <c r="MVO53" s="13"/>
      <c r="MVP53" s="13"/>
      <c r="MVQ53" s="13"/>
      <c r="MVR53" s="13"/>
      <c r="MVS53" s="13"/>
      <c r="MVT53" s="13"/>
      <c r="MVU53" s="13"/>
      <c r="MVV53" s="13"/>
      <c r="MVW53" s="13"/>
      <c r="MVX53" s="13"/>
      <c r="MVY53" s="13"/>
      <c r="MVZ53" s="13"/>
      <c r="MWA53" s="13"/>
      <c r="MWB53" s="13"/>
      <c r="MWC53" s="13"/>
      <c r="MWD53" s="13"/>
      <c r="MWE53" s="13"/>
      <c r="MWF53" s="13"/>
      <c r="MWG53" s="13"/>
      <c r="MWH53" s="13"/>
      <c r="MWI53" s="13"/>
      <c r="MWJ53" s="13"/>
      <c r="MWK53" s="13"/>
      <c r="MWL53" s="13"/>
      <c r="MWM53" s="13"/>
      <c r="MWN53" s="13"/>
      <c r="MWO53" s="13"/>
      <c r="MWP53" s="13"/>
      <c r="MWQ53" s="13"/>
      <c r="MWR53" s="13"/>
      <c r="MWS53" s="13"/>
      <c r="MWT53" s="13"/>
      <c r="MWU53" s="13"/>
      <c r="MWV53" s="13"/>
      <c r="MWW53" s="13"/>
      <c r="MWX53" s="13"/>
      <c r="MWY53" s="13"/>
      <c r="MWZ53" s="13"/>
      <c r="MXA53" s="13"/>
      <c r="MXB53" s="13"/>
      <c r="MXC53" s="13"/>
      <c r="MXD53" s="13"/>
      <c r="MXE53" s="13"/>
      <c r="MXF53" s="13"/>
      <c r="MXG53" s="13"/>
      <c r="MXH53" s="13"/>
      <c r="MXI53" s="13"/>
      <c r="MXJ53" s="13"/>
      <c r="MXK53" s="13"/>
      <c r="MXL53" s="13"/>
      <c r="MXM53" s="13"/>
      <c r="MXN53" s="13"/>
      <c r="MXO53" s="13"/>
      <c r="MXP53" s="13"/>
      <c r="MXQ53" s="13"/>
      <c r="MXR53" s="13"/>
      <c r="MXS53" s="13"/>
      <c r="MXT53" s="13"/>
      <c r="MXU53" s="13"/>
      <c r="MXV53" s="13"/>
      <c r="MXW53" s="13"/>
      <c r="MXX53" s="13"/>
      <c r="MXY53" s="13"/>
      <c r="MXZ53" s="13"/>
      <c r="MYA53" s="13"/>
      <c r="MYB53" s="13"/>
      <c r="MYC53" s="13"/>
      <c r="MYD53" s="13"/>
      <c r="MYE53" s="13"/>
      <c r="MYF53" s="13"/>
      <c r="MYG53" s="13"/>
      <c r="MYH53" s="13"/>
      <c r="MYI53" s="13"/>
      <c r="MYJ53" s="13"/>
      <c r="MYK53" s="13"/>
      <c r="MYL53" s="13"/>
      <c r="MYM53" s="13"/>
      <c r="MYN53" s="13"/>
      <c r="MYO53" s="13"/>
      <c r="MYP53" s="13"/>
      <c r="MYQ53" s="13"/>
      <c r="MYR53" s="13"/>
      <c r="MYS53" s="13"/>
      <c r="MYT53" s="13"/>
      <c r="MYU53" s="13"/>
      <c r="MYV53" s="13"/>
      <c r="MYW53" s="13"/>
      <c r="MYX53" s="13"/>
      <c r="MYY53" s="13"/>
      <c r="MYZ53" s="13"/>
      <c r="MZA53" s="13"/>
      <c r="MZB53" s="13"/>
      <c r="MZC53" s="13"/>
      <c r="MZD53" s="13"/>
      <c r="MZE53" s="13"/>
      <c r="MZF53" s="13"/>
      <c r="MZG53" s="13"/>
      <c r="MZH53" s="13"/>
      <c r="MZI53" s="13"/>
      <c r="MZJ53" s="13"/>
      <c r="MZK53" s="13"/>
      <c r="MZL53" s="13"/>
      <c r="MZM53" s="13"/>
      <c r="MZN53" s="13"/>
      <c r="MZO53" s="13"/>
      <c r="MZP53" s="13"/>
      <c r="MZQ53" s="13"/>
      <c r="MZR53" s="13"/>
      <c r="MZS53" s="13"/>
      <c r="MZT53" s="13"/>
      <c r="MZU53" s="13"/>
      <c r="MZV53" s="13"/>
      <c r="MZW53" s="13"/>
      <c r="MZX53" s="13"/>
      <c r="MZY53" s="13"/>
      <c r="MZZ53" s="13"/>
      <c r="NAA53" s="13"/>
      <c r="NAB53" s="13"/>
      <c r="NAC53" s="13"/>
      <c r="NAD53" s="13"/>
      <c r="NAE53" s="13"/>
      <c r="NAF53" s="13"/>
      <c r="NAG53" s="13"/>
      <c r="NAH53" s="13"/>
      <c r="NAI53" s="13"/>
      <c r="NAJ53" s="13"/>
      <c r="NAK53" s="13"/>
      <c r="NAL53" s="13"/>
      <c r="NAM53" s="13"/>
      <c r="NAN53" s="13"/>
      <c r="NAO53" s="13"/>
      <c r="NAP53" s="13"/>
      <c r="NAQ53" s="13"/>
      <c r="NAR53" s="13"/>
      <c r="NAS53" s="13"/>
      <c r="NAT53" s="13"/>
      <c r="NAU53" s="13"/>
      <c r="NAV53" s="13"/>
      <c r="NAW53" s="13"/>
      <c r="NAX53" s="13"/>
      <c r="NAY53" s="13"/>
      <c r="NAZ53" s="13"/>
      <c r="NBA53" s="13"/>
      <c r="NBB53" s="13"/>
      <c r="NBC53" s="13"/>
      <c r="NBD53" s="13"/>
      <c r="NBE53" s="13"/>
      <c r="NBF53" s="13"/>
      <c r="NBG53" s="13"/>
      <c r="NBH53" s="13"/>
      <c r="NBI53" s="13"/>
      <c r="NBJ53" s="13"/>
      <c r="NBK53" s="13"/>
      <c r="NBL53" s="13"/>
      <c r="NBM53" s="13"/>
      <c r="NBN53" s="13"/>
      <c r="NBO53" s="13"/>
      <c r="NBP53" s="13"/>
      <c r="NBQ53" s="13"/>
      <c r="NBR53" s="13"/>
      <c r="NBS53" s="13"/>
      <c r="NBT53" s="13"/>
      <c r="NBU53" s="13"/>
      <c r="NBV53" s="13"/>
      <c r="NBW53" s="13"/>
      <c r="NBX53" s="13"/>
      <c r="NBY53" s="13"/>
      <c r="NBZ53" s="13"/>
      <c r="NCA53" s="13"/>
      <c r="NCB53" s="13"/>
      <c r="NCC53" s="13"/>
      <c r="NCD53" s="13"/>
      <c r="NCE53" s="13"/>
      <c r="NCF53" s="13"/>
      <c r="NCG53" s="13"/>
      <c r="NCH53" s="13"/>
      <c r="NCI53" s="13"/>
      <c r="NCJ53" s="13"/>
      <c r="NCK53" s="13"/>
      <c r="NCL53" s="13"/>
      <c r="NCM53" s="13"/>
      <c r="NCN53" s="13"/>
      <c r="NCO53" s="13"/>
      <c r="NCP53" s="13"/>
      <c r="NCQ53" s="13"/>
      <c r="NCR53" s="13"/>
      <c r="NCS53" s="13"/>
      <c r="NCT53" s="13"/>
      <c r="NCU53" s="13"/>
      <c r="NCV53" s="13"/>
      <c r="NCW53" s="13"/>
      <c r="NCX53" s="13"/>
      <c r="NCY53" s="13"/>
      <c r="NCZ53" s="13"/>
      <c r="NDA53" s="13"/>
      <c r="NDB53" s="13"/>
      <c r="NDC53" s="13"/>
      <c r="NDD53" s="13"/>
      <c r="NDE53" s="13"/>
      <c r="NDF53" s="13"/>
      <c r="NDG53" s="13"/>
      <c r="NDH53" s="13"/>
      <c r="NDI53" s="13"/>
      <c r="NDJ53" s="13"/>
      <c r="NDK53" s="13"/>
      <c r="NDL53" s="13"/>
      <c r="NDM53" s="13"/>
      <c r="NDN53" s="13"/>
      <c r="NDO53" s="13"/>
      <c r="NDP53" s="13"/>
      <c r="NDQ53" s="13"/>
      <c r="NDR53" s="13"/>
      <c r="NDS53" s="13"/>
      <c r="NDT53" s="13"/>
      <c r="NDU53" s="13"/>
      <c r="NDV53" s="13"/>
      <c r="NDW53" s="13"/>
      <c r="NDX53" s="13"/>
      <c r="NDY53" s="13"/>
      <c r="NDZ53" s="13"/>
      <c r="NEA53" s="13"/>
      <c r="NEB53" s="13"/>
      <c r="NEC53" s="13"/>
      <c r="NED53" s="13"/>
      <c r="NEE53" s="13"/>
      <c r="NEF53" s="13"/>
      <c r="NEG53" s="13"/>
      <c r="NEH53" s="13"/>
      <c r="NEI53" s="13"/>
      <c r="NEJ53" s="13"/>
      <c r="NEK53" s="13"/>
      <c r="NEL53" s="13"/>
      <c r="NEM53" s="13"/>
      <c r="NEN53" s="13"/>
      <c r="NEO53" s="13"/>
      <c r="NEP53" s="13"/>
      <c r="NEQ53" s="13"/>
      <c r="NER53" s="13"/>
      <c r="NES53" s="13"/>
      <c r="NET53" s="13"/>
      <c r="NEU53" s="13"/>
      <c r="NEV53" s="13"/>
      <c r="NEW53" s="13"/>
      <c r="NEX53" s="13"/>
      <c r="NEY53" s="13"/>
      <c r="NEZ53" s="13"/>
      <c r="NFA53" s="13"/>
      <c r="NFB53" s="13"/>
      <c r="NFC53" s="13"/>
      <c r="NFD53" s="13"/>
      <c r="NFE53" s="13"/>
      <c r="NFF53" s="13"/>
      <c r="NFG53" s="13"/>
      <c r="NFH53" s="13"/>
      <c r="NFI53" s="13"/>
      <c r="NFJ53" s="13"/>
      <c r="NFK53" s="13"/>
      <c r="NFL53" s="13"/>
      <c r="NFM53" s="13"/>
      <c r="NFN53" s="13"/>
      <c r="NFO53" s="13"/>
      <c r="NFP53" s="13"/>
      <c r="NFQ53" s="13"/>
      <c r="NFR53" s="13"/>
      <c r="NFS53" s="13"/>
      <c r="NFT53" s="13"/>
      <c r="NFU53" s="13"/>
      <c r="NFV53" s="13"/>
      <c r="NFW53" s="13"/>
      <c r="NFX53" s="13"/>
      <c r="NFY53" s="13"/>
      <c r="NFZ53" s="13"/>
      <c r="NGA53" s="13"/>
      <c r="NGB53" s="13"/>
      <c r="NGC53" s="13"/>
      <c r="NGD53" s="13"/>
      <c r="NGE53" s="13"/>
      <c r="NGF53" s="13"/>
      <c r="NGG53" s="13"/>
      <c r="NGH53" s="13"/>
      <c r="NGI53" s="13"/>
      <c r="NGJ53" s="13"/>
      <c r="NGK53" s="13"/>
      <c r="NGL53" s="13"/>
      <c r="NGM53" s="13"/>
      <c r="NGN53" s="13"/>
      <c r="NGO53" s="13"/>
      <c r="NGP53" s="13"/>
      <c r="NGQ53" s="13"/>
      <c r="NGR53" s="13"/>
      <c r="NGS53" s="13"/>
      <c r="NGT53" s="13"/>
      <c r="NGU53" s="13"/>
      <c r="NGV53" s="13"/>
      <c r="NGW53" s="13"/>
      <c r="NGX53" s="13"/>
      <c r="NGY53" s="13"/>
      <c r="NGZ53" s="13"/>
      <c r="NHA53" s="13"/>
      <c r="NHB53" s="13"/>
      <c r="NHC53" s="13"/>
      <c r="NHD53" s="13"/>
      <c r="NHE53" s="13"/>
      <c r="NHF53" s="13"/>
      <c r="NHG53" s="13"/>
      <c r="NHH53" s="13"/>
      <c r="NHI53" s="13"/>
      <c r="NHJ53" s="13"/>
      <c r="NHK53" s="13"/>
      <c r="NHL53" s="13"/>
      <c r="NHM53" s="13"/>
      <c r="NHN53" s="13"/>
      <c r="NHO53" s="13"/>
      <c r="NHP53" s="13"/>
      <c r="NHQ53" s="13"/>
      <c r="NHR53" s="13"/>
      <c r="NHS53" s="13"/>
      <c r="NHT53" s="13"/>
      <c r="NHU53" s="13"/>
      <c r="NHV53" s="13"/>
      <c r="NHW53" s="13"/>
      <c r="NHX53" s="13"/>
      <c r="NHY53" s="13"/>
      <c r="NHZ53" s="13"/>
      <c r="NIA53" s="13"/>
      <c r="NIB53" s="13"/>
      <c r="NIC53" s="13"/>
      <c r="NID53" s="13"/>
      <c r="NIE53" s="13"/>
      <c r="NIF53" s="13"/>
      <c r="NIG53" s="13"/>
      <c r="NIH53" s="13"/>
      <c r="NII53" s="13"/>
      <c r="NIJ53" s="13"/>
      <c r="NIK53" s="13"/>
      <c r="NIL53" s="13"/>
      <c r="NIM53" s="13"/>
      <c r="NIN53" s="13"/>
      <c r="NIO53" s="13"/>
      <c r="NIP53" s="13"/>
      <c r="NIQ53" s="13"/>
      <c r="NIR53" s="13"/>
      <c r="NIS53" s="13"/>
      <c r="NIT53" s="13"/>
      <c r="NIU53" s="13"/>
      <c r="NIV53" s="13"/>
      <c r="NIW53" s="13"/>
      <c r="NIX53" s="13"/>
      <c r="NIY53" s="13"/>
      <c r="NIZ53" s="13"/>
      <c r="NJA53" s="13"/>
      <c r="NJB53" s="13"/>
      <c r="NJC53" s="13"/>
      <c r="NJD53" s="13"/>
      <c r="NJE53" s="13"/>
      <c r="NJF53" s="13"/>
      <c r="NJG53" s="13"/>
      <c r="NJH53" s="13"/>
      <c r="NJI53" s="13"/>
      <c r="NJJ53" s="13"/>
      <c r="NJK53" s="13"/>
      <c r="NJL53" s="13"/>
      <c r="NJM53" s="13"/>
      <c r="NJN53" s="13"/>
      <c r="NJO53" s="13"/>
      <c r="NJP53" s="13"/>
      <c r="NJQ53" s="13"/>
      <c r="NJR53" s="13"/>
      <c r="NJS53" s="13"/>
      <c r="NJT53" s="13"/>
      <c r="NJU53" s="13"/>
      <c r="NJV53" s="13"/>
      <c r="NJW53" s="13"/>
      <c r="NJX53" s="13"/>
      <c r="NJY53" s="13"/>
      <c r="NJZ53" s="13"/>
      <c r="NKA53" s="13"/>
      <c r="NKB53" s="13"/>
      <c r="NKC53" s="13"/>
      <c r="NKD53" s="13"/>
      <c r="NKE53" s="13"/>
      <c r="NKF53" s="13"/>
      <c r="NKG53" s="13"/>
      <c r="NKH53" s="13"/>
      <c r="NKI53" s="13"/>
      <c r="NKJ53" s="13"/>
      <c r="NKK53" s="13"/>
      <c r="NKL53" s="13"/>
      <c r="NKM53" s="13"/>
      <c r="NKN53" s="13"/>
      <c r="NKO53" s="13"/>
      <c r="NKP53" s="13"/>
      <c r="NKQ53" s="13"/>
      <c r="NKR53" s="13"/>
      <c r="NKS53" s="13"/>
      <c r="NKT53" s="13"/>
      <c r="NKU53" s="13"/>
      <c r="NKV53" s="13"/>
      <c r="NKW53" s="13"/>
      <c r="NKX53" s="13"/>
      <c r="NKY53" s="13"/>
      <c r="NKZ53" s="13"/>
      <c r="NLA53" s="13"/>
      <c r="NLB53" s="13"/>
      <c r="NLC53" s="13"/>
      <c r="NLD53" s="13"/>
      <c r="NLE53" s="13"/>
      <c r="NLF53" s="13"/>
      <c r="NLG53" s="13"/>
      <c r="NLH53" s="13"/>
      <c r="NLI53" s="13"/>
      <c r="NLJ53" s="13"/>
      <c r="NLK53" s="13"/>
      <c r="NLL53" s="13"/>
      <c r="NLM53" s="13"/>
      <c r="NLN53" s="13"/>
      <c r="NLO53" s="13"/>
      <c r="NLP53" s="13"/>
      <c r="NLQ53" s="13"/>
      <c r="NLR53" s="13"/>
      <c r="NLS53" s="13"/>
      <c r="NLT53" s="13"/>
      <c r="NLU53" s="13"/>
      <c r="NLV53" s="13"/>
      <c r="NLW53" s="13"/>
      <c r="NLX53" s="13"/>
      <c r="NLY53" s="13"/>
      <c r="NLZ53" s="13"/>
      <c r="NMA53" s="13"/>
      <c r="NMB53" s="13"/>
      <c r="NMC53" s="13"/>
      <c r="NMD53" s="13"/>
      <c r="NME53" s="13"/>
      <c r="NMF53" s="13"/>
      <c r="NMG53" s="13"/>
      <c r="NMH53" s="13"/>
      <c r="NMI53" s="13"/>
      <c r="NMJ53" s="13"/>
      <c r="NMK53" s="13"/>
      <c r="NML53" s="13"/>
      <c r="NMM53" s="13"/>
      <c r="NMN53" s="13"/>
      <c r="NMO53" s="13"/>
      <c r="NMP53" s="13"/>
      <c r="NMQ53" s="13"/>
      <c r="NMR53" s="13"/>
      <c r="NMS53" s="13"/>
      <c r="NMT53" s="13"/>
      <c r="NMU53" s="13"/>
      <c r="NMV53" s="13"/>
      <c r="NMW53" s="13"/>
      <c r="NMX53" s="13"/>
      <c r="NMY53" s="13"/>
      <c r="NMZ53" s="13"/>
      <c r="NNA53" s="13"/>
      <c r="NNB53" s="13"/>
      <c r="NNC53" s="13"/>
      <c r="NND53" s="13"/>
      <c r="NNE53" s="13"/>
      <c r="NNF53" s="13"/>
      <c r="NNG53" s="13"/>
      <c r="NNH53" s="13"/>
      <c r="NNI53" s="13"/>
      <c r="NNJ53" s="13"/>
      <c r="NNK53" s="13"/>
      <c r="NNL53" s="13"/>
      <c r="NNM53" s="13"/>
      <c r="NNN53" s="13"/>
      <c r="NNO53" s="13"/>
      <c r="NNP53" s="13"/>
      <c r="NNQ53" s="13"/>
      <c r="NNR53" s="13"/>
      <c r="NNS53" s="13"/>
      <c r="NNT53" s="13"/>
      <c r="NNU53" s="13"/>
      <c r="NNV53" s="13"/>
      <c r="NNW53" s="13"/>
      <c r="NNX53" s="13"/>
      <c r="NNY53" s="13"/>
      <c r="NNZ53" s="13"/>
      <c r="NOA53" s="13"/>
      <c r="NOB53" s="13"/>
      <c r="NOC53" s="13"/>
      <c r="NOD53" s="13"/>
      <c r="NOE53" s="13"/>
      <c r="NOF53" s="13"/>
      <c r="NOG53" s="13"/>
      <c r="NOH53" s="13"/>
      <c r="NOI53" s="13"/>
      <c r="NOJ53" s="13"/>
      <c r="NOK53" s="13"/>
      <c r="NOL53" s="13"/>
      <c r="NOM53" s="13"/>
      <c r="NON53" s="13"/>
      <c r="NOO53" s="13"/>
      <c r="NOP53" s="13"/>
      <c r="NOQ53" s="13"/>
      <c r="NOR53" s="13"/>
      <c r="NOS53" s="13"/>
      <c r="NOT53" s="13"/>
      <c r="NOU53" s="13"/>
      <c r="NOV53" s="13"/>
      <c r="NOW53" s="13"/>
      <c r="NOX53" s="13"/>
      <c r="NOY53" s="13"/>
      <c r="NOZ53" s="13"/>
      <c r="NPA53" s="13"/>
      <c r="NPB53" s="13"/>
      <c r="NPC53" s="13"/>
      <c r="NPD53" s="13"/>
      <c r="NPE53" s="13"/>
      <c r="NPF53" s="13"/>
      <c r="NPG53" s="13"/>
      <c r="NPH53" s="13"/>
      <c r="NPI53" s="13"/>
      <c r="NPJ53" s="13"/>
      <c r="NPK53" s="13"/>
      <c r="NPL53" s="13"/>
      <c r="NPM53" s="13"/>
      <c r="NPN53" s="13"/>
      <c r="NPO53" s="13"/>
      <c r="NPP53" s="13"/>
      <c r="NPQ53" s="13"/>
      <c r="NPR53" s="13"/>
      <c r="NPS53" s="13"/>
      <c r="NPT53" s="13"/>
      <c r="NPU53" s="13"/>
      <c r="NPV53" s="13"/>
      <c r="NPW53" s="13"/>
      <c r="NPX53" s="13"/>
      <c r="NPY53" s="13"/>
      <c r="NPZ53" s="13"/>
      <c r="NQA53" s="13"/>
      <c r="NQB53" s="13"/>
      <c r="NQC53" s="13"/>
      <c r="NQD53" s="13"/>
      <c r="NQE53" s="13"/>
      <c r="NQF53" s="13"/>
      <c r="NQG53" s="13"/>
      <c r="NQH53" s="13"/>
      <c r="NQI53" s="13"/>
      <c r="NQJ53" s="13"/>
      <c r="NQK53" s="13"/>
      <c r="NQL53" s="13"/>
      <c r="NQM53" s="13"/>
      <c r="NQN53" s="13"/>
      <c r="NQO53" s="13"/>
      <c r="NQP53" s="13"/>
      <c r="NQQ53" s="13"/>
      <c r="NQR53" s="13"/>
      <c r="NQS53" s="13"/>
      <c r="NQT53" s="13"/>
      <c r="NQU53" s="13"/>
      <c r="NQV53" s="13"/>
      <c r="NQW53" s="13"/>
      <c r="NQX53" s="13"/>
      <c r="NQY53" s="13"/>
      <c r="NQZ53" s="13"/>
      <c r="NRA53" s="13"/>
      <c r="NRB53" s="13"/>
      <c r="NRC53" s="13"/>
      <c r="NRD53" s="13"/>
      <c r="NRE53" s="13"/>
      <c r="NRF53" s="13"/>
      <c r="NRG53" s="13"/>
      <c r="NRH53" s="13"/>
      <c r="NRI53" s="13"/>
      <c r="NRJ53" s="13"/>
      <c r="NRK53" s="13"/>
      <c r="NRL53" s="13"/>
      <c r="NRM53" s="13"/>
      <c r="NRN53" s="13"/>
      <c r="NRO53" s="13"/>
      <c r="NRP53" s="13"/>
      <c r="NRQ53" s="13"/>
      <c r="NRR53" s="13"/>
      <c r="NRS53" s="13"/>
      <c r="NRT53" s="13"/>
      <c r="NRU53" s="13"/>
      <c r="NRV53" s="13"/>
      <c r="NRW53" s="13"/>
      <c r="NRX53" s="13"/>
      <c r="NRY53" s="13"/>
      <c r="NRZ53" s="13"/>
      <c r="NSA53" s="13"/>
      <c r="NSB53" s="13"/>
      <c r="NSC53" s="13"/>
      <c r="NSD53" s="13"/>
      <c r="NSE53" s="13"/>
      <c r="NSF53" s="13"/>
      <c r="NSG53" s="13"/>
      <c r="NSH53" s="13"/>
      <c r="NSI53" s="13"/>
      <c r="NSJ53" s="13"/>
      <c r="NSK53" s="13"/>
      <c r="NSL53" s="13"/>
      <c r="NSM53" s="13"/>
      <c r="NSN53" s="13"/>
      <c r="NSO53" s="13"/>
      <c r="NSP53" s="13"/>
      <c r="NSQ53" s="13"/>
      <c r="NSR53" s="13"/>
      <c r="NSS53" s="13"/>
      <c r="NST53" s="13"/>
      <c r="NSU53" s="13"/>
      <c r="NSV53" s="13"/>
      <c r="NSW53" s="13"/>
      <c r="NSX53" s="13"/>
      <c r="NSY53" s="13"/>
      <c r="NSZ53" s="13"/>
      <c r="NTA53" s="13"/>
      <c r="NTB53" s="13"/>
      <c r="NTC53" s="13"/>
      <c r="NTD53" s="13"/>
      <c r="NTE53" s="13"/>
      <c r="NTF53" s="13"/>
      <c r="NTG53" s="13"/>
      <c r="NTH53" s="13"/>
      <c r="NTI53" s="13"/>
      <c r="NTJ53" s="13"/>
      <c r="NTK53" s="13"/>
      <c r="NTL53" s="13"/>
      <c r="NTM53" s="13"/>
      <c r="NTN53" s="13"/>
      <c r="NTO53" s="13"/>
      <c r="NTP53" s="13"/>
      <c r="NTQ53" s="13"/>
      <c r="NTR53" s="13"/>
      <c r="NTS53" s="13"/>
      <c r="NTT53" s="13"/>
      <c r="NTU53" s="13"/>
      <c r="NTV53" s="13"/>
      <c r="NTW53" s="13"/>
      <c r="NTX53" s="13"/>
      <c r="NTY53" s="13"/>
      <c r="NTZ53" s="13"/>
      <c r="NUA53" s="13"/>
      <c r="NUB53" s="13"/>
      <c r="NUC53" s="13"/>
      <c r="NUD53" s="13"/>
      <c r="NUE53" s="13"/>
      <c r="NUF53" s="13"/>
      <c r="NUG53" s="13"/>
      <c r="NUH53" s="13"/>
      <c r="NUI53" s="13"/>
      <c r="NUJ53" s="13"/>
      <c r="NUK53" s="13"/>
      <c r="NUL53" s="13"/>
      <c r="NUM53" s="13"/>
      <c r="NUN53" s="13"/>
      <c r="NUO53" s="13"/>
      <c r="NUP53" s="13"/>
      <c r="NUQ53" s="13"/>
      <c r="NUR53" s="13"/>
      <c r="NUS53" s="13"/>
      <c r="NUT53" s="13"/>
      <c r="NUU53" s="13"/>
      <c r="NUV53" s="13"/>
      <c r="NUW53" s="13"/>
      <c r="NUX53" s="13"/>
      <c r="NUY53" s="13"/>
      <c r="NUZ53" s="13"/>
      <c r="NVA53" s="13"/>
      <c r="NVB53" s="13"/>
      <c r="NVC53" s="13"/>
      <c r="NVD53" s="13"/>
      <c r="NVE53" s="13"/>
      <c r="NVF53" s="13"/>
      <c r="NVG53" s="13"/>
      <c r="NVH53" s="13"/>
      <c r="NVI53" s="13"/>
      <c r="NVJ53" s="13"/>
      <c r="NVK53" s="13"/>
      <c r="NVL53" s="13"/>
      <c r="NVM53" s="13"/>
      <c r="NVN53" s="13"/>
      <c r="NVO53" s="13"/>
      <c r="NVP53" s="13"/>
      <c r="NVQ53" s="13"/>
      <c r="NVR53" s="13"/>
      <c r="NVS53" s="13"/>
      <c r="NVT53" s="13"/>
      <c r="NVU53" s="13"/>
      <c r="NVV53" s="13"/>
      <c r="NVW53" s="13"/>
      <c r="NVX53" s="13"/>
      <c r="NVY53" s="13"/>
      <c r="NVZ53" s="13"/>
      <c r="NWA53" s="13"/>
      <c r="NWB53" s="13"/>
      <c r="NWC53" s="13"/>
      <c r="NWD53" s="13"/>
      <c r="NWE53" s="13"/>
      <c r="NWF53" s="13"/>
      <c r="NWG53" s="13"/>
      <c r="NWH53" s="13"/>
      <c r="NWI53" s="13"/>
      <c r="NWJ53" s="13"/>
      <c r="NWK53" s="13"/>
      <c r="NWL53" s="13"/>
      <c r="NWM53" s="13"/>
      <c r="NWN53" s="13"/>
      <c r="NWO53" s="13"/>
      <c r="NWP53" s="13"/>
      <c r="NWQ53" s="13"/>
      <c r="NWR53" s="13"/>
      <c r="NWS53" s="13"/>
      <c r="NWT53" s="13"/>
      <c r="NWU53" s="13"/>
      <c r="NWV53" s="13"/>
      <c r="NWW53" s="13"/>
      <c r="NWX53" s="13"/>
      <c r="NWY53" s="13"/>
      <c r="NWZ53" s="13"/>
      <c r="NXA53" s="13"/>
      <c r="NXB53" s="13"/>
      <c r="NXC53" s="13"/>
      <c r="NXD53" s="13"/>
      <c r="NXE53" s="13"/>
      <c r="NXF53" s="13"/>
      <c r="NXG53" s="13"/>
      <c r="NXH53" s="13"/>
      <c r="NXI53" s="13"/>
      <c r="NXJ53" s="13"/>
      <c r="NXK53" s="13"/>
      <c r="NXL53" s="13"/>
      <c r="NXM53" s="13"/>
      <c r="NXN53" s="13"/>
      <c r="NXO53" s="13"/>
      <c r="NXP53" s="13"/>
      <c r="NXQ53" s="13"/>
      <c r="NXR53" s="13"/>
      <c r="NXS53" s="13"/>
      <c r="NXT53" s="13"/>
      <c r="NXU53" s="13"/>
      <c r="NXV53" s="13"/>
      <c r="NXW53" s="13"/>
      <c r="NXX53" s="13"/>
      <c r="NXY53" s="13"/>
      <c r="NXZ53" s="13"/>
      <c r="NYA53" s="13"/>
      <c r="NYB53" s="13"/>
      <c r="NYC53" s="13"/>
      <c r="NYD53" s="13"/>
      <c r="NYE53" s="13"/>
      <c r="NYF53" s="13"/>
      <c r="NYG53" s="13"/>
      <c r="NYH53" s="13"/>
      <c r="NYI53" s="13"/>
      <c r="NYJ53" s="13"/>
      <c r="NYK53" s="13"/>
      <c r="NYL53" s="13"/>
      <c r="NYM53" s="13"/>
      <c r="NYN53" s="13"/>
      <c r="NYO53" s="13"/>
      <c r="NYP53" s="13"/>
      <c r="NYQ53" s="13"/>
      <c r="NYR53" s="13"/>
      <c r="NYS53" s="13"/>
      <c r="NYT53" s="13"/>
      <c r="NYU53" s="13"/>
      <c r="NYV53" s="13"/>
      <c r="NYW53" s="13"/>
      <c r="NYX53" s="13"/>
      <c r="NYY53" s="13"/>
      <c r="NYZ53" s="13"/>
      <c r="NZA53" s="13"/>
      <c r="NZB53" s="13"/>
      <c r="NZC53" s="13"/>
      <c r="NZD53" s="13"/>
      <c r="NZE53" s="13"/>
      <c r="NZF53" s="13"/>
      <c r="NZG53" s="13"/>
      <c r="NZH53" s="13"/>
      <c r="NZI53" s="13"/>
      <c r="NZJ53" s="13"/>
      <c r="NZK53" s="13"/>
      <c r="NZL53" s="13"/>
      <c r="NZM53" s="13"/>
      <c r="NZN53" s="13"/>
      <c r="NZO53" s="13"/>
      <c r="NZP53" s="13"/>
      <c r="NZQ53" s="13"/>
      <c r="NZR53" s="13"/>
      <c r="NZS53" s="13"/>
      <c r="NZT53" s="13"/>
      <c r="NZU53" s="13"/>
      <c r="NZV53" s="13"/>
      <c r="NZW53" s="13"/>
      <c r="NZX53" s="13"/>
      <c r="NZY53" s="13"/>
      <c r="NZZ53" s="13"/>
      <c r="OAA53" s="13"/>
      <c r="OAB53" s="13"/>
      <c r="OAC53" s="13"/>
      <c r="OAD53" s="13"/>
      <c r="OAE53" s="13"/>
      <c r="OAF53" s="13"/>
      <c r="OAG53" s="13"/>
      <c r="OAH53" s="13"/>
      <c r="OAI53" s="13"/>
      <c r="OAJ53" s="13"/>
      <c r="OAK53" s="13"/>
      <c r="OAL53" s="13"/>
      <c r="OAM53" s="13"/>
      <c r="OAN53" s="13"/>
      <c r="OAO53" s="13"/>
      <c r="OAP53" s="13"/>
      <c r="OAQ53" s="13"/>
      <c r="OAR53" s="13"/>
      <c r="OAS53" s="13"/>
      <c r="OAT53" s="13"/>
      <c r="OAU53" s="13"/>
      <c r="OAV53" s="13"/>
      <c r="OAW53" s="13"/>
      <c r="OAX53" s="13"/>
      <c r="OAY53" s="13"/>
      <c r="OAZ53" s="13"/>
      <c r="OBA53" s="13"/>
      <c r="OBB53" s="13"/>
      <c r="OBC53" s="13"/>
      <c r="OBD53" s="13"/>
      <c r="OBE53" s="13"/>
      <c r="OBF53" s="13"/>
      <c r="OBG53" s="13"/>
      <c r="OBH53" s="13"/>
      <c r="OBI53" s="13"/>
      <c r="OBJ53" s="13"/>
      <c r="OBK53" s="13"/>
      <c r="OBL53" s="13"/>
      <c r="OBM53" s="13"/>
      <c r="OBN53" s="13"/>
      <c r="OBO53" s="13"/>
      <c r="OBP53" s="13"/>
      <c r="OBQ53" s="13"/>
      <c r="OBR53" s="13"/>
      <c r="OBS53" s="13"/>
      <c r="OBT53" s="13"/>
      <c r="OBU53" s="13"/>
      <c r="OBV53" s="13"/>
      <c r="OBW53" s="13"/>
      <c r="OBX53" s="13"/>
      <c r="OBY53" s="13"/>
      <c r="OBZ53" s="13"/>
      <c r="OCA53" s="13"/>
      <c r="OCB53" s="13"/>
      <c r="OCC53" s="13"/>
      <c r="OCD53" s="13"/>
      <c r="OCE53" s="13"/>
      <c r="OCF53" s="13"/>
      <c r="OCG53" s="13"/>
      <c r="OCH53" s="13"/>
      <c r="OCI53" s="13"/>
      <c r="OCJ53" s="13"/>
      <c r="OCK53" s="13"/>
      <c r="OCL53" s="13"/>
      <c r="OCM53" s="13"/>
      <c r="OCN53" s="13"/>
      <c r="OCO53" s="13"/>
      <c r="OCP53" s="13"/>
      <c r="OCQ53" s="13"/>
      <c r="OCR53" s="13"/>
      <c r="OCS53" s="13"/>
      <c r="OCT53" s="13"/>
      <c r="OCU53" s="13"/>
      <c r="OCV53" s="13"/>
      <c r="OCW53" s="13"/>
      <c r="OCX53" s="13"/>
      <c r="OCY53" s="13"/>
      <c r="OCZ53" s="13"/>
      <c r="ODA53" s="13"/>
      <c r="ODB53" s="13"/>
      <c r="ODC53" s="13"/>
      <c r="ODD53" s="13"/>
      <c r="ODE53" s="13"/>
      <c r="ODF53" s="13"/>
      <c r="ODG53" s="13"/>
      <c r="ODH53" s="13"/>
      <c r="ODI53" s="13"/>
      <c r="ODJ53" s="13"/>
      <c r="ODK53" s="13"/>
      <c r="ODL53" s="13"/>
      <c r="ODM53" s="13"/>
      <c r="ODN53" s="13"/>
      <c r="ODO53" s="13"/>
      <c r="ODP53" s="13"/>
      <c r="ODQ53" s="13"/>
      <c r="ODR53" s="13"/>
      <c r="ODS53" s="13"/>
      <c r="ODT53" s="13"/>
      <c r="ODU53" s="13"/>
      <c r="ODV53" s="13"/>
      <c r="ODW53" s="13"/>
      <c r="ODX53" s="13"/>
      <c r="ODY53" s="13"/>
      <c r="ODZ53" s="13"/>
      <c r="OEA53" s="13"/>
      <c r="OEB53" s="13"/>
      <c r="OEC53" s="13"/>
      <c r="OED53" s="13"/>
      <c r="OEE53" s="13"/>
      <c r="OEF53" s="13"/>
      <c r="OEG53" s="13"/>
      <c r="OEH53" s="13"/>
      <c r="OEI53" s="13"/>
      <c r="OEJ53" s="13"/>
      <c r="OEK53" s="13"/>
      <c r="OEL53" s="13"/>
      <c r="OEM53" s="13"/>
      <c r="OEN53" s="13"/>
      <c r="OEO53" s="13"/>
      <c r="OEP53" s="13"/>
      <c r="OEQ53" s="13"/>
      <c r="OER53" s="13"/>
      <c r="OES53" s="13"/>
      <c r="OET53" s="13"/>
      <c r="OEU53" s="13"/>
      <c r="OEV53" s="13"/>
      <c r="OEW53" s="13"/>
      <c r="OEX53" s="13"/>
      <c r="OEY53" s="13"/>
      <c r="OEZ53" s="13"/>
      <c r="OFA53" s="13"/>
      <c r="OFB53" s="13"/>
      <c r="OFC53" s="13"/>
      <c r="OFD53" s="13"/>
      <c r="OFE53" s="13"/>
      <c r="OFF53" s="13"/>
      <c r="OFG53" s="13"/>
      <c r="OFH53" s="13"/>
      <c r="OFI53" s="13"/>
      <c r="OFJ53" s="13"/>
      <c r="OFK53" s="13"/>
      <c r="OFL53" s="13"/>
      <c r="OFM53" s="13"/>
      <c r="OFN53" s="13"/>
      <c r="OFO53" s="13"/>
      <c r="OFP53" s="13"/>
      <c r="OFQ53" s="13"/>
      <c r="OFR53" s="13"/>
      <c r="OFS53" s="13"/>
      <c r="OFT53" s="13"/>
      <c r="OFU53" s="13"/>
      <c r="OFV53" s="13"/>
      <c r="OFW53" s="13"/>
      <c r="OFX53" s="13"/>
      <c r="OFY53" s="13"/>
      <c r="OFZ53" s="13"/>
      <c r="OGA53" s="13"/>
      <c r="OGB53" s="13"/>
      <c r="OGC53" s="13"/>
      <c r="OGD53" s="13"/>
      <c r="OGE53" s="13"/>
      <c r="OGF53" s="13"/>
      <c r="OGG53" s="13"/>
      <c r="OGH53" s="13"/>
      <c r="OGI53" s="13"/>
      <c r="OGJ53" s="13"/>
      <c r="OGK53" s="13"/>
      <c r="OGL53" s="13"/>
      <c r="OGM53" s="13"/>
      <c r="OGN53" s="13"/>
      <c r="OGO53" s="13"/>
      <c r="OGP53" s="13"/>
      <c r="OGQ53" s="13"/>
      <c r="OGR53" s="13"/>
      <c r="OGS53" s="13"/>
      <c r="OGT53" s="13"/>
      <c r="OGU53" s="13"/>
      <c r="OGV53" s="13"/>
      <c r="OGW53" s="13"/>
      <c r="OGX53" s="13"/>
      <c r="OGY53" s="13"/>
      <c r="OGZ53" s="13"/>
      <c r="OHA53" s="13"/>
      <c r="OHB53" s="13"/>
      <c r="OHC53" s="13"/>
      <c r="OHD53" s="13"/>
      <c r="OHE53" s="13"/>
      <c r="OHF53" s="13"/>
      <c r="OHG53" s="13"/>
      <c r="OHH53" s="13"/>
      <c r="OHI53" s="13"/>
      <c r="OHJ53" s="13"/>
      <c r="OHK53" s="13"/>
      <c r="OHL53" s="13"/>
      <c r="OHM53" s="13"/>
      <c r="OHN53" s="13"/>
      <c r="OHO53" s="13"/>
      <c r="OHP53" s="13"/>
      <c r="OHQ53" s="13"/>
      <c r="OHR53" s="13"/>
      <c r="OHS53" s="13"/>
      <c r="OHT53" s="13"/>
      <c r="OHU53" s="13"/>
      <c r="OHV53" s="13"/>
      <c r="OHW53" s="13"/>
      <c r="OHX53" s="13"/>
      <c r="OHY53" s="13"/>
      <c r="OHZ53" s="13"/>
      <c r="OIA53" s="13"/>
      <c r="OIB53" s="13"/>
      <c r="OIC53" s="13"/>
      <c r="OID53" s="13"/>
      <c r="OIE53" s="13"/>
      <c r="OIF53" s="13"/>
      <c r="OIG53" s="13"/>
      <c r="OIH53" s="13"/>
      <c r="OII53" s="13"/>
      <c r="OIJ53" s="13"/>
      <c r="OIK53" s="13"/>
      <c r="OIL53" s="13"/>
      <c r="OIM53" s="13"/>
      <c r="OIN53" s="13"/>
      <c r="OIO53" s="13"/>
      <c r="OIP53" s="13"/>
      <c r="OIQ53" s="13"/>
      <c r="OIR53" s="13"/>
      <c r="OIS53" s="13"/>
      <c r="OIT53" s="13"/>
      <c r="OIU53" s="13"/>
      <c r="OIV53" s="13"/>
      <c r="OIW53" s="13"/>
      <c r="OIX53" s="13"/>
      <c r="OIY53" s="13"/>
      <c r="OIZ53" s="13"/>
      <c r="OJA53" s="13"/>
      <c r="OJB53" s="13"/>
      <c r="OJC53" s="13"/>
      <c r="OJD53" s="13"/>
      <c r="OJE53" s="13"/>
      <c r="OJF53" s="13"/>
      <c r="OJG53" s="13"/>
      <c r="OJH53" s="13"/>
      <c r="OJI53" s="13"/>
      <c r="OJJ53" s="13"/>
      <c r="OJK53" s="13"/>
      <c r="OJL53" s="13"/>
      <c r="OJM53" s="13"/>
      <c r="OJN53" s="13"/>
      <c r="OJO53" s="13"/>
      <c r="OJP53" s="13"/>
      <c r="OJQ53" s="13"/>
      <c r="OJR53" s="13"/>
      <c r="OJS53" s="13"/>
      <c r="OJT53" s="13"/>
      <c r="OJU53" s="13"/>
      <c r="OJV53" s="13"/>
      <c r="OJW53" s="13"/>
      <c r="OJX53" s="13"/>
      <c r="OJY53" s="13"/>
      <c r="OJZ53" s="13"/>
      <c r="OKA53" s="13"/>
      <c r="OKB53" s="13"/>
      <c r="OKC53" s="13"/>
      <c r="OKD53" s="13"/>
      <c r="OKE53" s="13"/>
      <c r="OKF53" s="13"/>
      <c r="OKG53" s="13"/>
      <c r="OKH53" s="13"/>
      <c r="OKI53" s="13"/>
      <c r="OKJ53" s="13"/>
      <c r="OKK53" s="13"/>
      <c r="OKL53" s="13"/>
      <c r="OKM53" s="13"/>
      <c r="OKN53" s="13"/>
      <c r="OKO53" s="13"/>
      <c r="OKP53" s="13"/>
      <c r="OKQ53" s="13"/>
      <c r="OKR53" s="13"/>
      <c r="OKS53" s="13"/>
      <c r="OKT53" s="13"/>
      <c r="OKU53" s="13"/>
      <c r="OKV53" s="13"/>
      <c r="OKW53" s="13"/>
      <c r="OKX53" s="13"/>
      <c r="OKY53" s="13"/>
      <c r="OKZ53" s="13"/>
      <c r="OLA53" s="13"/>
      <c r="OLB53" s="13"/>
      <c r="OLC53" s="13"/>
      <c r="OLD53" s="13"/>
      <c r="OLE53" s="13"/>
      <c r="OLF53" s="13"/>
      <c r="OLG53" s="13"/>
      <c r="OLH53" s="13"/>
      <c r="OLI53" s="13"/>
      <c r="OLJ53" s="13"/>
      <c r="OLK53" s="13"/>
      <c r="OLL53" s="13"/>
      <c r="OLM53" s="13"/>
      <c r="OLN53" s="13"/>
      <c r="OLO53" s="13"/>
      <c r="OLP53" s="13"/>
      <c r="OLQ53" s="13"/>
      <c r="OLR53" s="13"/>
      <c r="OLS53" s="13"/>
      <c r="OLT53" s="13"/>
      <c r="OLU53" s="13"/>
      <c r="OLV53" s="13"/>
      <c r="OLW53" s="13"/>
      <c r="OLX53" s="13"/>
      <c r="OLY53" s="13"/>
      <c r="OLZ53" s="13"/>
      <c r="OMA53" s="13"/>
      <c r="OMB53" s="13"/>
      <c r="OMC53" s="13"/>
      <c r="OMD53" s="13"/>
      <c r="OME53" s="13"/>
      <c r="OMF53" s="13"/>
      <c r="OMG53" s="13"/>
      <c r="OMH53" s="13"/>
      <c r="OMI53" s="13"/>
      <c r="OMJ53" s="13"/>
      <c r="OMK53" s="13"/>
      <c r="OML53" s="13"/>
      <c r="OMM53" s="13"/>
      <c r="OMN53" s="13"/>
      <c r="OMO53" s="13"/>
      <c r="OMP53" s="13"/>
      <c r="OMQ53" s="13"/>
      <c r="OMR53" s="13"/>
      <c r="OMS53" s="13"/>
      <c r="OMT53" s="13"/>
      <c r="OMU53" s="13"/>
      <c r="OMV53" s="13"/>
      <c r="OMW53" s="13"/>
      <c r="OMX53" s="13"/>
      <c r="OMY53" s="13"/>
      <c r="OMZ53" s="13"/>
      <c r="ONA53" s="13"/>
      <c r="ONB53" s="13"/>
      <c r="ONC53" s="13"/>
      <c r="OND53" s="13"/>
      <c r="ONE53" s="13"/>
      <c r="ONF53" s="13"/>
      <c r="ONG53" s="13"/>
      <c r="ONH53" s="13"/>
      <c r="ONI53" s="13"/>
      <c r="ONJ53" s="13"/>
      <c r="ONK53" s="13"/>
      <c r="ONL53" s="13"/>
      <c r="ONM53" s="13"/>
      <c r="ONN53" s="13"/>
      <c r="ONO53" s="13"/>
      <c r="ONP53" s="13"/>
      <c r="ONQ53" s="13"/>
      <c r="ONR53" s="13"/>
      <c r="ONS53" s="13"/>
      <c r="ONT53" s="13"/>
      <c r="ONU53" s="13"/>
      <c r="ONV53" s="13"/>
      <c r="ONW53" s="13"/>
      <c r="ONX53" s="13"/>
      <c r="ONY53" s="13"/>
      <c r="ONZ53" s="13"/>
      <c r="OOA53" s="13"/>
      <c r="OOB53" s="13"/>
      <c r="OOC53" s="13"/>
      <c r="OOD53" s="13"/>
      <c r="OOE53" s="13"/>
      <c r="OOF53" s="13"/>
      <c r="OOG53" s="13"/>
      <c r="OOH53" s="13"/>
      <c r="OOI53" s="13"/>
      <c r="OOJ53" s="13"/>
      <c r="OOK53" s="13"/>
      <c r="OOL53" s="13"/>
      <c r="OOM53" s="13"/>
      <c r="OON53" s="13"/>
      <c r="OOO53" s="13"/>
      <c r="OOP53" s="13"/>
      <c r="OOQ53" s="13"/>
      <c r="OOR53" s="13"/>
      <c r="OOS53" s="13"/>
      <c r="OOT53" s="13"/>
      <c r="OOU53" s="13"/>
      <c r="OOV53" s="13"/>
      <c r="OOW53" s="13"/>
      <c r="OOX53" s="13"/>
      <c r="OOY53" s="13"/>
      <c r="OOZ53" s="13"/>
      <c r="OPA53" s="13"/>
      <c r="OPB53" s="13"/>
      <c r="OPC53" s="13"/>
      <c r="OPD53" s="13"/>
      <c r="OPE53" s="13"/>
      <c r="OPF53" s="13"/>
      <c r="OPG53" s="13"/>
      <c r="OPH53" s="13"/>
      <c r="OPI53" s="13"/>
      <c r="OPJ53" s="13"/>
      <c r="OPK53" s="13"/>
      <c r="OPL53" s="13"/>
      <c r="OPM53" s="13"/>
      <c r="OPN53" s="13"/>
      <c r="OPO53" s="13"/>
      <c r="OPP53" s="13"/>
      <c r="OPQ53" s="13"/>
      <c r="OPR53" s="13"/>
      <c r="OPS53" s="13"/>
      <c r="OPT53" s="13"/>
      <c r="OPU53" s="13"/>
      <c r="OPV53" s="13"/>
      <c r="OPW53" s="13"/>
      <c r="OPX53" s="13"/>
      <c r="OPY53" s="13"/>
      <c r="OPZ53" s="13"/>
      <c r="OQA53" s="13"/>
      <c r="OQB53" s="13"/>
      <c r="OQC53" s="13"/>
      <c r="OQD53" s="13"/>
      <c r="OQE53" s="13"/>
      <c r="OQF53" s="13"/>
      <c r="OQG53" s="13"/>
      <c r="OQH53" s="13"/>
      <c r="OQI53" s="13"/>
      <c r="OQJ53" s="13"/>
      <c r="OQK53" s="13"/>
      <c r="OQL53" s="13"/>
      <c r="OQM53" s="13"/>
      <c r="OQN53" s="13"/>
      <c r="OQO53" s="13"/>
      <c r="OQP53" s="13"/>
      <c r="OQQ53" s="13"/>
      <c r="OQR53" s="13"/>
      <c r="OQS53" s="13"/>
      <c r="OQT53" s="13"/>
      <c r="OQU53" s="13"/>
      <c r="OQV53" s="13"/>
      <c r="OQW53" s="13"/>
      <c r="OQX53" s="13"/>
      <c r="OQY53" s="13"/>
      <c r="OQZ53" s="13"/>
      <c r="ORA53" s="13"/>
      <c r="ORB53" s="13"/>
      <c r="ORC53" s="13"/>
      <c r="ORD53" s="13"/>
      <c r="ORE53" s="13"/>
      <c r="ORF53" s="13"/>
      <c r="ORG53" s="13"/>
      <c r="ORH53" s="13"/>
      <c r="ORI53" s="13"/>
      <c r="ORJ53" s="13"/>
      <c r="ORK53" s="13"/>
      <c r="ORL53" s="13"/>
      <c r="ORM53" s="13"/>
      <c r="ORN53" s="13"/>
      <c r="ORO53" s="13"/>
      <c r="ORP53" s="13"/>
      <c r="ORQ53" s="13"/>
      <c r="ORR53" s="13"/>
      <c r="ORS53" s="13"/>
      <c r="ORT53" s="13"/>
      <c r="ORU53" s="13"/>
      <c r="ORV53" s="13"/>
      <c r="ORW53" s="13"/>
      <c r="ORX53" s="13"/>
      <c r="ORY53" s="13"/>
      <c r="ORZ53" s="13"/>
      <c r="OSA53" s="13"/>
      <c r="OSB53" s="13"/>
      <c r="OSC53" s="13"/>
      <c r="OSD53" s="13"/>
      <c r="OSE53" s="13"/>
      <c r="OSF53" s="13"/>
      <c r="OSG53" s="13"/>
      <c r="OSH53" s="13"/>
      <c r="OSI53" s="13"/>
      <c r="OSJ53" s="13"/>
      <c r="OSK53" s="13"/>
      <c r="OSL53" s="13"/>
      <c r="OSM53" s="13"/>
      <c r="OSN53" s="13"/>
      <c r="OSO53" s="13"/>
      <c r="OSP53" s="13"/>
      <c r="OSQ53" s="13"/>
      <c r="OSR53" s="13"/>
      <c r="OSS53" s="13"/>
      <c r="OST53" s="13"/>
      <c r="OSU53" s="13"/>
      <c r="OSV53" s="13"/>
      <c r="OSW53" s="13"/>
      <c r="OSX53" s="13"/>
      <c r="OSY53" s="13"/>
      <c r="OSZ53" s="13"/>
      <c r="OTA53" s="13"/>
      <c r="OTB53" s="13"/>
      <c r="OTC53" s="13"/>
      <c r="OTD53" s="13"/>
      <c r="OTE53" s="13"/>
      <c r="OTF53" s="13"/>
      <c r="OTG53" s="13"/>
      <c r="OTH53" s="13"/>
      <c r="OTI53" s="13"/>
      <c r="OTJ53" s="13"/>
      <c r="OTK53" s="13"/>
      <c r="OTL53" s="13"/>
      <c r="OTM53" s="13"/>
      <c r="OTN53" s="13"/>
      <c r="OTO53" s="13"/>
      <c r="OTP53" s="13"/>
      <c r="OTQ53" s="13"/>
      <c r="OTR53" s="13"/>
      <c r="OTS53" s="13"/>
      <c r="OTT53" s="13"/>
      <c r="OTU53" s="13"/>
      <c r="OTV53" s="13"/>
      <c r="OTW53" s="13"/>
      <c r="OTX53" s="13"/>
      <c r="OTY53" s="13"/>
      <c r="OTZ53" s="13"/>
      <c r="OUA53" s="13"/>
      <c r="OUB53" s="13"/>
      <c r="OUC53" s="13"/>
      <c r="OUD53" s="13"/>
      <c r="OUE53" s="13"/>
      <c r="OUF53" s="13"/>
      <c r="OUG53" s="13"/>
      <c r="OUH53" s="13"/>
      <c r="OUI53" s="13"/>
      <c r="OUJ53" s="13"/>
      <c r="OUK53" s="13"/>
      <c r="OUL53" s="13"/>
      <c r="OUM53" s="13"/>
      <c r="OUN53" s="13"/>
      <c r="OUO53" s="13"/>
      <c r="OUP53" s="13"/>
      <c r="OUQ53" s="13"/>
      <c r="OUR53" s="13"/>
      <c r="OUS53" s="13"/>
      <c r="OUT53" s="13"/>
      <c r="OUU53" s="13"/>
      <c r="OUV53" s="13"/>
      <c r="OUW53" s="13"/>
      <c r="OUX53" s="13"/>
      <c r="OUY53" s="13"/>
      <c r="OUZ53" s="13"/>
      <c r="OVA53" s="13"/>
      <c r="OVB53" s="13"/>
      <c r="OVC53" s="13"/>
      <c r="OVD53" s="13"/>
      <c r="OVE53" s="13"/>
      <c r="OVF53" s="13"/>
      <c r="OVG53" s="13"/>
      <c r="OVH53" s="13"/>
      <c r="OVI53" s="13"/>
      <c r="OVJ53" s="13"/>
      <c r="OVK53" s="13"/>
      <c r="OVL53" s="13"/>
      <c r="OVM53" s="13"/>
      <c r="OVN53" s="13"/>
      <c r="OVO53" s="13"/>
      <c r="OVP53" s="13"/>
      <c r="OVQ53" s="13"/>
      <c r="OVR53" s="13"/>
      <c r="OVS53" s="13"/>
      <c r="OVT53" s="13"/>
      <c r="OVU53" s="13"/>
      <c r="OVV53" s="13"/>
      <c r="OVW53" s="13"/>
      <c r="OVX53" s="13"/>
      <c r="OVY53" s="13"/>
      <c r="OVZ53" s="13"/>
      <c r="OWA53" s="13"/>
      <c r="OWB53" s="13"/>
      <c r="OWC53" s="13"/>
      <c r="OWD53" s="13"/>
      <c r="OWE53" s="13"/>
      <c r="OWF53" s="13"/>
      <c r="OWG53" s="13"/>
      <c r="OWH53" s="13"/>
      <c r="OWI53" s="13"/>
      <c r="OWJ53" s="13"/>
      <c r="OWK53" s="13"/>
      <c r="OWL53" s="13"/>
      <c r="OWM53" s="13"/>
      <c r="OWN53" s="13"/>
      <c r="OWO53" s="13"/>
      <c r="OWP53" s="13"/>
      <c r="OWQ53" s="13"/>
      <c r="OWR53" s="13"/>
      <c r="OWS53" s="13"/>
      <c r="OWT53" s="13"/>
      <c r="OWU53" s="13"/>
      <c r="OWV53" s="13"/>
      <c r="OWW53" s="13"/>
      <c r="OWX53" s="13"/>
      <c r="OWY53" s="13"/>
      <c r="OWZ53" s="13"/>
      <c r="OXA53" s="13"/>
      <c r="OXB53" s="13"/>
      <c r="OXC53" s="13"/>
      <c r="OXD53" s="13"/>
      <c r="OXE53" s="13"/>
      <c r="OXF53" s="13"/>
      <c r="OXG53" s="13"/>
      <c r="OXH53" s="13"/>
      <c r="OXI53" s="13"/>
      <c r="OXJ53" s="13"/>
      <c r="OXK53" s="13"/>
      <c r="OXL53" s="13"/>
      <c r="OXM53" s="13"/>
      <c r="OXN53" s="13"/>
      <c r="OXO53" s="13"/>
      <c r="OXP53" s="13"/>
      <c r="OXQ53" s="13"/>
      <c r="OXR53" s="13"/>
      <c r="OXS53" s="13"/>
      <c r="OXT53" s="13"/>
      <c r="OXU53" s="13"/>
      <c r="OXV53" s="13"/>
      <c r="OXW53" s="13"/>
      <c r="OXX53" s="13"/>
      <c r="OXY53" s="13"/>
      <c r="OXZ53" s="13"/>
      <c r="OYA53" s="13"/>
      <c r="OYB53" s="13"/>
      <c r="OYC53" s="13"/>
      <c r="OYD53" s="13"/>
      <c r="OYE53" s="13"/>
      <c r="OYF53" s="13"/>
      <c r="OYG53" s="13"/>
      <c r="OYH53" s="13"/>
      <c r="OYI53" s="13"/>
      <c r="OYJ53" s="13"/>
      <c r="OYK53" s="13"/>
      <c r="OYL53" s="13"/>
      <c r="OYM53" s="13"/>
      <c r="OYN53" s="13"/>
      <c r="OYO53" s="13"/>
      <c r="OYP53" s="13"/>
      <c r="OYQ53" s="13"/>
      <c r="OYR53" s="13"/>
      <c r="OYS53" s="13"/>
      <c r="OYT53" s="13"/>
      <c r="OYU53" s="13"/>
      <c r="OYV53" s="13"/>
      <c r="OYW53" s="13"/>
      <c r="OYX53" s="13"/>
      <c r="OYY53" s="13"/>
      <c r="OYZ53" s="13"/>
      <c r="OZA53" s="13"/>
      <c r="OZB53" s="13"/>
      <c r="OZC53" s="13"/>
      <c r="OZD53" s="13"/>
      <c r="OZE53" s="13"/>
      <c r="OZF53" s="13"/>
      <c r="OZG53" s="13"/>
      <c r="OZH53" s="13"/>
      <c r="OZI53" s="13"/>
      <c r="OZJ53" s="13"/>
      <c r="OZK53" s="13"/>
      <c r="OZL53" s="13"/>
      <c r="OZM53" s="13"/>
      <c r="OZN53" s="13"/>
      <c r="OZO53" s="13"/>
      <c r="OZP53" s="13"/>
      <c r="OZQ53" s="13"/>
      <c r="OZR53" s="13"/>
      <c r="OZS53" s="13"/>
      <c r="OZT53" s="13"/>
      <c r="OZU53" s="13"/>
      <c r="OZV53" s="13"/>
      <c r="OZW53" s="13"/>
      <c r="OZX53" s="13"/>
      <c r="OZY53" s="13"/>
      <c r="OZZ53" s="13"/>
      <c r="PAA53" s="13"/>
      <c r="PAB53" s="13"/>
      <c r="PAC53" s="13"/>
      <c r="PAD53" s="13"/>
      <c r="PAE53" s="13"/>
      <c r="PAF53" s="13"/>
      <c r="PAG53" s="13"/>
      <c r="PAH53" s="13"/>
      <c r="PAI53" s="13"/>
      <c r="PAJ53" s="13"/>
      <c r="PAK53" s="13"/>
      <c r="PAL53" s="13"/>
      <c r="PAM53" s="13"/>
      <c r="PAN53" s="13"/>
      <c r="PAO53" s="13"/>
      <c r="PAP53" s="13"/>
      <c r="PAQ53" s="13"/>
      <c r="PAR53" s="13"/>
      <c r="PAS53" s="13"/>
      <c r="PAT53" s="13"/>
      <c r="PAU53" s="13"/>
      <c r="PAV53" s="13"/>
      <c r="PAW53" s="13"/>
      <c r="PAX53" s="13"/>
      <c r="PAY53" s="13"/>
      <c r="PAZ53" s="13"/>
      <c r="PBA53" s="13"/>
      <c r="PBB53" s="13"/>
      <c r="PBC53" s="13"/>
      <c r="PBD53" s="13"/>
      <c r="PBE53" s="13"/>
      <c r="PBF53" s="13"/>
      <c r="PBG53" s="13"/>
      <c r="PBH53" s="13"/>
      <c r="PBI53" s="13"/>
      <c r="PBJ53" s="13"/>
      <c r="PBK53" s="13"/>
      <c r="PBL53" s="13"/>
      <c r="PBM53" s="13"/>
      <c r="PBN53" s="13"/>
      <c r="PBO53" s="13"/>
      <c r="PBP53" s="13"/>
      <c r="PBQ53" s="13"/>
      <c r="PBR53" s="13"/>
      <c r="PBS53" s="13"/>
      <c r="PBT53" s="13"/>
      <c r="PBU53" s="13"/>
      <c r="PBV53" s="13"/>
      <c r="PBW53" s="13"/>
      <c r="PBX53" s="13"/>
      <c r="PBY53" s="13"/>
      <c r="PBZ53" s="13"/>
      <c r="PCA53" s="13"/>
      <c r="PCB53" s="13"/>
      <c r="PCC53" s="13"/>
      <c r="PCD53" s="13"/>
      <c r="PCE53" s="13"/>
      <c r="PCF53" s="13"/>
      <c r="PCG53" s="13"/>
      <c r="PCH53" s="13"/>
      <c r="PCI53" s="13"/>
      <c r="PCJ53" s="13"/>
      <c r="PCK53" s="13"/>
      <c r="PCL53" s="13"/>
      <c r="PCM53" s="13"/>
      <c r="PCN53" s="13"/>
      <c r="PCO53" s="13"/>
      <c r="PCP53" s="13"/>
      <c r="PCQ53" s="13"/>
      <c r="PCR53" s="13"/>
      <c r="PCS53" s="13"/>
      <c r="PCT53" s="13"/>
      <c r="PCU53" s="13"/>
      <c r="PCV53" s="13"/>
      <c r="PCW53" s="13"/>
      <c r="PCX53" s="13"/>
      <c r="PCY53" s="13"/>
      <c r="PCZ53" s="13"/>
      <c r="PDA53" s="13"/>
      <c r="PDB53" s="13"/>
      <c r="PDC53" s="13"/>
      <c r="PDD53" s="13"/>
      <c r="PDE53" s="13"/>
      <c r="PDF53" s="13"/>
      <c r="PDG53" s="13"/>
      <c r="PDH53" s="13"/>
      <c r="PDI53" s="13"/>
      <c r="PDJ53" s="13"/>
      <c r="PDK53" s="13"/>
      <c r="PDL53" s="13"/>
      <c r="PDM53" s="13"/>
      <c r="PDN53" s="13"/>
      <c r="PDO53" s="13"/>
      <c r="PDP53" s="13"/>
      <c r="PDQ53" s="13"/>
      <c r="PDR53" s="13"/>
      <c r="PDS53" s="13"/>
      <c r="PDT53" s="13"/>
      <c r="PDU53" s="13"/>
      <c r="PDV53" s="13"/>
      <c r="PDW53" s="13"/>
      <c r="PDX53" s="13"/>
      <c r="PDY53" s="13"/>
      <c r="PDZ53" s="13"/>
      <c r="PEA53" s="13"/>
      <c r="PEB53" s="13"/>
      <c r="PEC53" s="13"/>
      <c r="PED53" s="13"/>
      <c r="PEE53" s="13"/>
      <c r="PEF53" s="13"/>
      <c r="PEG53" s="13"/>
      <c r="PEH53" s="13"/>
      <c r="PEI53" s="13"/>
      <c r="PEJ53" s="13"/>
      <c r="PEK53" s="13"/>
      <c r="PEL53" s="13"/>
      <c r="PEM53" s="13"/>
      <c r="PEN53" s="13"/>
      <c r="PEO53" s="13"/>
      <c r="PEP53" s="13"/>
      <c r="PEQ53" s="13"/>
      <c r="PER53" s="13"/>
      <c r="PES53" s="13"/>
      <c r="PET53" s="13"/>
      <c r="PEU53" s="13"/>
      <c r="PEV53" s="13"/>
      <c r="PEW53" s="13"/>
      <c r="PEX53" s="13"/>
      <c r="PEY53" s="13"/>
      <c r="PEZ53" s="13"/>
      <c r="PFA53" s="13"/>
      <c r="PFB53" s="13"/>
      <c r="PFC53" s="13"/>
      <c r="PFD53" s="13"/>
      <c r="PFE53" s="13"/>
      <c r="PFF53" s="13"/>
      <c r="PFG53" s="13"/>
      <c r="PFH53" s="13"/>
      <c r="PFI53" s="13"/>
      <c r="PFJ53" s="13"/>
      <c r="PFK53" s="13"/>
      <c r="PFL53" s="13"/>
      <c r="PFM53" s="13"/>
      <c r="PFN53" s="13"/>
      <c r="PFO53" s="13"/>
      <c r="PFP53" s="13"/>
      <c r="PFQ53" s="13"/>
      <c r="PFR53" s="13"/>
      <c r="PFS53" s="13"/>
      <c r="PFT53" s="13"/>
      <c r="PFU53" s="13"/>
      <c r="PFV53" s="13"/>
      <c r="PFW53" s="13"/>
      <c r="PFX53" s="13"/>
      <c r="PFY53" s="13"/>
      <c r="PFZ53" s="13"/>
      <c r="PGA53" s="13"/>
      <c r="PGB53" s="13"/>
      <c r="PGC53" s="13"/>
      <c r="PGD53" s="13"/>
      <c r="PGE53" s="13"/>
      <c r="PGF53" s="13"/>
      <c r="PGG53" s="13"/>
      <c r="PGH53" s="13"/>
      <c r="PGI53" s="13"/>
      <c r="PGJ53" s="13"/>
      <c r="PGK53" s="13"/>
      <c r="PGL53" s="13"/>
      <c r="PGM53" s="13"/>
      <c r="PGN53" s="13"/>
      <c r="PGO53" s="13"/>
      <c r="PGP53" s="13"/>
      <c r="PGQ53" s="13"/>
      <c r="PGR53" s="13"/>
      <c r="PGS53" s="13"/>
      <c r="PGT53" s="13"/>
      <c r="PGU53" s="13"/>
      <c r="PGV53" s="13"/>
      <c r="PGW53" s="13"/>
      <c r="PGX53" s="13"/>
      <c r="PGY53" s="13"/>
      <c r="PGZ53" s="13"/>
      <c r="PHA53" s="13"/>
      <c r="PHB53" s="13"/>
      <c r="PHC53" s="13"/>
      <c r="PHD53" s="13"/>
      <c r="PHE53" s="13"/>
      <c r="PHF53" s="13"/>
      <c r="PHG53" s="13"/>
      <c r="PHH53" s="13"/>
      <c r="PHI53" s="13"/>
      <c r="PHJ53" s="13"/>
      <c r="PHK53" s="13"/>
      <c r="PHL53" s="13"/>
      <c r="PHM53" s="13"/>
      <c r="PHN53" s="13"/>
      <c r="PHO53" s="13"/>
      <c r="PHP53" s="13"/>
      <c r="PHQ53" s="13"/>
      <c r="PHR53" s="13"/>
      <c r="PHS53" s="13"/>
      <c r="PHT53" s="13"/>
      <c r="PHU53" s="13"/>
      <c r="PHV53" s="13"/>
      <c r="PHW53" s="13"/>
      <c r="PHX53" s="13"/>
      <c r="PHY53" s="13"/>
      <c r="PHZ53" s="13"/>
      <c r="PIA53" s="13"/>
      <c r="PIB53" s="13"/>
      <c r="PIC53" s="13"/>
      <c r="PID53" s="13"/>
      <c r="PIE53" s="13"/>
      <c r="PIF53" s="13"/>
      <c r="PIG53" s="13"/>
      <c r="PIH53" s="13"/>
      <c r="PII53" s="13"/>
      <c r="PIJ53" s="13"/>
      <c r="PIK53" s="13"/>
      <c r="PIL53" s="13"/>
      <c r="PIM53" s="13"/>
      <c r="PIN53" s="13"/>
      <c r="PIO53" s="13"/>
      <c r="PIP53" s="13"/>
      <c r="PIQ53" s="13"/>
      <c r="PIR53" s="13"/>
      <c r="PIS53" s="13"/>
      <c r="PIT53" s="13"/>
      <c r="PIU53" s="13"/>
      <c r="PIV53" s="13"/>
      <c r="PIW53" s="13"/>
      <c r="PIX53" s="13"/>
      <c r="PIY53" s="13"/>
      <c r="PIZ53" s="13"/>
      <c r="PJA53" s="13"/>
      <c r="PJB53" s="13"/>
      <c r="PJC53" s="13"/>
      <c r="PJD53" s="13"/>
      <c r="PJE53" s="13"/>
      <c r="PJF53" s="13"/>
      <c r="PJG53" s="13"/>
      <c r="PJH53" s="13"/>
      <c r="PJI53" s="13"/>
      <c r="PJJ53" s="13"/>
      <c r="PJK53" s="13"/>
      <c r="PJL53" s="13"/>
      <c r="PJM53" s="13"/>
      <c r="PJN53" s="13"/>
      <c r="PJO53" s="13"/>
      <c r="PJP53" s="13"/>
      <c r="PJQ53" s="13"/>
      <c r="PJR53" s="13"/>
      <c r="PJS53" s="13"/>
      <c r="PJT53" s="13"/>
      <c r="PJU53" s="13"/>
      <c r="PJV53" s="13"/>
      <c r="PJW53" s="13"/>
      <c r="PJX53" s="13"/>
      <c r="PJY53" s="13"/>
      <c r="PJZ53" s="13"/>
      <c r="PKA53" s="13"/>
      <c r="PKB53" s="13"/>
      <c r="PKC53" s="13"/>
      <c r="PKD53" s="13"/>
      <c r="PKE53" s="13"/>
      <c r="PKF53" s="13"/>
      <c r="PKG53" s="13"/>
      <c r="PKH53" s="13"/>
      <c r="PKI53" s="13"/>
      <c r="PKJ53" s="13"/>
      <c r="PKK53" s="13"/>
      <c r="PKL53" s="13"/>
      <c r="PKM53" s="13"/>
      <c r="PKN53" s="13"/>
      <c r="PKO53" s="13"/>
      <c r="PKP53" s="13"/>
      <c r="PKQ53" s="13"/>
      <c r="PKR53" s="13"/>
      <c r="PKS53" s="13"/>
      <c r="PKT53" s="13"/>
      <c r="PKU53" s="13"/>
      <c r="PKV53" s="13"/>
      <c r="PKW53" s="13"/>
      <c r="PKX53" s="13"/>
      <c r="PKY53" s="13"/>
      <c r="PKZ53" s="13"/>
      <c r="PLA53" s="13"/>
      <c r="PLB53" s="13"/>
      <c r="PLC53" s="13"/>
      <c r="PLD53" s="13"/>
      <c r="PLE53" s="13"/>
      <c r="PLF53" s="13"/>
      <c r="PLG53" s="13"/>
      <c r="PLH53" s="13"/>
      <c r="PLI53" s="13"/>
      <c r="PLJ53" s="13"/>
      <c r="PLK53" s="13"/>
      <c r="PLL53" s="13"/>
      <c r="PLM53" s="13"/>
      <c r="PLN53" s="13"/>
      <c r="PLO53" s="13"/>
      <c r="PLP53" s="13"/>
      <c r="PLQ53" s="13"/>
      <c r="PLR53" s="13"/>
      <c r="PLS53" s="13"/>
      <c r="PLT53" s="13"/>
      <c r="PLU53" s="13"/>
      <c r="PLV53" s="13"/>
      <c r="PLW53" s="13"/>
      <c r="PLX53" s="13"/>
      <c r="PLY53" s="13"/>
      <c r="PLZ53" s="13"/>
      <c r="PMA53" s="13"/>
      <c r="PMB53" s="13"/>
      <c r="PMC53" s="13"/>
      <c r="PMD53" s="13"/>
      <c r="PME53" s="13"/>
      <c r="PMF53" s="13"/>
      <c r="PMG53" s="13"/>
      <c r="PMH53" s="13"/>
      <c r="PMI53" s="13"/>
      <c r="PMJ53" s="13"/>
      <c r="PMK53" s="13"/>
      <c r="PML53" s="13"/>
      <c r="PMM53" s="13"/>
      <c r="PMN53" s="13"/>
      <c r="PMO53" s="13"/>
      <c r="PMP53" s="13"/>
      <c r="PMQ53" s="13"/>
      <c r="PMR53" s="13"/>
      <c r="PMS53" s="13"/>
      <c r="PMT53" s="13"/>
      <c r="PMU53" s="13"/>
      <c r="PMV53" s="13"/>
      <c r="PMW53" s="13"/>
      <c r="PMX53" s="13"/>
      <c r="PMY53" s="13"/>
      <c r="PMZ53" s="13"/>
      <c r="PNA53" s="13"/>
      <c r="PNB53" s="13"/>
      <c r="PNC53" s="13"/>
      <c r="PND53" s="13"/>
      <c r="PNE53" s="13"/>
      <c r="PNF53" s="13"/>
      <c r="PNG53" s="13"/>
      <c r="PNH53" s="13"/>
      <c r="PNI53" s="13"/>
      <c r="PNJ53" s="13"/>
      <c r="PNK53" s="13"/>
      <c r="PNL53" s="13"/>
      <c r="PNM53" s="13"/>
      <c r="PNN53" s="13"/>
      <c r="PNO53" s="13"/>
      <c r="PNP53" s="13"/>
      <c r="PNQ53" s="13"/>
      <c r="PNR53" s="13"/>
      <c r="PNS53" s="13"/>
      <c r="PNT53" s="13"/>
      <c r="PNU53" s="13"/>
      <c r="PNV53" s="13"/>
      <c r="PNW53" s="13"/>
      <c r="PNX53" s="13"/>
      <c r="PNY53" s="13"/>
      <c r="PNZ53" s="13"/>
      <c r="POA53" s="13"/>
      <c r="POB53" s="13"/>
      <c r="POC53" s="13"/>
      <c r="POD53" s="13"/>
      <c r="POE53" s="13"/>
      <c r="POF53" s="13"/>
      <c r="POG53" s="13"/>
      <c r="POH53" s="13"/>
      <c r="POI53" s="13"/>
      <c r="POJ53" s="13"/>
      <c r="POK53" s="13"/>
      <c r="POL53" s="13"/>
      <c r="POM53" s="13"/>
      <c r="PON53" s="13"/>
      <c r="POO53" s="13"/>
      <c r="POP53" s="13"/>
      <c r="POQ53" s="13"/>
      <c r="POR53" s="13"/>
      <c r="POS53" s="13"/>
      <c r="POT53" s="13"/>
      <c r="POU53" s="13"/>
      <c r="POV53" s="13"/>
      <c r="POW53" s="13"/>
      <c r="POX53" s="13"/>
      <c r="POY53" s="13"/>
      <c r="POZ53" s="13"/>
      <c r="PPA53" s="13"/>
      <c r="PPB53" s="13"/>
      <c r="PPC53" s="13"/>
      <c r="PPD53" s="13"/>
      <c r="PPE53" s="13"/>
      <c r="PPF53" s="13"/>
      <c r="PPG53" s="13"/>
      <c r="PPH53" s="13"/>
      <c r="PPI53" s="13"/>
      <c r="PPJ53" s="13"/>
      <c r="PPK53" s="13"/>
      <c r="PPL53" s="13"/>
      <c r="PPM53" s="13"/>
      <c r="PPN53" s="13"/>
      <c r="PPO53" s="13"/>
      <c r="PPP53" s="13"/>
      <c r="PPQ53" s="13"/>
      <c r="PPR53" s="13"/>
      <c r="PPS53" s="13"/>
      <c r="PPT53" s="13"/>
      <c r="PPU53" s="13"/>
      <c r="PPV53" s="13"/>
      <c r="PPW53" s="13"/>
      <c r="PPX53" s="13"/>
      <c r="PPY53" s="13"/>
      <c r="PPZ53" s="13"/>
      <c r="PQA53" s="13"/>
      <c r="PQB53" s="13"/>
      <c r="PQC53" s="13"/>
      <c r="PQD53" s="13"/>
      <c r="PQE53" s="13"/>
      <c r="PQF53" s="13"/>
      <c r="PQG53" s="13"/>
      <c r="PQH53" s="13"/>
      <c r="PQI53" s="13"/>
      <c r="PQJ53" s="13"/>
      <c r="PQK53" s="13"/>
      <c r="PQL53" s="13"/>
      <c r="PQM53" s="13"/>
      <c r="PQN53" s="13"/>
      <c r="PQO53" s="13"/>
      <c r="PQP53" s="13"/>
      <c r="PQQ53" s="13"/>
      <c r="PQR53" s="13"/>
      <c r="PQS53" s="13"/>
      <c r="PQT53" s="13"/>
      <c r="PQU53" s="13"/>
      <c r="PQV53" s="13"/>
      <c r="PQW53" s="13"/>
      <c r="PQX53" s="13"/>
      <c r="PQY53" s="13"/>
      <c r="PQZ53" s="13"/>
      <c r="PRA53" s="13"/>
      <c r="PRB53" s="13"/>
      <c r="PRC53" s="13"/>
      <c r="PRD53" s="13"/>
      <c r="PRE53" s="13"/>
      <c r="PRF53" s="13"/>
      <c r="PRG53" s="13"/>
      <c r="PRH53" s="13"/>
      <c r="PRI53" s="13"/>
      <c r="PRJ53" s="13"/>
      <c r="PRK53" s="13"/>
      <c r="PRL53" s="13"/>
      <c r="PRM53" s="13"/>
      <c r="PRN53" s="13"/>
      <c r="PRO53" s="13"/>
      <c r="PRP53" s="13"/>
      <c r="PRQ53" s="13"/>
      <c r="PRR53" s="13"/>
      <c r="PRS53" s="13"/>
      <c r="PRT53" s="13"/>
      <c r="PRU53" s="13"/>
      <c r="PRV53" s="13"/>
      <c r="PRW53" s="13"/>
      <c r="PRX53" s="13"/>
      <c r="PRY53" s="13"/>
      <c r="PRZ53" s="13"/>
      <c r="PSA53" s="13"/>
      <c r="PSB53" s="13"/>
      <c r="PSC53" s="13"/>
      <c r="PSD53" s="13"/>
      <c r="PSE53" s="13"/>
      <c r="PSF53" s="13"/>
      <c r="PSG53" s="13"/>
      <c r="PSH53" s="13"/>
      <c r="PSI53" s="13"/>
      <c r="PSJ53" s="13"/>
      <c r="PSK53" s="13"/>
      <c r="PSL53" s="13"/>
      <c r="PSM53" s="13"/>
      <c r="PSN53" s="13"/>
      <c r="PSO53" s="13"/>
      <c r="PSP53" s="13"/>
      <c r="PSQ53" s="13"/>
      <c r="PSR53" s="13"/>
      <c r="PSS53" s="13"/>
      <c r="PST53" s="13"/>
      <c r="PSU53" s="13"/>
      <c r="PSV53" s="13"/>
      <c r="PSW53" s="13"/>
      <c r="PSX53" s="13"/>
      <c r="PSY53" s="13"/>
      <c r="PSZ53" s="13"/>
      <c r="PTA53" s="13"/>
      <c r="PTB53" s="13"/>
      <c r="PTC53" s="13"/>
      <c r="PTD53" s="13"/>
      <c r="PTE53" s="13"/>
      <c r="PTF53" s="13"/>
      <c r="PTG53" s="13"/>
      <c r="PTH53" s="13"/>
      <c r="PTI53" s="13"/>
      <c r="PTJ53" s="13"/>
      <c r="PTK53" s="13"/>
      <c r="PTL53" s="13"/>
      <c r="PTM53" s="13"/>
      <c r="PTN53" s="13"/>
      <c r="PTO53" s="13"/>
      <c r="PTP53" s="13"/>
      <c r="PTQ53" s="13"/>
      <c r="PTR53" s="13"/>
      <c r="PTS53" s="13"/>
      <c r="PTT53" s="13"/>
      <c r="PTU53" s="13"/>
      <c r="PTV53" s="13"/>
      <c r="PTW53" s="13"/>
      <c r="PTX53" s="13"/>
      <c r="PTY53" s="13"/>
      <c r="PTZ53" s="13"/>
      <c r="PUA53" s="13"/>
      <c r="PUB53" s="13"/>
      <c r="PUC53" s="13"/>
      <c r="PUD53" s="13"/>
      <c r="PUE53" s="13"/>
      <c r="PUF53" s="13"/>
      <c r="PUG53" s="13"/>
      <c r="PUH53" s="13"/>
      <c r="PUI53" s="13"/>
      <c r="PUJ53" s="13"/>
      <c r="PUK53" s="13"/>
      <c r="PUL53" s="13"/>
      <c r="PUM53" s="13"/>
      <c r="PUN53" s="13"/>
      <c r="PUO53" s="13"/>
      <c r="PUP53" s="13"/>
      <c r="PUQ53" s="13"/>
      <c r="PUR53" s="13"/>
      <c r="PUS53" s="13"/>
      <c r="PUT53" s="13"/>
      <c r="PUU53" s="13"/>
      <c r="PUV53" s="13"/>
      <c r="PUW53" s="13"/>
      <c r="PUX53" s="13"/>
      <c r="PUY53" s="13"/>
      <c r="PUZ53" s="13"/>
      <c r="PVA53" s="13"/>
      <c r="PVB53" s="13"/>
      <c r="PVC53" s="13"/>
      <c r="PVD53" s="13"/>
      <c r="PVE53" s="13"/>
      <c r="PVF53" s="13"/>
      <c r="PVG53" s="13"/>
      <c r="PVH53" s="13"/>
      <c r="PVI53" s="13"/>
      <c r="PVJ53" s="13"/>
      <c r="PVK53" s="13"/>
      <c r="PVL53" s="13"/>
      <c r="PVM53" s="13"/>
      <c r="PVN53" s="13"/>
      <c r="PVO53" s="13"/>
      <c r="PVP53" s="13"/>
      <c r="PVQ53" s="13"/>
      <c r="PVR53" s="13"/>
      <c r="PVS53" s="13"/>
      <c r="PVT53" s="13"/>
      <c r="PVU53" s="13"/>
      <c r="PVV53" s="13"/>
      <c r="PVW53" s="13"/>
      <c r="PVX53" s="13"/>
      <c r="PVY53" s="13"/>
      <c r="PVZ53" s="13"/>
      <c r="PWA53" s="13"/>
      <c r="PWB53" s="13"/>
      <c r="PWC53" s="13"/>
      <c r="PWD53" s="13"/>
      <c r="PWE53" s="13"/>
      <c r="PWF53" s="13"/>
      <c r="PWG53" s="13"/>
      <c r="PWH53" s="13"/>
      <c r="PWI53" s="13"/>
      <c r="PWJ53" s="13"/>
      <c r="PWK53" s="13"/>
      <c r="PWL53" s="13"/>
      <c r="PWM53" s="13"/>
      <c r="PWN53" s="13"/>
      <c r="PWO53" s="13"/>
      <c r="PWP53" s="13"/>
      <c r="PWQ53" s="13"/>
      <c r="PWR53" s="13"/>
      <c r="PWS53" s="13"/>
      <c r="PWT53" s="13"/>
      <c r="PWU53" s="13"/>
      <c r="PWV53" s="13"/>
      <c r="PWW53" s="13"/>
      <c r="PWX53" s="13"/>
      <c r="PWY53" s="13"/>
      <c r="PWZ53" s="13"/>
      <c r="PXA53" s="13"/>
      <c r="PXB53" s="13"/>
      <c r="PXC53" s="13"/>
      <c r="PXD53" s="13"/>
      <c r="PXE53" s="13"/>
      <c r="PXF53" s="13"/>
      <c r="PXG53" s="13"/>
      <c r="PXH53" s="13"/>
      <c r="PXI53" s="13"/>
      <c r="PXJ53" s="13"/>
      <c r="PXK53" s="13"/>
      <c r="PXL53" s="13"/>
      <c r="PXM53" s="13"/>
      <c r="PXN53" s="13"/>
      <c r="PXO53" s="13"/>
      <c r="PXP53" s="13"/>
      <c r="PXQ53" s="13"/>
      <c r="PXR53" s="13"/>
      <c r="PXS53" s="13"/>
      <c r="PXT53" s="13"/>
      <c r="PXU53" s="13"/>
      <c r="PXV53" s="13"/>
      <c r="PXW53" s="13"/>
      <c r="PXX53" s="13"/>
      <c r="PXY53" s="13"/>
      <c r="PXZ53" s="13"/>
      <c r="PYA53" s="13"/>
      <c r="PYB53" s="13"/>
      <c r="PYC53" s="13"/>
      <c r="PYD53" s="13"/>
      <c r="PYE53" s="13"/>
      <c r="PYF53" s="13"/>
      <c r="PYG53" s="13"/>
      <c r="PYH53" s="13"/>
      <c r="PYI53" s="13"/>
      <c r="PYJ53" s="13"/>
      <c r="PYK53" s="13"/>
      <c r="PYL53" s="13"/>
      <c r="PYM53" s="13"/>
      <c r="PYN53" s="13"/>
      <c r="PYO53" s="13"/>
      <c r="PYP53" s="13"/>
      <c r="PYQ53" s="13"/>
      <c r="PYR53" s="13"/>
      <c r="PYS53" s="13"/>
      <c r="PYT53" s="13"/>
      <c r="PYU53" s="13"/>
      <c r="PYV53" s="13"/>
      <c r="PYW53" s="13"/>
      <c r="PYX53" s="13"/>
      <c r="PYY53" s="13"/>
      <c r="PYZ53" s="13"/>
      <c r="PZA53" s="13"/>
      <c r="PZB53" s="13"/>
      <c r="PZC53" s="13"/>
      <c r="PZD53" s="13"/>
      <c r="PZE53" s="13"/>
      <c r="PZF53" s="13"/>
      <c r="PZG53" s="13"/>
      <c r="PZH53" s="13"/>
      <c r="PZI53" s="13"/>
      <c r="PZJ53" s="13"/>
      <c r="PZK53" s="13"/>
      <c r="PZL53" s="13"/>
      <c r="PZM53" s="13"/>
      <c r="PZN53" s="13"/>
      <c r="PZO53" s="13"/>
      <c r="PZP53" s="13"/>
      <c r="PZQ53" s="13"/>
      <c r="PZR53" s="13"/>
      <c r="PZS53" s="13"/>
      <c r="PZT53" s="13"/>
      <c r="PZU53" s="13"/>
      <c r="PZV53" s="13"/>
      <c r="PZW53" s="13"/>
      <c r="PZX53" s="13"/>
      <c r="PZY53" s="13"/>
      <c r="PZZ53" s="13"/>
      <c r="QAA53" s="13"/>
      <c r="QAB53" s="13"/>
      <c r="QAC53" s="13"/>
      <c r="QAD53" s="13"/>
      <c r="QAE53" s="13"/>
      <c r="QAF53" s="13"/>
      <c r="QAG53" s="13"/>
      <c r="QAH53" s="13"/>
      <c r="QAI53" s="13"/>
      <c r="QAJ53" s="13"/>
      <c r="QAK53" s="13"/>
      <c r="QAL53" s="13"/>
      <c r="QAM53" s="13"/>
      <c r="QAN53" s="13"/>
      <c r="QAO53" s="13"/>
      <c r="QAP53" s="13"/>
      <c r="QAQ53" s="13"/>
      <c r="QAR53" s="13"/>
      <c r="QAS53" s="13"/>
      <c r="QAT53" s="13"/>
      <c r="QAU53" s="13"/>
      <c r="QAV53" s="13"/>
      <c r="QAW53" s="13"/>
      <c r="QAX53" s="13"/>
      <c r="QAY53" s="13"/>
      <c r="QAZ53" s="13"/>
      <c r="QBA53" s="13"/>
      <c r="QBB53" s="13"/>
      <c r="QBC53" s="13"/>
      <c r="QBD53" s="13"/>
      <c r="QBE53" s="13"/>
      <c r="QBF53" s="13"/>
      <c r="QBG53" s="13"/>
      <c r="QBH53" s="13"/>
      <c r="QBI53" s="13"/>
      <c r="QBJ53" s="13"/>
      <c r="QBK53" s="13"/>
      <c r="QBL53" s="13"/>
      <c r="QBM53" s="13"/>
      <c r="QBN53" s="13"/>
      <c r="QBO53" s="13"/>
      <c r="QBP53" s="13"/>
      <c r="QBQ53" s="13"/>
      <c r="QBR53" s="13"/>
      <c r="QBS53" s="13"/>
      <c r="QBT53" s="13"/>
      <c r="QBU53" s="13"/>
      <c r="QBV53" s="13"/>
      <c r="QBW53" s="13"/>
      <c r="QBX53" s="13"/>
      <c r="QBY53" s="13"/>
      <c r="QBZ53" s="13"/>
      <c r="QCA53" s="13"/>
      <c r="QCB53" s="13"/>
      <c r="QCC53" s="13"/>
      <c r="QCD53" s="13"/>
      <c r="QCE53" s="13"/>
      <c r="QCF53" s="13"/>
      <c r="QCG53" s="13"/>
      <c r="QCH53" s="13"/>
      <c r="QCI53" s="13"/>
      <c r="QCJ53" s="13"/>
      <c r="QCK53" s="13"/>
      <c r="QCL53" s="13"/>
      <c r="QCM53" s="13"/>
      <c r="QCN53" s="13"/>
      <c r="QCO53" s="13"/>
      <c r="QCP53" s="13"/>
      <c r="QCQ53" s="13"/>
      <c r="QCR53" s="13"/>
      <c r="QCS53" s="13"/>
      <c r="QCT53" s="13"/>
      <c r="QCU53" s="13"/>
      <c r="QCV53" s="13"/>
      <c r="QCW53" s="13"/>
      <c r="QCX53" s="13"/>
      <c r="QCY53" s="13"/>
      <c r="QCZ53" s="13"/>
      <c r="QDA53" s="13"/>
      <c r="QDB53" s="13"/>
      <c r="QDC53" s="13"/>
      <c r="QDD53" s="13"/>
      <c r="QDE53" s="13"/>
      <c r="QDF53" s="13"/>
      <c r="QDG53" s="13"/>
      <c r="QDH53" s="13"/>
      <c r="QDI53" s="13"/>
      <c r="QDJ53" s="13"/>
      <c r="QDK53" s="13"/>
      <c r="QDL53" s="13"/>
      <c r="QDM53" s="13"/>
      <c r="QDN53" s="13"/>
      <c r="QDO53" s="13"/>
      <c r="QDP53" s="13"/>
      <c r="QDQ53" s="13"/>
      <c r="QDR53" s="13"/>
      <c r="QDS53" s="13"/>
      <c r="QDT53" s="13"/>
      <c r="QDU53" s="13"/>
      <c r="QDV53" s="13"/>
      <c r="QDW53" s="13"/>
      <c r="QDX53" s="13"/>
      <c r="QDY53" s="13"/>
      <c r="QDZ53" s="13"/>
      <c r="QEA53" s="13"/>
      <c r="QEB53" s="13"/>
      <c r="QEC53" s="13"/>
      <c r="QED53" s="13"/>
      <c r="QEE53" s="13"/>
      <c r="QEF53" s="13"/>
      <c r="QEG53" s="13"/>
      <c r="QEH53" s="13"/>
      <c r="QEI53" s="13"/>
      <c r="QEJ53" s="13"/>
      <c r="QEK53" s="13"/>
      <c r="QEL53" s="13"/>
      <c r="QEM53" s="13"/>
      <c r="QEN53" s="13"/>
      <c r="QEO53" s="13"/>
      <c r="QEP53" s="13"/>
      <c r="QEQ53" s="13"/>
      <c r="QER53" s="13"/>
      <c r="QES53" s="13"/>
      <c r="QET53" s="13"/>
      <c r="QEU53" s="13"/>
      <c r="QEV53" s="13"/>
      <c r="QEW53" s="13"/>
      <c r="QEX53" s="13"/>
      <c r="QEY53" s="13"/>
      <c r="QEZ53" s="13"/>
      <c r="QFA53" s="13"/>
      <c r="QFB53" s="13"/>
      <c r="QFC53" s="13"/>
      <c r="QFD53" s="13"/>
      <c r="QFE53" s="13"/>
      <c r="QFF53" s="13"/>
      <c r="QFG53" s="13"/>
      <c r="QFH53" s="13"/>
      <c r="QFI53" s="13"/>
      <c r="QFJ53" s="13"/>
      <c r="QFK53" s="13"/>
      <c r="QFL53" s="13"/>
      <c r="QFM53" s="13"/>
      <c r="QFN53" s="13"/>
      <c r="QFO53" s="13"/>
      <c r="QFP53" s="13"/>
      <c r="QFQ53" s="13"/>
      <c r="QFR53" s="13"/>
      <c r="QFS53" s="13"/>
      <c r="QFT53" s="13"/>
      <c r="QFU53" s="13"/>
      <c r="QFV53" s="13"/>
      <c r="QFW53" s="13"/>
      <c r="QFX53" s="13"/>
      <c r="QFY53" s="13"/>
      <c r="QFZ53" s="13"/>
      <c r="QGA53" s="13"/>
      <c r="QGB53" s="13"/>
      <c r="QGC53" s="13"/>
      <c r="QGD53" s="13"/>
      <c r="QGE53" s="13"/>
      <c r="QGF53" s="13"/>
      <c r="QGG53" s="13"/>
      <c r="QGH53" s="13"/>
      <c r="QGI53" s="13"/>
      <c r="QGJ53" s="13"/>
      <c r="QGK53" s="13"/>
      <c r="QGL53" s="13"/>
      <c r="QGM53" s="13"/>
      <c r="QGN53" s="13"/>
      <c r="QGO53" s="13"/>
      <c r="QGP53" s="13"/>
      <c r="QGQ53" s="13"/>
      <c r="QGR53" s="13"/>
      <c r="QGS53" s="13"/>
      <c r="QGT53" s="13"/>
      <c r="QGU53" s="13"/>
      <c r="QGV53" s="13"/>
      <c r="QGW53" s="13"/>
      <c r="QGX53" s="13"/>
      <c r="QGY53" s="13"/>
      <c r="QGZ53" s="13"/>
      <c r="QHA53" s="13"/>
      <c r="QHB53" s="13"/>
      <c r="QHC53" s="13"/>
      <c r="QHD53" s="13"/>
      <c r="QHE53" s="13"/>
      <c r="QHF53" s="13"/>
      <c r="QHG53" s="13"/>
      <c r="QHH53" s="13"/>
      <c r="QHI53" s="13"/>
      <c r="QHJ53" s="13"/>
      <c r="QHK53" s="13"/>
      <c r="QHL53" s="13"/>
      <c r="QHM53" s="13"/>
      <c r="QHN53" s="13"/>
      <c r="QHO53" s="13"/>
      <c r="QHP53" s="13"/>
      <c r="QHQ53" s="13"/>
      <c r="QHR53" s="13"/>
      <c r="QHS53" s="13"/>
      <c r="QHT53" s="13"/>
      <c r="QHU53" s="13"/>
      <c r="QHV53" s="13"/>
      <c r="QHW53" s="13"/>
      <c r="QHX53" s="13"/>
      <c r="QHY53" s="13"/>
      <c r="QHZ53" s="13"/>
      <c r="QIA53" s="13"/>
      <c r="QIB53" s="13"/>
      <c r="QIC53" s="13"/>
      <c r="QID53" s="13"/>
      <c r="QIE53" s="13"/>
      <c r="QIF53" s="13"/>
      <c r="QIG53" s="13"/>
      <c r="QIH53" s="13"/>
      <c r="QII53" s="13"/>
      <c r="QIJ53" s="13"/>
      <c r="QIK53" s="13"/>
      <c r="QIL53" s="13"/>
      <c r="QIM53" s="13"/>
      <c r="QIN53" s="13"/>
      <c r="QIO53" s="13"/>
      <c r="QIP53" s="13"/>
      <c r="QIQ53" s="13"/>
      <c r="QIR53" s="13"/>
      <c r="QIS53" s="13"/>
      <c r="QIT53" s="13"/>
      <c r="QIU53" s="13"/>
      <c r="QIV53" s="13"/>
      <c r="QIW53" s="13"/>
      <c r="QIX53" s="13"/>
      <c r="QIY53" s="13"/>
      <c r="QIZ53" s="13"/>
      <c r="QJA53" s="13"/>
      <c r="QJB53" s="13"/>
      <c r="QJC53" s="13"/>
      <c r="QJD53" s="13"/>
      <c r="QJE53" s="13"/>
      <c r="QJF53" s="13"/>
      <c r="QJG53" s="13"/>
      <c r="QJH53" s="13"/>
      <c r="QJI53" s="13"/>
      <c r="QJJ53" s="13"/>
      <c r="QJK53" s="13"/>
      <c r="QJL53" s="13"/>
      <c r="QJM53" s="13"/>
      <c r="QJN53" s="13"/>
      <c r="QJO53" s="13"/>
      <c r="QJP53" s="13"/>
      <c r="QJQ53" s="13"/>
      <c r="QJR53" s="13"/>
      <c r="QJS53" s="13"/>
      <c r="QJT53" s="13"/>
      <c r="QJU53" s="13"/>
      <c r="QJV53" s="13"/>
      <c r="QJW53" s="13"/>
      <c r="QJX53" s="13"/>
      <c r="QJY53" s="13"/>
      <c r="QJZ53" s="13"/>
      <c r="QKA53" s="13"/>
      <c r="QKB53" s="13"/>
      <c r="QKC53" s="13"/>
      <c r="QKD53" s="13"/>
      <c r="QKE53" s="13"/>
      <c r="QKF53" s="13"/>
      <c r="QKG53" s="13"/>
      <c r="QKH53" s="13"/>
      <c r="QKI53" s="13"/>
      <c r="QKJ53" s="13"/>
      <c r="QKK53" s="13"/>
      <c r="QKL53" s="13"/>
      <c r="QKM53" s="13"/>
      <c r="QKN53" s="13"/>
      <c r="QKO53" s="13"/>
      <c r="QKP53" s="13"/>
      <c r="QKQ53" s="13"/>
      <c r="QKR53" s="13"/>
      <c r="QKS53" s="13"/>
      <c r="QKT53" s="13"/>
      <c r="QKU53" s="13"/>
      <c r="QKV53" s="13"/>
      <c r="QKW53" s="13"/>
      <c r="QKX53" s="13"/>
      <c r="QKY53" s="13"/>
      <c r="QKZ53" s="13"/>
      <c r="QLA53" s="13"/>
      <c r="QLB53" s="13"/>
      <c r="QLC53" s="13"/>
      <c r="QLD53" s="13"/>
      <c r="QLE53" s="13"/>
      <c r="QLF53" s="13"/>
      <c r="QLG53" s="13"/>
      <c r="QLH53" s="13"/>
      <c r="QLI53" s="13"/>
      <c r="QLJ53" s="13"/>
      <c r="QLK53" s="13"/>
      <c r="QLL53" s="13"/>
      <c r="QLM53" s="13"/>
      <c r="QLN53" s="13"/>
      <c r="QLO53" s="13"/>
      <c r="QLP53" s="13"/>
      <c r="QLQ53" s="13"/>
      <c r="QLR53" s="13"/>
      <c r="QLS53" s="13"/>
      <c r="QLT53" s="13"/>
      <c r="QLU53" s="13"/>
      <c r="QLV53" s="13"/>
      <c r="QLW53" s="13"/>
      <c r="QLX53" s="13"/>
      <c r="QLY53" s="13"/>
      <c r="QLZ53" s="13"/>
      <c r="QMA53" s="13"/>
      <c r="QMB53" s="13"/>
      <c r="QMC53" s="13"/>
      <c r="QMD53" s="13"/>
      <c r="QME53" s="13"/>
      <c r="QMF53" s="13"/>
      <c r="QMG53" s="13"/>
      <c r="QMH53" s="13"/>
      <c r="QMI53" s="13"/>
      <c r="QMJ53" s="13"/>
      <c r="QMK53" s="13"/>
      <c r="QML53" s="13"/>
      <c r="QMM53" s="13"/>
      <c r="QMN53" s="13"/>
      <c r="QMO53" s="13"/>
      <c r="QMP53" s="13"/>
      <c r="QMQ53" s="13"/>
      <c r="QMR53" s="13"/>
      <c r="QMS53" s="13"/>
      <c r="QMT53" s="13"/>
      <c r="QMU53" s="13"/>
      <c r="QMV53" s="13"/>
      <c r="QMW53" s="13"/>
      <c r="QMX53" s="13"/>
      <c r="QMY53" s="13"/>
      <c r="QMZ53" s="13"/>
      <c r="QNA53" s="13"/>
      <c r="QNB53" s="13"/>
      <c r="QNC53" s="13"/>
      <c r="QND53" s="13"/>
      <c r="QNE53" s="13"/>
      <c r="QNF53" s="13"/>
      <c r="QNG53" s="13"/>
      <c r="QNH53" s="13"/>
      <c r="QNI53" s="13"/>
      <c r="QNJ53" s="13"/>
      <c r="QNK53" s="13"/>
      <c r="QNL53" s="13"/>
      <c r="QNM53" s="13"/>
      <c r="QNN53" s="13"/>
      <c r="QNO53" s="13"/>
      <c r="QNP53" s="13"/>
      <c r="QNQ53" s="13"/>
      <c r="QNR53" s="13"/>
      <c r="QNS53" s="13"/>
      <c r="QNT53" s="13"/>
      <c r="QNU53" s="13"/>
      <c r="QNV53" s="13"/>
      <c r="QNW53" s="13"/>
      <c r="QNX53" s="13"/>
      <c r="QNY53" s="13"/>
      <c r="QNZ53" s="13"/>
      <c r="QOA53" s="13"/>
      <c r="QOB53" s="13"/>
      <c r="QOC53" s="13"/>
      <c r="QOD53" s="13"/>
      <c r="QOE53" s="13"/>
      <c r="QOF53" s="13"/>
      <c r="QOG53" s="13"/>
      <c r="QOH53" s="13"/>
      <c r="QOI53" s="13"/>
      <c r="QOJ53" s="13"/>
      <c r="QOK53" s="13"/>
      <c r="QOL53" s="13"/>
      <c r="QOM53" s="13"/>
      <c r="QON53" s="13"/>
      <c r="QOO53" s="13"/>
      <c r="QOP53" s="13"/>
      <c r="QOQ53" s="13"/>
      <c r="QOR53" s="13"/>
      <c r="QOS53" s="13"/>
      <c r="QOT53" s="13"/>
      <c r="QOU53" s="13"/>
      <c r="QOV53" s="13"/>
      <c r="QOW53" s="13"/>
      <c r="QOX53" s="13"/>
      <c r="QOY53" s="13"/>
      <c r="QOZ53" s="13"/>
      <c r="QPA53" s="13"/>
      <c r="QPB53" s="13"/>
      <c r="QPC53" s="13"/>
      <c r="QPD53" s="13"/>
      <c r="QPE53" s="13"/>
      <c r="QPF53" s="13"/>
      <c r="QPG53" s="13"/>
      <c r="QPH53" s="13"/>
      <c r="QPI53" s="13"/>
      <c r="QPJ53" s="13"/>
      <c r="QPK53" s="13"/>
      <c r="QPL53" s="13"/>
      <c r="QPM53" s="13"/>
      <c r="QPN53" s="13"/>
      <c r="QPO53" s="13"/>
      <c r="QPP53" s="13"/>
      <c r="QPQ53" s="13"/>
      <c r="QPR53" s="13"/>
      <c r="QPS53" s="13"/>
      <c r="QPT53" s="13"/>
      <c r="QPU53" s="13"/>
      <c r="QPV53" s="13"/>
      <c r="QPW53" s="13"/>
      <c r="QPX53" s="13"/>
      <c r="QPY53" s="13"/>
      <c r="QPZ53" s="13"/>
      <c r="QQA53" s="13"/>
      <c r="QQB53" s="13"/>
      <c r="QQC53" s="13"/>
      <c r="QQD53" s="13"/>
      <c r="QQE53" s="13"/>
      <c r="QQF53" s="13"/>
      <c r="QQG53" s="13"/>
      <c r="QQH53" s="13"/>
      <c r="QQI53" s="13"/>
      <c r="QQJ53" s="13"/>
      <c r="QQK53" s="13"/>
      <c r="QQL53" s="13"/>
      <c r="QQM53" s="13"/>
      <c r="QQN53" s="13"/>
      <c r="QQO53" s="13"/>
      <c r="QQP53" s="13"/>
      <c r="QQQ53" s="13"/>
      <c r="QQR53" s="13"/>
      <c r="QQS53" s="13"/>
      <c r="QQT53" s="13"/>
      <c r="QQU53" s="13"/>
      <c r="QQV53" s="13"/>
      <c r="QQW53" s="13"/>
      <c r="QQX53" s="13"/>
      <c r="QQY53" s="13"/>
      <c r="QQZ53" s="13"/>
      <c r="QRA53" s="13"/>
      <c r="QRB53" s="13"/>
      <c r="QRC53" s="13"/>
      <c r="QRD53" s="13"/>
      <c r="QRE53" s="13"/>
      <c r="QRF53" s="13"/>
      <c r="QRG53" s="13"/>
      <c r="QRH53" s="13"/>
      <c r="QRI53" s="13"/>
      <c r="QRJ53" s="13"/>
      <c r="QRK53" s="13"/>
      <c r="QRL53" s="13"/>
      <c r="QRM53" s="13"/>
      <c r="QRN53" s="13"/>
      <c r="QRO53" s="13"/>
      <c r="QRP53" s="13"/>
      <c r="QRQ53" s="13"/>
      <c r="QRR53" s="13"/>
      <c r="QRS53" s="13"/>
      <c r="QRT53" s="13"/>
      <c r="QRU53" s="13"/>
      <c r="QRV53" s="13"/>
      <c r="QRW53" s="13"/>
      <c r="QRX53" s="13"/>
      <c r="QRY53" s="13"/>
      <c r="QRZ53" s="13"/>
      <c r="QSA53" s="13"/>
      <c r="QSB53" s="13"/>
      <c r="QSC53" s="13"/>
      <c r="QSD53" s="13"/>
      <c r="QSE53" s="13"/>
      <c r="QSF53" s="13"/>
      <c r="QSG53" s="13"/>
      <c r="QSH53" s="13"/>
      <c r="QSI53" s="13"/>
      <c r="QSJ53" s="13"/>
      <c r="QSK53" s="13"/>
      <c r="QSL53" s="13"/>
      <c r="QSM53" s="13"/>
      <c r="QSN53" s="13"/>
      <c r="QSO53" s="13"/>
      <c r="QSP53" s="13"/>
      <c r="QSQ53" s="13"/>
      <c r="QSR53" s="13"/>
      <c r="QSS53" s="13"/>
      <c r="QST53" s="13"/>
      <c r="QSU53" s="13"/>
      <c r="QSV53" s="13"/>
      <c r="QSW53" s="13"/>
      <c r="QSX53" s="13"/>
      <c r="QSY53" s="13"/>
      <c r="QSZ53" s="13"/>
      <c r="QTA53" s="13"/>
      <c r="QTB53" s="13"/>
      <c r="QTC53" s="13"/>
      <c r="QTD53" s="13"/>
      <c r="QTE53" s="13"/>
      <c r="QTF53" s="13"/>
      <c r="QTG53" s="13"/>
      <c r="QTH53" s="13"/>
      <c r="QTI53" s="13"/>
      <c r="QTJ53" s="13"/>
      <c r="QTK53" s="13"/>
      <c r="QTL53" s="13"/>
      <c r="QTM53" s="13"/>
      <c r="QTN53" s="13"/>
      <c r="QTO53" s="13"/>
      <c r="QTP53" s="13"/>
      <c r="QTQ53" s="13"/>
      <c r="QTR53" s="13"/>
      <c r="QTS53" s="13"/>
      <c r="QTT53" s="13"/>
      <c r="QTU53" s="13"/>
      <c r="QTV53" s="13"/>
      <c r="QTW53" s="13"/>
      <c r="QTX53" s="13"/>
      <c r="QTY53" s="13"/>
      <c r="QTZ53" s="13"/>
      <c r="QUA53" s="13"/>
      <c r="QUB53" s="13"/>
      <c r="QUC53" s="13"/>
      <c r="QUD53" s="13"/>
      <c r="QUE53" s="13"/>
      <c r="QUF53" s="13"/>
      <c r="QUG53" s="13"/>
      <c r="QUH53" s="13"/>
      <c r="QUI53" s="13"/>
      <c r="QUJ53" s="13"/>
      <c r="QUK53" s="13"/>
      <c r="QUL53" s="13"/>
      <c r="QUM53" s="13"/>
      <c r="QUN53" s="13"/>
      <c r="QUO53" s="13"/>
      <c r="QUP53" s="13"/>
      <c r="QUQ53" s="13"/>
      <c r="QUR53" s="13"/>
      <c r="QUS53" s="13"/>
      <c r="QUT53" s="13"/>
      <c r="QUU53" s="13"/>
      <c r="QUV53" s="13"/>
      <c r="QUW53" s="13"/>
      <c r="QUX53" s="13"/>
      <c r="QUY53" s="13"/>
      <c r="QUZ53" s="13"/>
      <c r="QVA53" s="13"/>
      <c r="QVB53" s="13"/>
      <c r="QVC53" s="13"/>
      <c r="QVD53" s="13"/>
      <c r="QVE53" s="13"/>
      <c r="QVF53" s="13"/>
      <c r="QVG53" s="13"/>
      <c r="QVH53" s="13"/>
      <c r="QVI53" s="13"/>
      <c r="QVJ53" s="13"/>
      <c r="QVK53" s="13"/>
      <c r="QVL53" s="13"/>
      <c r="QVM53" s="13"/>
      <c r="QVN53" s="13"/>
      <c r="QVO53" s="13"/>
      <c r="QVP53" s="13"/>
      <c r="QVQ53" s="13"/>
      <c r="QVR53" s="13"/>
      <c r="QVS53" s="13"/>
      <c r="QVT53" s="13"/>
      <c r="QVU53" s="13"/>
      <c r="QVV53" s="13"/>
      <c r="QVW53" s="13"/>
      <c r="QVX53" s="13"/>
      <c r="QVY53" s="13"/>
      <c r="QVZ53" s="13"/>
      <c r="QWA53" s="13"/>
      <c r="QWB53" s="13"/>
      <c r="QWC53" s="13"/>
      <c r="QWD53" s="13"/>
      <c r="QWE53" s="13"/>
      <c r="QWF53" s="13"/>
      <c r="QWG53" s="13"/>
      <c r="QWH53" s="13"/>
      <c r="QWI53" s="13"/>
      <c r="QWJ53" s="13"/>
      <c r="QWK53" s="13"/>
      <c r="QWL53" s="13"/>
      <c r="QWM53" s="13"/>
      <c r="QWN53" s="13"/>
      <c r="QWO53" s="13"/>
      <c r="QWP53" s="13"/>
      <c r="QWQ53" s="13"/>
      <c r="QWR53" s="13"/>
      <c r="QWS53" s="13"/>
      <c r="QWT53" s="13"/>
      <c r="QWU53" s="13"/>
      <c r="QWV53" s="13"/>
      <c r="QWW53" s="13"/>
      <c r="QWX53" s="13"/>
      <c r="QWY53" s="13"/>
      <c r="QWZ53" s="13"/>
      <c r="QXA53" s="13"/>
      <c r="QXB53" s="13"/>
      <c r="QXC53" s="13"/>
      <c r="QXD53" s="13"/>
      <c r="QXE53" s="13"/>
      <c r="QXF53" s="13"/>
      <c r="QXG53" s="13"/>
      <c r="QXH53" s="13"/>
      <c r="QXI53" s="13"/>
      <c r="QXJ53" s="13"/>
      <c r="QXK53" s="13"/>
      <c r="QXL53" s="13"/>
      <c r="QXM53" s="13"/>
      <c r="QXN53" s="13"/>
      <c r="QXO53" s="13"/>
      <c r="QXP53" s="13"/>
      <c r="QXQ53" s="13"/>
      <c r="QXR53" s="13"/>
      <c r="QXS53" s="13"/>
      <c r="QXT53" s="13"/>
      <c r="QXU53" s="13"/>
      <c r="QXV53" s="13"/>
      <c r="QXW53" s="13"/>
      <c r="QXX53" s="13"/>
      <c r="QXY53" s="13"/>
      <c r="QXZ53" s="13"/>
      <c r="QYA53" s="13"/>
      <c r="QYB53" s="13"/>
      <c r="QYC53" s="13"/>
      <c r="QYD53" s="13"/>
      <c r="QYE53" s="13"/>
      <c r="QYF53" s="13"/>
      <c r="QYG53" s="13"/>
      <c r="QYH53" s="13"/>
      <c r="QYI53" s="13"/>
      <c r="QYJ53" s="13"/>
      <c r="QYK53" s="13"/>
      <c r="QYL53" s="13"/>
      <c r="QYM53" s="13"/>
      <c r="QYN53" s="13"/>
      <c r="QYO53" s="13"/>
      <c r="QYP53" s="13"/>
      <c r="QYQ53" s="13"/>
      <c r="QYR53" s="13"/>
      <c r="QYS53" s="13"/>
      <c r="QYT53" s="13"/>
      <c r="QYU53" s="13"/>
      <c r="QYV53" s="13"/>
      <c r="QYW53" s="13"/>
      <c r="QYX53" s="13"/>
      <c r="QYY53" s="13"/>
      <c r="QYZ53" s="13"/>
      <c r="QZA53" s="13"/>
      <c r="QZB53" s="13"/>
      <c r="QZC53" s="13"/>
      <c r="QZD53" s="13"/>
      <c r="QZE53" s="13"/>
      <c r="QZF53" s="13"/>
      <c r="QZG53" s="13"/>
      <c r="QZH53" s="13"/>
      <c r="QZI53" s="13"/>
      <c r="QZJ53" s="13"/>
      <c r="QZK53" s="13"/>
      <c r="QZL53" s="13"/>
      <c r="QZM53" s="13"/>
      <c r="QZN53" s="13"/>
      <c r="QZO53" s="13"/>
      <c r="QZP53" s="13"/>
      <c r="QZQ53" s="13"/>
      <c r="QZR53" s="13"/>
      <c r="QZS53" s="13"/>
      <c r="QZT53" s="13"/>
      <c r="QZU53" s="13"/>
      <c r="QZV53" s="13"/>
      <c r="QZW53" s="13"/>
      <c r="QZX53" s="13"/>
      <c r="QZY53" s="13"/>
      <c r="QZZ53" s="13"/>
      <c r="RAA53" s="13"/>
      <c r="RAB53" s="13"/>
      <c r="RAC53" s="13"/>
      <c r="RAD53" s="13"/>
      <c r="RAE53" s="13"/>
      <c r="RAF53" s="13"/>
      <c r="RAG53" s="13"/>
      <c r="RAH53" s="13"/>
      <c r="RAI53" s="13"/>
      <c r="RAJ53" s="13"/>
      <c r="RAK53" s="13"/>
      <c r="RAL53" s="13"/>
      <c r="RAM53" s="13"/>
      <c r="RAN53" s="13"/>
      <c r="RAO53" s="13"/>
      <c r="RAP53" s="13"/>
      <c r="RAQ53" s="13"/>
      <c r="RAR53" s="13"/>
      <c r="RAS53" s="13"/>
      <c r="RAT53" s="13"/>
      <c r="RAU53" s="13"/>
      <c r="RAV53" s="13"/>
      <c r="RAW53" s="13"/>
      <c r="RAX53" s="13"/>
      <c r="RAY53" s="13"/>
      <c r="RAZ53" s="13"/>
      <c r="RBA53" s="13"/>
      <c r="RBB53" s="13"/>
      <c r="RBC53" s="13"/>
      <c r="RBD53" s="13"/>
      <c r="RBE53" s="13"/>
      <c r="RBF53" s="13"/>
      <c r="RBG53" s="13"/>
      <c r="RBH53" s="13"/>
      <c r="RBI53" s="13"/>
      <c r="RBJ53" s="13"/>
      <c r="RBK53" s="13"/>
      <c r="RBL53" s="13"/>
      <c r="RBM53" s="13"/>
      <c r="RBN53" s="13"/>
      <c r="RBO53" s="13"/>
      <c r="RBP53" s="13"/>
      <c r="RBQ53" s="13"/>
      <c r="RBR53" s="13"/>
      <c r="RBS53" s="13"/>
      <c r="RBT53" s="13"/>
      <c r="RBU53" s="13"/>
      <c r="RBV53" s="13"/>
      <c r="RBW53" s="13"/>
      <c r="RBX53" s="13"/>
      <c r="RBY53" s="13"/>
      <c r="RBZ53" s="13"/>
      <c r="RCA53" s="13"/>
      <c r="RCB53" s="13"/>
      <c r="RCC53" s="13"/>
      <c r="RCD53" s="13"/>
      <c r="RCE53" s="13"/>
      <c r="RCF53" s="13"/>
      <c r="RCG53" s="13"/>
      <c r="RCH53" s="13"/>
      <c r="RCI53" s="13"/>
      <c r="RCJ53" s="13"/>
      <c r="RCK53" s="13"/>
      <c r="RCL53" s="13"/>
      <c r="RCM53" s="13"/>
      <c r="RCN53" s="13"/>
      <c r="RCO53" s="13"/>
      <c r="RCP53" s="13"/>
      <c r="RCQ53" s="13"/>
      <c r="RCR53" s="13"/>
      <c r="RCS53" s="13"/>
      <c r="RCT53" s="13"/>
      <c r="RCU53" s="13"/>
      <c r="RCV53" s="13"/>
      <c r="RCW53" s="13"/>
      <c r="RCX53" s="13"/>
      <c r="RCY53" s="13"/>
      <c r="RCZ53" s="13"/>
      <c r="RDA53" s="13"/>
      <c r="RDB53" s="13"/>
      <c r="RDC53" s="13"/>
      <c r="RDD53" s="13"/>
      <c r="RDE53" s="13"/>
      <c r="RDF53" s="13"/>
      <c r="RDG53" s="13"/>
      <c r="RDH53" s="13"/>
      <c r="RDI53" s="13"/>
      <c r="RDJ53" s="13"/>
      <c r="RDK53" s="13"/>
      <c r="RDL53" s="13"/>
      <c r="RDM53" s="13"/>
      <c r="RDN53" s="13"/>
      <c r="RDO53" s="13"/>
      <c r="RDP53" s="13"/>
      <c r="RDQ53" s="13"/>
      <c r="RDR53" s="13"/>
      <c r="RDS53" s="13"/>
      <c r="RDT53" s="13"/>
      <c r="RDU53" s="13"/>
      <c r="RDV53" s="13"/>
      <c r="RDW53" s="13"/>
      <c r="RDX53" s="13"/>
      <c r="RDY53" s="13"/>
      <c r="RDZ53" s="13"/>
      <c r="REA53" s="13"/>
      <c r="REB53" s="13"/>
      <c r="REC53" s="13"/>
      <c r="RED53" s="13"/>
      <c r="REE53" s="13"/>
      <c r="REF53" s="13"/>
      <c r="REG53" s="13"/>
      <c r="REH53" s="13"/>
      <c r="REI53" s="13"/>
      <c r="REJ53" s="13"/>
      <c r="REK53" s="13"/>
      <c r="REL53" s="13"/>
      <c r="REM53" s="13"/>
      <c r="REN53" s="13"/>
      <c r="REO53" s="13"/>
      <c r="REP53" s="13"/>
      <c r="REQ53" s="13"/>
      <c r="RER53" s="13"/>
      <c r="RES53" s="13"/>
      <c r="RET53" s="13"/>
      <c r="REU53" s="13"/>
      <c r="REV53" s="13"/>
      <c r="REW53" s="13"/>
      <c r="REX53" s="13"/>
      <c r="REY53" s="13"/>
      <c r="REZ53" s="13"/>
      <c r="RFA53" s="13"/>
      <c r="RFB53" s="13"/>
      <c r="RFC53" s="13"/>
      <c r="RFD53" s="13"/>
      <c r="RFE53" s="13"/>
      <c r="RFF53" s="13"/>
      <c r="RFG53" s="13"/>
      <c r="RFH53" s="13"/>
      <c r="RFI53" s="13"/>
      <c r="RFJ53" s="13"/>
      <c r="RFK53" s="13"/>
      <c r="RFL53" s="13"/>
      <c r="RFM53" s="13"/>
      <c r="RFN53" s="13"/>
      <c r="RFO53" s="13"/>
      <c r="RFP53" s="13"/>
      <c r="RFQ53" s="13"/>
      <c r="RFR53" s="13"/>
      <c r="RFS53" s="13"/>
      <c r="RFT53" s="13"/>
      <c r="RFU53" s="13"/>
      <c r="RFV53" s="13"/>
      <c r="RFW53" s="13"/>
      <c r="RFX53" s="13"/>
      <c r="RFY53" s="13"/>
      <c r="RFZ53" s="13"/>
      <c r="RGA53" s="13"/>
      <c r="RGB53" s="13"/>
      <c r="RGC53" s="13"/>
      <c r="RGD53" s="13"/>
      <c r="RGE53" s="13"/>
      <c r="RGF53" s="13"/>
      <c r="RGG53" s="13"/>
      <c r="RGH53" s="13"/>
      <c r="RGI53" s="13"/>
      <c r="RGJ53" s="13"/>
      <c r="RGK53" s="13"/>
      <c r="RGL53" s="13"/>
      <c r="RGM53" s="13"/>
      <c r="RGN53" s="13"/>
      <c r="RGO53" s="13"/>
      <c r="RGP53" s="13"/>
      <c r="RGQ53" s="13"/>
      <c r="RGR53" s="13"/>
      <c r="RGS53" s="13"/>
      <c r="RGT53" s="13"/>
      <c r="RGU53" s="13"/>
      <c r="RGV53" s="13"/>
      <c r="RGW53" s="13"/>
      <c r="RGX53" s="13"/>
      <c r="RGY53" s="13"/>
      <c r="RGZ53" s="13"/>
      <c r="RHA53" s="13"/>
      <c r="RHB53" s="13"/>
      <c r="RHC53" s="13"/>
      <c r="RHD53" s="13"/>
      <c r="RHE53" s="13"/>
      <c r="RHF53" s="13"/>
      <c r="RHG53" s="13"/>
      <c r="RHH53" s="13"/>
      <c r="RHI53" s="13"/>
      <c r="RHJ53" s="13"/>
      <c r="RHK53" s="13"/>
      <c r="RHL53" s="13"/>
      <c r="RHM53" s="13"/>
      <c r="RHN53" s="13"/>
      <c r="RHO53" s="13"/>
      <c r="RHP53" s="13"/>
      <c r="RHQ53" s="13"/>
      <c r="RHR53" s="13"/>
      <c r="RHS53" s="13"/>
      <c r="RHT53" s="13"/>
      <c r="RHU53" s="13"/>
      <c r="RHV53" s="13"/>
      <c r="RHW53" s="13"/>
      <c r="RHX53" s="13"/>
      <c r="RHY53" s="13"/>
      <c r="RHZ53" s="13"/>
      <c r="RIA53" s="13"/>
      <c r="RIB53" s="13"/>
      <c r="RIC53" s="13"/>
      <c r="RID53" s="13"/>
      <c r="RIE53" s="13"/>
      <c r="RIF53" s="13"/>
      <c r="RIG53" s="13"/>
      <c r="RIH53" s="13"/>
      <c r="RII53" s="13"/>
      <c r="RIJ53" s="13"/>
      <c r="RIK53" s="13"/>
      <c r="RIL53" s="13"/>
      <c r="RIM53" s="13"/>
      <c r="RIN53" s="13"/>
      <c r="RIO53" s="13"/>
      <c r="RIP53" s="13"/>
      <c r="RIQ53" s="13"/>
      <c r="RIR53" s="13"/>
      <c r="RIS53" s="13"/>
      <c r="RIT53" s="13"/>
      <c r="RIU53" s="13"/>
      <c r="RIV53" s="13"/>
      <c r="RIW53" s="13"/>
      <c r="RIX53" s="13"/>
      <c r="RIY53" s="13"/>
      <c r="RIZ53" s="13"/>
      <c r="RJA53" s="13"/>
      <c r="RJB53" s="13"/>
      <c r="RJC53" s="13"/>
      <c r="RJD53" s="13"/>
      <c r="RJE53" s="13"/>
      <c r="RJF53" s="13"/>
      <c r="RJG53" s="13"/>
      <c r="RJH53" s="13"/>
      <c r="RJI53" s="13"/>
      <c r="RJJ53" s="13"/>
      <c r="RJK53" s="13"/>
      <c r="RJL53" s="13"/>
      <c r="RJM53" s="13"/>
      <c r="RJN53" s="13"/>
      <c r="RJO53" s="13"/>
      <c r="RJP53" s="13"/>
      <c r="RJQ53" s="13"/>
      <c r="RJR53" s="13"/>
      <c r="RJS53" s="13"/>
      <c r="RJT53" s="13"/>
      <c r="RJU53" s="13"/>
      <c r="RJV53" s="13"/>
      <c r="RJW53" s="13"/>
      <c r="RJX53" s="13"/>
      <c r="RJY53" s="13"/>
      <c r="RJZ53" s="13"/>
      <c r="RKA53" s="13"/>
      <c r="RKB53" s="13"/>
      <c r="RKC53" s="13"/>
      <c r="RKD53" s="13"/>
      <c r="RKE53" s="13"/>
      <c r="RKF53" s="13"/>
      <c r="RKG53" s="13"/>
      <c r="RKH53" s="13"/>
      <c r="RKI53" s="13"/>
      <c r="RKJ53" s="13"/>
      <c r="RKK53" s="13"/>
      <c r="RKL53" s="13"/>
      <c r="RKM53" s="13"/>
      <c r="RKN53" s="13"/>
      <c r="RKO53" s="13"/>
      <c r="RKP53" s="13"/>
      <c r="RKQ53" s="13"/>
      <c r="RKR53" s="13"/>
      <c r="RKS53" s="13"/>
      <c r="RKT53" s="13"/>
      <c r="RKU53" s="13"/>
      <c r="RKV53" s="13"/>
      <c r="RKW53" s="13"/>
      <c r="RKX53" s="13"/>
      <c r="RKY53" s="13"/>
      <c r="RKZ53" s="13"/>
      <c r="RLA53" s="13"/>
      <c r="RLB53" s="13"/>
      <c r="RLC53" s="13"/>
      <c r="RLD53" s="13"/>
      <c r="RLE53" s="13"/>
      <c r="RLF53" s="13"/>
      <c r="RLG53" s="13"/>
      <c r="RLH53" s="13"/>
      <c r="RLI53" s="13"/>
      <c r="RLJ53" s="13"/>
      <c r="RLK53" s="13"/>
      <c r="RLL53" s="13"/>
      <c r="RLM53" s="13"/>
      <c r="RLN53" s="13"/>
      <c r="RLO53" s="13"/>
      <c r="RLP53" s="13"/>
      <c r="RLQ53" s="13"/>
      <c r="RLR53" s="13"/>
      <c r="RLS53" s="13"/>
      <c r="RLT53" s="13"/>
      <c r="RLU53" s="13"/>
      <c r="RLV53" s="13"/>
      <c r="RLW53" s="13"/>
      <c r="RLX53" s="13"/>
      <c r="RLY53" s="13"/>
      <c r="RLZ53" s="13"/>
      <c r="RMA53" s="13"/>
      <c r="RMB53" s="13"/>
      <c r="RMC53" s="13"/>
      <c r="RMD53" s="13"/>
      <c r="RME53" s="13"/>
      <c r="RMF53" s="13"/>
      <c r="RMG53" s="13"/>
      <c r="RMH53" s="13"/>
      <c r="RMI53" s="13"/>
      <c r="RMJ53" s="13"/>
      <c r="RMK53" s="13"/>
      <c r="RML53" s="13"/>
      <c r="RMM53" s="13"/>
      <c r="RMN53" s="13"/>
      <c r="RMO53" s="13"/>
      <c r="RMP53" s="13"/>
      <c r="RMQ53" s="13"/>
      <c r="RMR53" s="13"/>
      <c r="RMS53" s="13"/>
      <c r="RMT53" s="13"/>
      <c r="RMU53" s="13"/>
      <c r="RMV53" s="13"/>
      <c r="RMW53" s="13"/>
      <c r="RMX53" s="13"/>
      <c r="RMY53" s="13"/>
      <c r="RMZ53" s="13"/>
      <c r="RNA53" s="13"/>
      <c r="RNB53" s="13"/>
      <c r="RNC53" s="13"/>
      <c r="RND53" s="13"/>
      <c r="RNE53" s="13"/>
      <c r="RNF53" s="13"/>
      <c r="RNG53" s="13"/>
      <c r="RNH53" s="13"/>
      <c r="RNI53" s="13"/>
      <c r="RNJ53" s="13"/>
      <c r="RNK53" s="13"/>
      <c r="RNL53" s="13"/>
      <c r="RNM53" s="13"/>
      <c r="RNN53" s="13"/>
      <c r="RNO53" s="13"/>
      <c r="RNP53" s="13"/>
      <c r="RNQ53" s="13"/>
      <c r="RNR53" s="13"/>
      <c r="RNS53" s="13"/>
      <c r="RNT53" s="13"/>
      <c r="RNU53" s="13"/>
      <c r="RNV53" s="13"/>
      <c r="RNW53" s="13"/>
      <c r="RNX53" s="13"/>
      <c r="RNY53" s="13"/>
      <c r="RNZ53" s="13"/>
      <c r="ROA53" s="13"/>
      <c r="ROB53" s="13"/>
      <c r="ROC53" s="13"/>
      <c r="ROD53" s="13"/>
      <c r="ROE53" s="13"/>
      <c r="ROF53" s="13"/>
      <c r="ROG53" s="13"/>
      <c r="ROH53" s="13"/>
      <c r="ROI53" s="13"/>
      <c r="ROJ53" s="13"/>
      <c r="ROK53" s="13"/>
      <c r="ROL53" s="13"/>
      <c r="ROM53" s="13"/>
      <c r="RON53" s="13"/>
      <c r="ROO53" s="13"/>
      <c r="ROP53" s="13"/>
      <c r="ROQ53" s="13"/>
      <c r="ROR53" s="13"/>
      <c r="ROS53" s="13"/>
      <c r="ROT53" s="13"/>
      <c r="ROU53" s="13"/>
      <c r="ROV53" s="13"/>
      <c r="ROW53" s="13"/>
      <c r="ROX53" s="13"/>
      <c r="ROY53" s="13"/>
      <c r="ROZ53" s="13"/>
      <c r="RPA53" s="13"/>
      <c r="RPB53" s="13"/>
      <c r="RPC53" s="13"/>
      <c r="RPD53" s="13"/>
      <c r="RPE53" s="13"/>
      <c r="RPF53" s="13"/>
      <c r="RPG53" s="13"/>
      <c r="RPH53" s="13"/>
      <c r="RPI53" s="13"/>
      <c r="RPJ53" s="13"/>
      <c r="RPK53" s="13"/>
      <c r="RPL53" s="13"/>
      <c r="RPM53" s="13"/>
      <c r="RPN53" s="13"/>
      <c r="RPO53" s="13"/>
      <c r="RPP53" s="13"/>
      <c r="RPQ53" s="13"/>
      <c r="RPR53" s="13"/>
      <c r="RPS53" s="13"/>
      <c r="RPT53" s="13"/>
      <c r="RPU53" s="13"/>
      <c r="RPV53" s="13"/>
      <c r="RPW53" s="13"/>
      <c r="RPX53" s="13"/>
      <c r="RPY53" s="13"/>
      <c r="RPZ53" s="13"/>
      <c r="RQA53" s="13"/>
      <c r="RQB53" s="13"/>
      <c r="RQC53" s="13"/>
      <c r="RQD53" s="13"/>
      <c r="RQE53" s="13"/>
      <c r="RQF53" s="13"/>
      <c r="RQG53" s="13"/>
      <c r="RQH53" s="13"/>
      <c r="RQI53" s="13"/>
      <c r="RQJ53" s="13"/>
      <c r="RQK53" s="13"/>
      <c r="RQL53" s="13"/>
      <c r="RQM53" s="13"/>
      <c r="RQN53" s="13"/>
      <c r="RQO53" s="13"/>
      <c r="RQP53" s="13"/>
      <c r="RQQ53" s="13"/>
      <c r="RQR53" s="13"/>
      <c r="RQS53" s="13"/>
      <c r="RQT53" s="13"/>
      <c r="RQU53" s="13"/>
      <c r="RQV53" s="13"/>
      <c r="RQW53" s="13"/>
      <c r="RQX53" s="13"/>
      <c r="RQY53" s="13"/>
      <c r="RQZ53" s="13"/>
      <c r="RRA53" s="13"/>
      <c r="RRB53" s="13"/>
      <c r="RRC53" s="13"/>
      <c r="RRD53" s="13"/>
      <c r="RRE53" s="13"/>
      <c r="RRF53" s="13"/>
      <c r="RRG53" s="13"/>
      <c r="RRH53" s="13"/>
      <c r="RRI53" s="13"/>
      <c r="RRJ53" s="13"/>
      <c r="RRK53" s="13"/>
      <c r="RRL53" s="13"/>
      <c r="RRM53" s="13"/>
      <c r="RRN53" s="13"/>
      <c r="RRO53" s="13"/>
      <c r="RRP53" s="13"/>
      <c r="RRQ53" s="13"/>
      <c r="RRR53" s="13"/>
      <c r="RRS53" s="13"/>
      <c r="RRT53" s="13"/>
      <c r="RRU53" s="13"/>
      <c r="RRV53" s="13"/>
      <c r="RRW53" s="13"/>
      <c r="RRX53" s="13"/>
      <c r="RRY53" s="13"/>
      <c r="RRZ53" s="13"/>
      <c r="RSA53" s="13"/>
      <c r="RSB53" s="13"/>
      <c r="RSC53" s="13"/>
      <c r="RSD53" s="13"/>
      <c r="RSE53" s="13"/>
      <c r="RSF53" s="13"/>
      <c r="RSG53" s="13"/>
      <c r="RSH53" s="13"/>
      <c r="RSI53" s="13"/>
      <c r="RSJ53" s="13"/>
      <c r="RSK53" s="13"/>
      <c r="RSL53" s="13"/>
      <c r="RSM53" s="13"/>
      <c r="RSN53" s="13"/>
      <c r="RSO53" s="13"/>
      <c r="RSP53" s="13"/>
      <c r="RSQ53" s="13"/>
      <c r="RSR53" s="13"/>
      <c r="RSS53" s="13"/>
      <c r="RST53" s="13"/>
      <c r="RSU53" s="13"/>
      <c r="RSV53" s="13"/>
      <c r="RSW53" s="13"/>
      <c r="RSX53" s="13"/>
      <c r="RSY53" s="13"/>
      <c r="RSZ53" s="13"/>
      <c r="RTA53" s="13"/>
      <c r="RTB53" s="13"/>
      <c r="RTC53" s="13"/>
      <c r="RTD53" s="13"/>
      <c r="RTE53" s="13"/>
      <c r="RTF53" s="13"/>
      <c r="RTG53" s="13"/>
      <c r="RTH53" s="13"/>
      <c r="RTI53" s="13"/>
      <c r="RTJ53" s="13"/>
      <c r="RTK53" s="13"/>
      <c r="RTL53" s="13"/>
      <c r="RTM53" s="13"/>
      <c r="RTN53" s="13"/>
      <c r="RTO53" s="13"/>
      <c r="RTP53" s="13"/>
      <c r="RTQ53" s="13"/>
      <c r="RTR53" s="13"/>
      <c r="RTS53" s="13"/>
      <c r="RTT53" s="13"/>
      <c r="RTU53" s="13"/>
      <c r="RTV53" s="13"/>
      <c r="RTW53" s="13"/>
      <c r="RTX53" s="13"/>
      <c r="RTY53" s="13"/>
      <c r="RTZ53" s="13"/>
      <c r="RUA53" s="13"/>
      <c r="RUB53" s="13"/>
      <c r="RUC53" s="13"/>
      <c r="RUD53" s="13"/>
      <c r="RUE53" s="13"/>
      <c r="RUF53" s="13"/>
      <c r="RUG53" s="13"/>
      <c r="RUH53" s="13"/>
      <c r="RUI53" s="13"/>
      <c r="RUJ53" s="13"/>
      <c r="RUK53" s="13"/>
      <c r="RUL53" s="13"/>
      <c r="RUM53" s="13"/>
      <c r="RUN53" s="13"/>
      <c r="RUO53" s="13"/>
      <c r="RUP53" s="13"/>
      <c r="RUQ53" s="13"/>
      <c r="RUR53" s="13"/>
      <c r="RUS53" s="13"/>
      <c r="RUT53" s="13"/>
      <c r="RUU53" s="13"/>
      <c r="RUV53" s="13"/>
      <c r="RUW53" s="13"/>
      <c r="RUX53" s="13"/>
      <c r="RUY53" s="13"/>
      <c r="RUZ53" s="13"/>
      <c r="RVA53" s="13"/>
      <c r="RVB53" s="13"/>
      <c r="RVC53" s="13"/>
      <c r="RVD53" s="13"/>
      <c r="RVE53" s="13"/>
      <c r="RVF53" s="13"/>
      <c r="RVG53" s="13"/>
      <c r="RVH53" s="13"/>
      <c r="RVI53" s="13"/>
      <c r="RVJ53" s="13"/>
      <c r="RVK53" s="13"/>
      <c r="RVL53" s="13"/>
      <c r="RVM53" s="13"/>
      <c r="RVN53" s="13"/>
      <c r="RVO53" s="13"/>
      <c r="RVP53" s="13"/>
      <c r="RVQ53" s="13"/>
      <c r="RVR53" s="13"/>
      <c r="RVS53" s="13"/>
      <c r="RVT53" s="13"/>
      <c r="RVU53" s="13"/>
      <c r="RVV53" s="13"/>
      <c r="RVW53" s="13"/>
      <c r="RVX53" s="13"/>
      <c r="RVY53" s="13"/>
      <c r="RVZ53" s="13"/>
      <c r="RWA53" s="13"/>
      <c r="RWB53" s="13"/>
      <c r="RWC53" s="13"/>
      <c r="RWD53" s="13"/>
      <c r="RWE53" s="13"/>
      <c r="RWF53" s="13"/>
      <c r="RWG53" s="13"/>
      <c r="RWH53" s="13"/>
      <c r="RWI53" s="13"/>
      <c r="RWJ53" s="13"/>
      <c r="RWK53" s="13"/>
      <c r="RWL53" s="13"/>
      <c r="RWM53" s="13"/>
      <c r="RWN53" s="13"/>
      <c r="RWO53" s="13"/>
      <c r="RWP53" s="13"/>
      <c r="RWQ53" s="13"/>
      <c r="RWR53" s="13"/>
      <c r="RWS53" s="13"/>
      <c r="RWT53" s="13"/>
      <c r="RWU53" s="13"/>
      <c r="RWV53" s="13"/>
      <c r="RWW53" s="13"/>
      <c r="RWX53" s="13"/>
      <c r="RWY53" s="13"/>
      <c r="RWZ53" s="13"/>
      <c r="RXA53" s="13"/>
      <c r="RXB53" s="13"/>
      <c r="RXC53" s="13"/>
      <c r="RXD53" s="13"/>
      <c r="RXE53" s="13"/>
      <c r="RXF53" s="13"/>
      <c r="RXG53" s="13"/>
      <c r="RXH53" s="13"/>
      <c r="RXI53" s="13"/>
      <c r="RXJ53" s="13"/>
      <c r="RXK53" s="13"/>
      <c r="RXL53" s="13"/>
      <c r="RXM53" s="13"/>
      <c r="RXN53" s="13"/>
      <c r="RXO53" s="13"/>
      <c r="RXP53" s="13"/>
      <c r="RXQ53" s="13"/>
      <c r="RXR53" s="13"/>
      <c r="RXS53" s="13"/>
      <c r="RXT53" s="13"/>
      <c r="RXU53" s="13"/>
      <c r="RXV53" s="13"/>
      <c r="RXW53" s="13"/>
      <c r="RXX53" s="13"/>
      <c r="RXY53" s="13"/>
      <c r="RXZ53" s="13"/>
      <c r="RYA53" s="13"/>
      <c r="RYB53" s="13"/>
      <c r="RYC53" s="13"/>
      <c r="RYD53" s="13"/>
      <c r="RYE53" s="13"/>
      <c r="RYF53" s="13"/>
      <c r="RYG53" s="13"/>
      <c r="RYH53" s="13"/>
      <c r="RYI53" s="13"/>
      <c r="RYJ53" s="13"/>
      <c r="RYK53" s="13"/>
      <c r="RYL53" s="13"/>
      <c r="RYM53" s="13"/>
      <c r="RYN53" s="13"/>
      <c r="RYO53" s="13"/>
      <c r="RYP53" s="13"/>
      <c r="RYQ53" s="13"/>
      <c r="RYR53" s="13"/>
      <c r="RYS53" s="13"/>
      <c r="RYT53" s="13"/>
      <c r="RYU53" s="13"/>
      <c r="RYV53" s="13"/>
      <c r="RYW53" s="13"/>
      <c r="RYX53" s="13"/>
      <c r="RYY53" s="13"/>
      <c r="RYZ53" s="13"/>
      <c r="RZA53" s="13"/>
      <c r="RZB53" s="13"/>
      <c r="RZC53" s="13"/>
      <c r="RZD53" s="13"/>
      <c r="RZE53" s="13"/>
      <c r="RZF53" s="13"/>
      <c r="RZG53" s="13"/>
      <c r="RZH53" s="13"/>
      <c r="RZI53" s="13"/>
      <c r="RZJ53" s="13"/>
      <c r="RZK53" s="13"/>
      <c r="RZL53" s="13"/>
      <c r="RZM53" s="13"/>
      <c r="RZN53" s="13"/>
      <c r="RZO53" s="13"/>
      <c r="RZP53" s="13"/>
      <c r="RZQ53" s="13"/>
      <c r="RZR53" s="13"/>
      <c r="RZS53" s="13"/>
      <c r="RZT53" s="13"/>
      <c r="RZU53" s="13"/>
      <c r="RZV53" s="13"/>
      <c r="RZW53" s="13"/>
      <c r="RZX53" s="13"/>
      <c r="RZY53" s="13"/>
      <c r="RZZ53" s="13"/>
      <c r="SAA53" s="13"/>
      <c r="SAB53" s="13"/>
      <c r="SAC53" s="13"/>
      <c r="SAD53" s="13"/>
      <c r="SAE53" s="13"/>
      <c r="SAF53" s="13"/>
      <c r="SAG53" s="13"/>
      <c r="SAH53" s="13"/>
      <c r="SAI53" s="13"/>
      <c r="SAJ53" s="13"/>
      <c r="SAK53" s="13"/>
      <c r="SAL53" s="13"/>
      <c r="SAM53" s="13"/>
      <c r="SAN53" s="13"/>
      <c r="SAO53" s="13"/>
      <c r="SAP53" s="13"/>
      <c r="SAQ53" s="13"/>
      <c r="SAR53" s="13"/>
      <c r="SAS53" s="13"/>
      <c r="SAT53" s="13"/>
      <c r="SAU53" s="13"/>
      <c r="SAV53" s="13"/>
      <c r="SAW53" s="13"/>
      <c r="SAX53" s="13"/>
      <c r="SAY53" s="13"/>
      <c r="SAZ53" s="13"/>
      <c r="SBA53" s="13"/>
      <c r="SBB53" s="13"/>
      <c r="SBC53" s="13"/>
      <c r="SBD53" s="13"/>
      <c r="SBE53" s="13"/>
      <c r="SBF53" s="13"/>
      <c r="SBG53" s="13"/>
      <c r="SBH53" s="13"/>
      <c r="SBI53" s="13"/>
      <c r="SBJ53" s="13"/>
      <c r="SBK53" s="13"/>
      <c r="SBL53" s="13"/>
      <c r="SBM53" s="13"/>
      <c r="SBN53" s="13"/>
      <c r="SBO53" s="13"/>
      <c r="SBP53" s="13"/>
      <c r="SBQ53" s="13"/>
      <c r="SBR53" s="13"/>
      <c r="SBS53" s="13"/>
      <c r="SBT53" s="13"/>
      <c r="SBU53" s="13"/>
      <c r="SBV53" s="13"/>
      <c r="SBW53" s="13"/>
      <c r="SBX53" s="13"/>
      <c r="SBY53" s="13"/>
      <c r="SBZ53" s="13"/>
      <c r="SCA53" s="13"/>
      <c r="SCB53" s="13"/>
      <c r="SCC53" s="13"/>
      <c r="SCD53" s="13"/>
      <c r="SCE53" s="13"/>
      <c r="SCF53" s="13"/>
      <c r="SCG53" s="13"/>
      <c r="SCH53" s="13"/>
      <c r="SCI53" s="13"/>
      <c r="SCJ53" s="13"/>
      <c r="SCK53" s="13"/>
      <c r="SCL53" s="13"/>
      <c r="SCM53" s="13"/>
      <c r="SCN53" s="13"/>
      <c r="SCO53" s="13"/>
      <c r="SCP53" s="13"/>
      <c r="SCQ53" s="13"/>
      <c r="SCR53" s="13"/>
      <c r="SCS53" s="13"/>
      <c r="SCT53" s="13"/>
      <c r="SCU53" s="13"/>
      <c r="SCV53" s="13"/>
      <c r="SCW53" s="13"/>
      <c r="SCX53" s="13"/>
      <c r="SCY53" s="13"/>
      <c r="SCZ53" s="13"/>
      <c r="SDA53" s="13"/>
      <c r="SDB53" s="13"/>
      <c r="SDC53" s="13"/>
      <c r="SDD53" s="13"/>
      <c r="SDE53" s="13"/>
      <c r="SDF53" s="13"/>
      <c r="SDG53" s="13"/>
      <c r="SDH53" s="13"/>
      <c r="SDI53" s="13"/>
      <c r="SDJ53" s="13"/>
      <c r="SDK53" s="13"/>
      <c r="SDL53" s="13"/>
      <c r="SDM53" s="13"/>
      <c r="SDN53" s="13"/>
      <c r="SDO53" s="13"/>
      <c r="SDP53" s="13"/>
      <c r="SDQ53" s="13"/>
      <c r="SDR53" s="13"/>
      <c r="SDS53" s="13"/>
      <c r="SDT53" s="13"/>
      <c r="SDU53" s="13"/>
      <c r="SDV53" s="13"/>
      <c r="SDW53" s="13"/>
      <c r="SDX53" s="13"/>
      <c r="SDY53" s="13"/>
      <c r="SDZ53" s="13"/>
      <c r="SEA53" s="13"/>
      <c r="SEB53" s="13"/>
      <c r="SEC53" s="13"/>
      <c r="SED53" s="13"/>
      <c r="SEE53" s="13"/>
      <c r="SEF53" s="13"/>
      <c r="SEG53" s="13"/>
      <c r="SEH53" s="13"/>
      <c r="SEI53" s="13"/>
      <c r="SEJ53" s="13"/>
      <c r="SEK53" s="13"/>
      <c r="SEL53" s="13"/>
      <c r="SEM53" s="13"/>
      <c r="SEN53" s="13"/>
      <c r="SEO53" s="13"/>
      <c r="SEP53" s="13"/>
      <c r="SEQ53" s="13"/>
      <c r="SER53" s="13"/>
      <c r="SES53" s="13"/>
      <c r="SET53" s="13"/>
      <c r="SEU53" s="13"/>
      <c r="SEV53" s="13"/>
      <c r="SEW53" s="13"/>
      <c r="SEX53" s="13"/>
      <c r="SEY53" s="13"/>
      <c r="SEZ53" s="13"/>
      <c r="SFA53" s="13"/>
      <c r="SFB53" s="13"/>
      <c r="SFC53" s="13"/>
      <c r="SFD53" s="13"/>
      <c r="SFE53" s="13"/>
      <c r="SFF53" s="13"/>
      <c r="SFG53" s="13"/>
      <c r="SFH53" s="13"/>
      <c r="SFI53" s="13"/>
      <c r="SFJ53" s="13"/>
      <c r="SFK53" s="13"/>
      <c r="SFL53" s="13"/>
      <c r="SFM53" s="13"/>
      <c r="SFN53" s="13"/>
      <c r="SFO53" s="13"/>
      <c r="SFP53" s="13"/>
      <c r="SFQ53" s="13"/>
      <c r="SFR53" s="13"/>
      <c r="SFS53" s="13"/>
      <c r="SFT53" s="13"/>
      <c r="SFU53" s="13"/>
      <c r="SFV53" s="13"/>
      <c r="SFW53" s="13"/>
      <c r="SFX53" s="13"/>
      <c r="SFY53" s="13"/>
      <c r="SFZ53" s="13"/>
      <c r="SGA53" s="13"/>
      <c r="SGB53" s="13"/>
      <c r="SGC53" s="13"/>
      <c r="SGD53" s="13"/>
      <c r="SGE53" s="13"/>
      <c r="SGF53" s="13"/>
      <c r="SGG53" s="13"/>
      <c r="SGH53" s="13"/>
      <c r="SGI53" s="13"/>
      <c r="SGJ53" s="13"/>
      <c r="SGK53" s="13"/>
      <c r="SGL53" s="13"/>
      <c r="SGM53" s="13"/>
      <c r="SGN53" s="13"/>
      <c r="SGO53" s="13"/>
      <c r="SGP53" s="13"/>
      <c r="SGQ53" s="13"/>
      <c r="SGR53" s="13"/>
      <c r="SGS53" s="13"/>
      <c r="SGT53" s="13"/>
      <c r="SGU53" s="13"/>
      <c r="SGV53" s="13"/>
      <c r="SGW53" s="13"/>
      <c r="SGX53" s="13"/>
      <c r="SGY53" s="13"/>
      <c r="SGZ53" s="13"/>
      <c r="SHA53" s="13"/>
      <c r="SHB53" s="13"/>
      <c r="SHC53" s="13"/>
      <c r="SHD53" s="13"/>
      <c r="SHE53" s="13"/>
      <c r="SHF53" s="13"/>
      <c r="SHG53" s="13"/>
      <c r="SHH53" s="13"/>
      <c r="SHI53" s="13"/>
      <c r="SHJ53" s="13"/>
      <c r="SHK53" s="13"/>
      <c r="SHL53" s="13"/>
      <c r="SHM53" s="13"/>
      <c r="SHN53" s="13"/>
      <c r="SHO53" s="13"/>
      <c r="SHP53" s="13"/>
      <c r="SHQ53" s="13"/>
      <c r="SHR53" s="13"/>
      <c r="SHS53" s="13"/>
      <c r="SHT53" s="13"/>
      <c r="SHU53" s="13"/>
      <c r="SHV53" s="13"/>
      <c r="SHW53" s="13"/>
      <c r="SHX53" s="13"/>
      <c r="SHY53" s="13"/>
      <c r="SHZ53" s="13"/>
      <c r="SIA53" s="13"/>
      <c r="SIB53" s="13"/>
      <c r="SIC53" s="13"/>
      <c r="SID53" s="13"/>
      <c r="SIE53" s="13"/>
      <c r="SIF53" s="13"/>
      <c r="SIG53" s="13"/>
      <c r="SIH53" s="13"/>
      <c r="SII53" s="13"/>
      <c r="SIJ53" s="13"/>
      <c r="SIK53" s="13"/>
      <c r="SIL53" s="13"/>
      <c r="SIM53" s="13"/>
      <c r="SIN53" s="13"/>
      <c r="SIO53" s="13"/>
      <c r="SIP53" s="13"/>
      <c r="SIQ53" s="13"/>
      <c r="SIR53" s="13"/>
      <c r="SIS53" s="13"/>
      <c r="SIT53" s="13"/>
      <c r="SIU53" s="13"/>
      <c r="SIV53" s="13"/>
      <c r="SIW53" s="13"/>
      <c r="SIX53" s="13"/>
      <c r="SIY53" s="13"/>
      <c r="SIZ53" s="13"/>
      <c r="SJA53" s="13"/>
      <c r="SJB53" s="13"/>
      <c r="SJC53" s="13"/>
      <c r="SJD53" s="13"/>
      <c r="SJE53" s="13"/>
      <c r="SJF53" s="13"/>
      <c r="SJG53" s="13"/>
      <c r="SJH53" s="13"/>
      <c r="SJI53" s="13"/>
      <c r="SJJ53" s="13"/>
      <c r="SJK53" s="13"/>
      <c r="SJL53" s="13"/>
      <c r="SJM53" s="13"/>
      <c r="SJN53" s="13"/>
      <c r="SJO53" s="13"/>
      <c r="SJP53" s="13"/>
      <c r="SJQ53" s="13"/>
      <c r="SJR53" s="13"/>
      <c r="SJS53" s="13"/>
      <c r="SJT53" s="13"/>
      <c r="SJU53" s="13"/>
      <c r="SJV53" s="13"/>
      <c r="SJW53" s="13"/>
      <c r="SJX53" s="13"/>
      <c r="SJY53" s="13"/>
      <c r="SJZ53" s="13"/>
      <c r="SKA53" s="13"/>
      <c r="SKB53" s="13"/>
      <c r="SKC53" s="13"/>
      <c r="SKD53" s="13"/>
      <c r="SKE53" s="13"/>
      <c r="SKF53" s="13"/>
      <c r="SKG53" s="13"/>
      <c r="SKH53" s="13"/>
      <c r="SKI53" s="13"/>
      <c r="SKJ53" s="13"/>
      <c r="SKK53" s="13"/>
      <c r="SKL53" s="13"/>
      <c r="SKM53" s="13"/>
      <c r="SKN53" s="13"/>
      <c r="SKO53" s="13"/>
      <c r="SKP53" s="13"/>
      <c r="SKQ53" s="13"/>
      <c r="SKR53" s="13"/>
      <c r="SKS53" s="13"/>
      <c r="SKT53" s="13"/>
      <c r="SKU53" s="13"/>
      <c r="SKV53" s="13"/>
      <c r="SKW53" s="13"/>
      <c r="SKX53" s="13"/>
      <c r="SKY53" s="13"/>
      <c r="SKZ53" s="13"/>
      <c r="SLA53" s="13"/>
      <c r="SLB53" s="13"/>
      <c r="SLC53" s="13"/>
      <c r="SLD53" s="13"/>
      <c r="SLE53" s="13"/>
      <c r="SLF53" s="13"/>
      <c r="SLG53" s="13"/>
      <c r="SLH53" s="13"/>
      <c r="SLI53" s="13"/>
      <c r="SLJ53" s="13"/>
      <c r="SLK53" s="13"/>
      <c r="SLL53" s="13"/>
      <c r="SLM53" s="13"/>
      <c r="SLN53" s="13"/>
      <c r="SLO53" s="13"/>
      <c r="SLP53" s="13"/>
      <c r="SLQ53" s="13"/>
      <c r="SLR53" s="13"/>
      <c r="SLS53" s="13"/>
      <c r="SLT53" s="13"/>
      <c r="SLU53" s="13"/>
      <c r="SLV53" s="13"/>
      <c r="SLW53" s="13"/>
      <c r="SLX53" s="13"/>
      <c r="SLY53" s="13"/>
      <c r="SLZ53" s="13"/>
      <c r="SMA53" s="13"/>
      <c r="SMB53" s="13"/>
      <c r="SMC53" s="13"/>
      <c r="SMD53" s="13"/>
      <c r="SME53" s="13"/>
      <c r="SMF53" s="13"/>
      <c r="SMG53" s="13"/>
      <c r="SMH53" s="13"/>
      <c r="SMI53" s="13"/>
      <c r="SMJ53" s="13"/>
      <c r="SMK53" s="13"/>
      <c r="SML53" s="13"/>
      <c r="SMM53" s="13"/>
      <c r="SMN53" s="13"/>
      <c r="SMO53" s="13"/>
      <c r="SMP53" s="13"/>
      <c r="SMQ53" s="13"/>
      <c r="SMR53" s="13"/>
      <c r="SMS53" s="13"/>
      <c r="SMT53" s="13"/>
      <c r="SMU53" s="13"/>
      <c r="SMV53" s="13"/>
      <c r="SMW53" s="13"/>
      <c r="SMX53" s="13"/>
      <c r="SMY53" s="13"/>
      <c r="SMZ53" s="13"/>
      <c r="SNA53" s="13"/>
      <c r="SNB53" s="13"/>
      <c r="SNC53" s="13"/>
      <c r="SND53" s="13"/>
      <c r="SNE53" s="13"/>
      <c r="SNF53" s="13"/>
      <c r="SNG53" s="13"/>
      <c r="SNH53" s="13"/>
      <c r="SNI53" s="13"/>
      <c r="SNJ53" s="13"/>
      <c r="SNK53" s="13"/>
      <c r="SNL53" s="13"/>
      <c r="SNM53" s="13"/>
      <c r="SNN53" s="13"/>
      <c r="SNO53" s="13"/>
      <c r="SNP53" s="13"/>
      <c r="SNQ53" s="13"/>
      <c r="SNR53" s="13"/>
      <c r="SNS53" s="13"/>
      <c r="SNT53" s="13"/>
      <c r="SNU53" s="13"/>
      <c r="SNV53" s="13"/>
      <c r="SNW53" s="13"/>
      <c r="SNX53" s="13"/>
      <c r="SNY53" s="13"/>
      <c r="SNZ53" s="13"/>
      <c r="SOA53" s="13"/>
      <c r="SOB53" s="13"/>
      <c r="SOC53" s="13"/>
      <c r="SOD53" s="13"/>
      <c r="SOE53" s="13"/>
      <c r="SOF53" s="13"/>
      <c r="SOG53" s="13"/>
      <c r="SOH53" s="13"/>
      <c r="SOI53" s="13"/>
      <c r="SOJ53" s="13"/>
      <c r="SOK53" s="13"/>
      <c r="SOL53" s="13"/>
      <c r="SOM53" s="13"/>
      <c r="SON53" s="13"/>
      <c r="SOO53" s="13"/>
      <c r="SOP53" s="13"/>
      <c r="SOQ53" s="13"/>
      <c r="SOR53" s="13"/>
      <c r="SOS53" s="13"/>
      <c r="SOT53" s="13"/>
      <c r="SOU53" s="13"/>
      <c r="SOV53" s="13"/>
      <c r="SOW53" s="13"/>
      <c r="SOX53" s="13"/>
      <c r="SOY53" s="13"/>
      <c r="SOZ53" s="13"/>
      <c r="SPA53" s="13"/>
      <c r="SPB53" s="13"/>
      <c r="SPC53" s="13"/>
      <c r="SPD53" s="13"/>
      <c r="SPE53" s="13"/>
      <c r="SPF53" s="13"/>
      <c r="SPG53" s="13"/>
      <c r="SPH53" s="13"/>
      <c r="SPI53" s="13"/>
      <c r="SPJ53" s="13"/>
      <c r="SPK53" s="13"/>
      <c r="SPL53" s="13"/>
      <c r="SPM53" s="13"/>
      <c r="SPN53" s="13"/>
      <c r="SPO53" s="13"/>
      <c r="SPP53" s="13"/>
      <c r="SPQ53" s="13"/>
      <c r="SPR53" s="13"/>
      <c r="SPS53" s="13"/>
      <c r="SPT53" s="13"/>
      <c r="SPU53" s="13"/>
      <c r="SPV53" s="13"/>
      <c r="SPW53" s="13"/>
      <c r="SPX53" s="13"/>
      <c r="SPY53" s="13"/>
      <c r="SPZ53" s="13"/>
      <c r="SQA53" s="13"/>
      <c r="SQB53" s="13"/>
      <c r="SQC53" s="13"/>
      <c r="SQD53" s="13"/>
      <c r="SQE53" s="13"/>
      <c r="SQF53" s="13"/>
      <c r="SQG53" s="13"/>
      <c r="SQH53" s="13"/>
      <c r="SQI53" s="13"/>
      <c r="SQJ53" s="13"/>
      <c r="SQK53" s="13"/>
      <c r="SQL53" s="13"/>
      <c r="SQM53" s="13"/>
      <c r="SQN53" s="13"/>
      <c r="SQO53" s="13"/>
      <c r="SQP53" s="13"/>
      <c r="SQQ53" s="13"/>
      <c r="SQR53" s="13"/>
      <c r="SQS53" s="13"/>
      <c r="SQT53" s="13"/>
      <c r="SQU53" s="13"/>
      <c r="SQV53" s="13"/>
      <c r="SQW53" s="13"/>
      <c r="SQX53" s="13"/>
      <c r="SQY53" s="13"/>
      <c r="SQZ53" s="13"/>
      <c r="SRA53" s="13"/>
      <c r="SRB53" s="13"/>
      <c r="SRC53" s="13"/>
      <c r="SRD53" s="13"/>
      <c r="SRE53" s="13"/>
      <c r="SRF53" s="13"/>
      <c r="SRG53" s="13"/>
      <c r="SRH53" s="13"/>
      <c r="SRI53" s="13"/>
      <c r="SRJ53" s="13"/>
      <c r="SRK53" s="13"/>
      <c r="SRL53" s="13"/>
      <c r="SRM53" s="13"/>
      <c r="SRN53" s="13"/>
      <c r="SRO53" s="13"/>
      <c r="SRP53" s="13"/>
      <c r="SRQ53" s="13"/>
      <c r="SRR53" s="13"/>
      <c r="SRS53" s="13"/>
      <c r="SRT53" s="13"/>
      <c r="SRU53" s="13"/>
      <c r="SRV53" s="13"/>
      <c r="SRW53" s="13"/>
      <c r="SRX53" s="13"/>
      <c r="SRY53" s="13"/>
      <c r="SRZ53" s="13"/>
      <c r="SSA53" s="13"/>
      <c r="SSB53" s="13"/>
      <c r="SSC53" s="13"/>
      <c r="SSD53" s="13"/>
      <c r="SSE53" s="13"/>
      <c r="SSF53" s="13"/>
      <c r="SSG53" s="13"/>
      <c r="SSH53" s="13"/>
      <c r="SSI53" s="13"/>
      <c r="SSJ53" s="13"/>
      <c r="SSK53" s="13"/>
      <c r="SSL53" s="13"/>
      <c r="SSM53" s="13"/>
      <c r="SSN53" s="13"/>
      <c r="SSO53" s="13"/>
      <c r="SSP53" s="13"/>
      <c r="SSQ53" s="13"/>
      <c r="SSR53" s="13"/>
      <c r="SSS53" s="13"/>
      <c r="SST53" s="13"/>
      <c r="SSU53" s="13"/>
      <c r="SSV53" s="13"/>
      <c r="SSW53" s="13"/>
      <c r="SSX53" s="13"/>
      <c r="SSY53" s="13"/>
      <c r="SSZ53" s="13"/>
      <c r="STA53" s="13"/>
      <c r="STB53" s="13"/>
      <c r="STC53" s="13"/>
      <c r="STD53" s="13"/>
      <c r="STE53" s="13"/>
      <c r="STF53" s="13"/>
      <c r="STG53" s="13"/>
      <c r="STH53" s="13"/>
      <c r="STI53" s="13"/>
      <c r="STJ53" s="13"/>
      <c r="STK53" s="13"/>
      <c r="STL53" s="13"/>
      <c r="STM53" s="13"/>
      <c r="STN53" s="13"/>
      <c r="STO53" s="13"/>
      <c r="STP53" s="13"/>
      <c r="STQ53" s="13"/>
      <c r="STR53" s="13"/>
      <c r="STS53" s="13"/>
      <c r="STT53" s="13"/>
      <c r="STU53" s="13"/>
      <c r="STV53" s="13"/>
      <c r="STW53" s="13"/>
      <c r="STX53" s="13"/>
      <c r="STY53" s="13"/>
      <c r="STZ53" s="13"/>
      <c r="SUA53" s="13"/>
      <c r="SUB53" s="13"/>
      <c r="SUC53" s="13"/>
      <c r="SUD53" s="13"/>
      <c r="SUE53" s="13"/>
      <c r="SUF53" s="13"/>
      <c r="SUG53" s="13"/>
      <c r="SUH53" s="13"/>
      <c r="SUI53" s="13"/>
      <c r="SUJ53" s="13"/>
      <c r="SUK53" s="13"/>
      <c r="SUL53" s="13"/>
      <c r="SUM53" s="13"/>
      <c r="SUN53" s="13"/>
      <c r="SUO53" s="13"/>
      <c r="SUP53" s="13"/>
      <c r="SUQ53" s="13"/>
      <c r="SUR53" s="13"/>
      <c r="SUS53" s="13"/>
      <c r="SUT53" s="13"/>
      <c r="SUU53" s="13"/>
      <c r="SUV53" s="13"/>
      <c r="SUW53" s="13"/>
      <c r="SUX53" s="13"/>
      <c r="SUY53" s="13"/>
      <c r="SUZ53" s="13"/>
      <c r="SVA53" s="13"/>
      <c r="SVB53" s="13"/>
      <c r="SVC53" s="13"/>
      <c r="SVD53" s="13"/>
      <c r="SVE53" s="13"/>
      <c r="SVF53" s="13"/>
      <c r="SVG53" s="13"/>
      <c r="SVH53" s="13"/>
      <c r="SVI53" s="13"/>
      <c r="SVJ53" s="13"/>
      <c r="SVK53" s="13"/>
      <c r="SVL53" s="13"/>
      <c r="SVM53" s="13"/>
      <c r="SVN53" s="13"/>
      <c r="SVO53" s="13"/>
      <c r="SVP53" s="13"/>
      <c r="SVQ53" s="13"/>
      <c r="SVR53" s="13"/>
      <c r="SVS53" s="13"/>
      <c r="SVT53" s="13"/>
      <c r="SVU53" s="13"/>
      <c r="SVV53" s="13"/>
      <c r="SVW53" s="13"/>
      <c r="SVX53" s="13"/>
      <c r="SVY53" s="13"/>
      <c r="SVZ53" s="13"/>
      <c r="SWA53" s="13"/>
      <c r="SWB53" s="13"/>
      <c r="SWC53" s="13"/>
      <c r="SWD53" s="13"/>
      <c r="SWE53" s="13"/>
      <c r="SWF53" s="13"/>
      <c r="SWG53" s="13"/>
      <c r="SWH53" s="13"/>
      <c r="SWI53" s="13"/>
      <c r="SWJ53" s="13"/>
      <c r="SWK53" s="13"/>
      <c r="SWL53" s="13"/>
      <c r="SWM53" s="13"/>
      <c r="SWN53" s="13"/>
      <c r="SWO53" s="13"/>
      <c r="SWP53" s="13"/>
      <c r="SWQ53" s="13"/>
      <c r="SWR53" s="13"/>
      <c r="SWS53" s="13"/>
      <c r="SWT53" s="13"/>
      <c r="SWU53" s="13"/>
      <c r="SWV53" s="13"/>
      <c r="SWW53" s="13"/>
      <c r="SWX53" s="13"/>
      <c r="SWY53" s="13"/>
      <c r="SWZ53" s="13"/>
      <c r="SXA53" s="13"/>
      <c r="SXB53" s="13"/>
      <c r="SXC53" s="13"/>
      <c r="SXD53" s="13"/>
      <c r="SXE53" s="13"/>
      <c r="SXF53" s="13"/>
      <c r="SXG53" s="13"/>
      <c r="SXH53" s="13"/>
      <c r="SXI53" s="13"/>
      <c r="SXJ53" s="13"/>
      <c r="SXK53" s="13"/>
      <c r="SXL53" s="13"/>
      <c r="SXM53" s="13"/>
      <c r="SXN53" s="13"/>
      <c r="SXO53" s="13"/>
      <c r="SXP53" s="13"/>
      <c r="SXQ53" s="13"/>
      <c r="SXR53" s="13"/>
      <c r="SXS53" s="13"/>
      <c r="SXT53" s="13"/>
      <c r="SXU53" s="13"/>
      <c r="SXV53" s="13"/>
      <c r="SXW53" s="13"/>
      <c r="SXX53" s="13"/>
      <c r="SXY53" s="13"/>
      <c r="SXZ53" s="13"/>
      <c r="SYA53" s="13"/>
      <c r="SYB53" s="13"/>
      <c r="SYC53" s="13"/>
      <c r="SYD53" s="13"/>
      <c r="SYE53" s="13"/>
      <c r="SYF53" s="13"/>
      <c r="SYG53" s="13"/>
      <c r="SYH53" s="13"/>
      <c r="SYI53" s="13"/>
      <c r="SYJ53" s="13"/>
      <c r="SYK53" s="13"/>
      <c r="SYL53" s="13"/>
      <c r="SYM53" s="13"/>
      <c r="SYN53" s="13"/>
      <c r="SYO53" s="13"/>
      <c r="SYP53" s="13"/>
      <c r="SYQ53" s="13"/>
      <c r="SYR53" s="13"/>
      <c r="SYS53" s="13"/>
      <c r="SYT53" s="13"/>
      <c r="SYU53" s="13"/>
      <c r="SYV53" s="13"/>
      <c r="SYW53" s="13"/>
      <c r="SYX53" s="13"/>
      <c r="SYY53" s="13"/>
      <c r="SYZ53" s="13"/>
      <c r="SZA53" s="13"/>
      <c r="SZB53" s="13"/>
      <c r="SZC53" s="13"/>
      <c r="SZD53" s="13"/>
      <c r="SZE53" s="13"/>
      <c r="SZF53" s="13"/>
      <c r="SZG53" s="13"/>
      <c r="SZH53" s="13"/>
      <c r="SZI53" s="13"/>
      <c r="SZJ53" s="13"/>
      <c r="SZK53" s="13"/>
      <c r="SZL53" s="13"/>
      <c r="SZM53" s="13"/>
      <c r="SZN53" s="13"/>
      <c r="SZO53" s="13"/>
      <c r="SZP53" s="13"/>
      <c r="SZQ53" s="13"/>
      <c r="SZR53" s="13"/>
      <c r="SZS53" s="13"/>
      <c r="SZT53" s="13"/>
      <c r="SZU53" s="13"/>
      <c r="SZV53" s="13"/>
      <c r="SZW53" s="13"/>
      <c r="SZX53" s="13"/>
      <c r="SZY53" s="13"/>
      <c r="SZZ53" s="13"/>
      <c r="TAA53" s="13"/>
      <c r="TAB53" s="13"/>
      <c r="TAC53" s="13"/>
      <c r="TAD53" s="13"/>
      <c r="TAE53" s="13"/>
      <c r="TAF53" s="13"/>
      <c r="TAG53" s="13"/>
      <c r="TAH53" s="13"/>
      <c r="TAI53" s="13"/>
      <c r="TAJ53" s="13"/>
      <c r="TAK53" s="13"/>
      <c r="TAL53" s="13"/>
      <c r="TAM53" s="13"/>
      <c r="TAN53" s="13"/>
      <c r="TAO53" s="13"/>
      <c r="TAP53" s="13"/>
      <c r="TAQ53" s="13"/>
      <c r="TAR53" s="13"/>
      <c r="TAS53" s="13"/>
      <c r="TAT53" s="13"/>
      <c r="TAU53" s="13"/>
      <c r="TAV53" s="13"/>
      <c r="TAW53" s="13"/>
      <c r="TAX53" s="13"/>
      <c r="TAY53" s="13"/>
      <c r="TAZ53" s="13"/>
      <c r="TBA53" s="13"/>
      <c r="TBB53" s="13"/>
      <c r="TBC53" s="13"/>
      <c r="TBD53" s="13"/>
      <c r="TBE53" s="13"/>
      <c r="TBF53" s="13"/>
      <c r="TBG53" s="13"/>
      <c r="TBH53" s="13"/>
      <c r="TBI53" s="13"/>
      <c r="TBJ53" s="13"/>
      <c r="TBK53" s="13"/>
      <c r="TBL53" s="13"/>
      <c r="TBM53" s="13"/>
      <c r="TBN53" s="13"/>
      <c r="TBO53" s="13"/>
      <c r="TBP53" s="13"/>
      <c r="TBQ53" s="13"/>
      <c r="TBR53" s="13"/>
      <c r="TBS53" s="13"/>
      <c r="TBT53" s="13"/>
      <c r="TBU53" s="13"/>
      <c r="TBV53" s="13"/>
      <c r="TBW53" s="13"/>
      <c r="TBX53" s="13"/>
      <c r="TBY53" s="13"/>
      <c r="TBZ53" s="13"/>
      <c r="TCA53" s="13"/>
      <c r="TCB53" s="13"/>
      <c r="TCC53" s="13"/>
      <c r="TCD53" s="13"/>
      <c r="TCE53" s="13"/>
      <c r="TCF53" s="13"/>
      <c r="TCG53" s="13"/>
      <c r="TCH53" s="13"/>
      <c r="TCI53" s="13"/>
      <c r="TCJ53" s="13"/>
      <c r="TCK53" s="13"/>
      <c r="TCL53" s="13"/>
      <c r="TCM53" s="13"/>
      <c r="TCN53" s="13"/>
      <c r="TCO53" s="13"/>
      <c r="TCP53" s="13"/>
      <c r="TCQ53" s="13"/>
      <c r="TCR53" s="13"/>
      <c r="TCS53" s="13"/>
      <c r="TCT53" s="13"/>
      <c r="TCU53" s="13"/>
      <c r="TCV53" s="13"/>
      <c r="TCW53" s="13"/>
      <c r="TCX53" s="13"/>
      <c r="TCY53" s="13"/>
      <c r="TCZ53" s="13"/>
      <c r="TDA53" s="13"/>
      <c r="TDB53" s="13"/>
      <c r="TDC53" s="13"/>
      <c r="TDD53" s="13"/>
      <c r="TDE53" s="13"/>
      <c r="TDF53" s="13"/>
      <c r="TDG53" s="13"/>
      <c r="TDH53" s="13"/>
      <c r="TDI53" s="13"/>
      <c r="TDJ53" s="13"/>
      <c r="TDK53" s="13"/>
      <c r="TDL53" s="13"/>
      <c r="TDM53" s="13"/>
      <c r="TDN53" s="13"/>
      <c r="TDO53" s="13"/>
      <c r="TDP53" s="13"/>
      <c r="TDQ53" s="13"/>
      <c r="TDR53" s="13"/>
      <c r="TDS53" s="13"/>
      <c r="TDT53" s="13"/>
      <c r="TDU53" s="13"/>
      <c r="TDV53" s="13"/>
      <c r="TDW53" s="13"/>
      <c r="TDX53" s="13"/>
      <c r="TDY53" s="13"/>
      <c r="TDZ53" s="13"/>
      <c r="TEA53" s="13"/>
      <c r="TEB53" s="13"/>
      <c r="TEC53" s="13"/>
      <c r="TED53" s="13"/>
      <c r="TEE53" s="13"/>
      <c r="TEF53" s="13"/>
      <c r="TEG53" s="13"/>
      <c r="TEH53" s="13"/>
      <c r="TEI53" s="13"/>
      <c r="TEJ53" s="13"/>
      <c r="TEK53" s="13"/>
      <c r="TEL53" s="13"/>
      <c r="TEM53" s="13"/>
      <c r="TEN53" s="13"/>
      <c r="TEO53" s="13"/>
      <c r="TEP53" s="13"/>
      <c r="TEQ53" s="13"/>
      <c r="TER53" s="13"/>
      <c r="TES53" s="13"/>
      <c r="TET53" s="13"/>
      <c r="TEU53" s="13"/>
      <c r="TEV53" s="13"/>
      <c r="TEW53" s="13"/>
      <c r="TEX53" s="13"/>
      <c r="TEY53" s="13"/>
      <c r="TEZ53" s="13"/>
      <c r="TFA53" s="13"/>
      <c r="TFB53" s="13"/>
      <c r="TFC53" s="13"/>
      <c r="TFD53" s="13"/>
      <c r="TFE53" s="13"/>
      <c r="TFF53" s="13"/>
      <c r="TFG53" s="13"/>
      <c r="TFH53" s="13"/>
      <c r="TFI53" s="13"/>
      <c r="TFJ53" s="13"/>
      <c r="TFK53" s="13"/>
      <c r="TFL53" s="13"/>
      <c r="TFM53" s="13"/>
      <c r="TFN53" s="13"/>
      <c r="TFO53" s="13"/>
      <c r="TFP53" s="13"/>
      <c r="TFQ53" s="13"/>
      <c r="TFR53" s="13"/>
      <c r="TFS53" s="13"/>
      <c r="TFT53" s="13"/>
      <c r="TFU53" s="13"/>
      <c r="TFV53" s="13"/>
      <c r="TFW53" s="13"/>
      <c r="TFX53" s="13"/>
      <c r="TFY53" s="13"/>
      <c r="TFZ53" s="13"/>
      <c r="TGA53" s="13"/>
      <c r="TGB53" s="13"/>
      <c r="TGC53" s="13"/>
      <c r="TGD53" s="13"/>
      <c r="TGE53" s="13"/>
      <c r="TGF53" s="13"/>
      <c r="TGG53" s="13"/>
      <c r="TGH53" s="13"/>
      <c r="TGI53" s="13"/>
      <c r="TGJ53" s="13"/>
      <c r="TGK53" s="13"/>
      <c r="TGL53" s="13"/>
      <c r="TGM53" s="13"/>
      <c r="TGN53" s="13"/>
      <c r="TGO53" s="13"/>
      <c r="TGP53" s="13"/>
      <c r="TGQ53" s="13"/>
      <c r="TGR53" s="13"/>
      <c r="TGS53" s="13"/>
      <c r="TGT53" s="13"/>
      <c r="TGU53" s="13"/>
      <c r="TGV53" s="13"/>
      <c r="TGW53" s="13"/>
      <c r="TGX53" s="13"/>
      <c r="TGY53" s="13"/>
      <c r="TGZ53" s="13"/>
      <c r="THA53" s="13"/>
      <c r="THB53" s="13"/>
      <c r="THC53" s="13"/>
      <c r="THD53" s="13"/>
      <c r="THE53" s="13"/>
      <c r="THF53" s="13"/>
      <c r="THG53" s="13"/>
      <c r="THH53" s="13"/>
      <c r="THI53" s="13"/>
      <c r="THJ53" s="13"/>
      <c r="THK53" s="13"/>
      <c r="THL53" s="13"/>
      <c r="THM53" s="13"/>
      <c r="THN53" s="13"/>
      <c r="THO53" s="13"/>
      <c r="THP53" s="13"/>
      <c r="THQ53" s="13"/>
      <c r="THR53" s="13"/>
      <c r="THS53" s="13"/>
      <c r="THT53" s="13"/>
      <c r="THU53" s="13"/>
      <c r="THV53" s="13"/>
      <c r="THW53" s="13"/>
      <c r="THX53" s="13"/>
      <c r="THY53" s="13"/>
      <c r="THZ53" s="13"/>
      <c r="TIA53" s="13"/>
      <c r="TIB53" s="13"/>
      <c r="TIC53" s="13"/>
      <c r="TID53" s="13"/>
      <c r="TIE53" s="13"/>
      <c r="TIF53" s="13"/>
      <c r="TIG53" s="13"/>
      <c r="TIH53" s="13"/>
      <c r="TII53" s="13"/>
      <c r="TIJ53" s="13"/>
      <c r="TIK53" s="13"/>
      <c r="TIL53" s="13"/>
      <c r="TIM53" s="13"/>
      <c r="TIN53" s="13"/>
      <c r="TIO53" s="13"/>
      <c r="TIP53" s="13"/>
      <c r="TIQ53" s="13"/>
      <c r="TIR53" s="13"/>
      <c r="TIS53" s="13"/>
      <c r="TIT53" s="13"/>
      <c r="TIU53" s="13"/>
      <c r="TIV53" s="13"/>
      <c r="TIW53" s="13"/>
      <c r="TIX53" s="13"/>
      <c r="TIY53" s="13"/>
      <c r="TIZ53" s="13"/>
      <c r="TJA53" s="13"/>
      <c r="TJB53" s="13"/>
      <c r="TJC53" s="13"/>
      <c r="TJD53" s="13"/>
      <c r="TJE53" s="13"/>
      <c r="TJF53" s="13"/>
      <c r="TJG53" s="13"/>
      <c r="TJH53" s="13"/>
      <c r="TJI53" s="13"/>
      <c r="TJJ53" s="13"/>
      <c r="TJK53" s="13"/>
      <c r="TJL53" s="13"/>
      <c r="TJM53" s="13"/>
      <c r="TJN53" s="13"/>
      <c r="TJO53" s="13"/>
      <c r="TJP53" s="13"/>
      <c r="TJQ53" s="13"/>
      <c r="TJR53" s="13"/>
      <c r="TJS53" s="13"/>
      <c r="TJT53" s="13"/>
      <c r="TJU53" s="13"/>
      <c r="TJV53" s="13"/>
      <c r="TJW53" s="13"/>
      <c r="TJX53" s="13"/>
      <c r="TJY53" s="13"/>
      <c r="TJZ53" s="13"/>
      <c r="TKA53" s="13"/>
      <c r="TKB53" s="13"/>
      <c r="TKC53" s="13"/>
      <c r="TKD53" s="13"/>
      <c r="TKE53" s="13"/>
      <c r="TKF53" s="13"/>
      <c r="TKG53" s="13"/>
      <c r="TKH53" s="13"/>
      <c r="TKI53" s="13"/>
      <c r="TKJ53" s="13"/>
      <c r="TKK53" s="13"/>
      <c r="TKL53" s="13"/>
      <c r="TKM53" s="13"/>
      <c r="TKN53" s="13"/>
      <c r="TKO53" s="13"/>
      <c r="TKP53" s="13"/>
      <c r="TKQ53" s="13"/>
      <c r="TKR53" s="13"/>
      <c r="TKS53" s="13"/>
      <c r="TKT53" s="13"/>
      <c r="TKU53" s="13"/>
      <c r="TKV53" s="13"/>
      <c r="TKW53" s="13"/>
      <c r="TKX53" s="13"/>
      <c r="TKY53" s="13"/>
      <c r="TKZ53" s="13"/>
      <c r="TLA53" s="13"/>
      <c r="TLB53" s="13"/>
      <c r="TLC53" s="13"/>
      <c r="TLD53" s="13"/>
      <c r="TLE53" s="13"/>
      <c r="TLF53" s="13"/>
      <c r="TLG53" s="13"/>
      <c r="TLH53" s="13"/>
      <c r="TLI53" s="13"/>
      <c r="TLJ53" s="13"/>
      <c r="TLK53" s="13"/>
      <c r="TLL53" s="13"/>
      <c r="TLM53" s="13"/>
      <c r="TLN53" s="13"/>
      <c r="TLO53" s="13"/>
      <c r="TLP53" s="13"/>
      <c r="TLQ53" s="13"/>
      <c r="TLR53" s="13"/>
      <c r="TLS53" s="13"/>
      <c r="TLT53" s="13"/>
      <c r="TLU53" s="13"/>
      <c r="TLV53" s="13"/>
      <c r="TLW53" s="13"/>
      <c r="TLX53" s="13"/>
      <c r="TLY53" s="13"/>
      <c r="TLZ53" s="13"/>
      <c r="TMA53" s="13"/>
      <c r="TMB53" s="13"/>
      <c r="TMC53" s="13"/>
      <c r="TMD53" s="13"/>
      <c r="TME53" s="13"/>
      <c r="TMF53" s="13"/>
      <c r="TMG53" s="13"/>
      <c r="TMH53" s="13"/>
      <c r="TMI53" s="13"/>
      <c r="TMJ53" s="13"/>
      <c r="TMK53" s="13"/>
      <c r="TML53" s="13"/>
      <c r="TMM53" s="13"/>
      <c r="TMN53" s="13"/>
      <c r="TMO53" s="13"/>
      <c r="TMP53" s="13"/>
      <c r="TMQ53" s="13"/>
      <c r="TMR53" s="13"/>
      <c r="TMS53" s="13"/>
      <c r="TMT53" s="13"/>
      <c r="TMU53" s="13"/>
      <c r="TMV53" s="13"/>
      <c r="TMW53" s="13"/>
      <c r="TMX53" s="13"/>
      <c r="TMY53" s="13"/>
      <c r="TMZ53" s="13"/>
      <c r="TNA53" s="13"/>
      <c r="TNB53" s="13"/>
      <c r="TNC53" s="13"/>
      <c r="TND53" s="13"/>
      <c r="TNE53" s="13"/>
      <c r="TNF53" s="13"/>
      <c r="TNG53" s="13"/>
      <c r="TNH53" s="13"/>
      <c r="TNI53" s="13"/>
      <c r="TNJ53" s="13"/>
      <c r="TNK53" s="13"/>
      <c r="TNL53" s="13"/>
      <c r="TNM53" s="13"/>
      <c r="TNN53" s="13"/>
      <c r="TNO53" s="13"/>
      <c r="TNP53" s="13"/>
      <c r="TNQ53" s="13"/>
      <c r="TNR53" s="13"/>
      <c r="TNS53" s="13"/>
      <c r="TNT53" s="13"/>
      <c r="TNU53" s="13"/>
      <c r="TNV53" s="13"/>
      <c r="TNW53" s="13"/>
      <c r="TNX53" s="13"/>
      <c r="TNY53" s="13"/>
      <c r="TNZ53" s="13"/>
      <c r="TOA53" s="13"/>
      <c r="TOB53" s="13"/>
      <c r="TOC53" s="13"/>
      <c r="TOD53" s="13"/>
      <c r="TOE53" s="13"/>
      <c r="TOF53" s="13"/>
      <c r="TOG53" s="13"/>
      <c r="TOH53" s="13"/>
      <c r="TOI53" s="13"/>
      <c r="TOJ53" s="13"/>
      <c r="TOK53" s="13"/>
      <c r="TOL53" s="13"/>
      <c r="TOM53" s="13"/>
      <c r="TON53" s="13"/>
      <c r="TOO53" s="13"/>
      <c r="TOP53" s="13"/>
      <c r="TOQ53" s="13"/>
      <c r="TOR53" s="13"/>
      <c r="TOS53" s="13"/>
      <c r="TOT53" s="13"/>
      <c r="TOU53" s="13"/>
      <c r="TOV53" s="13"/>
      <c r="TOW53" s="13"/>
      <c r="TOX53" s="13"/>
      <c r="TOY53" s="13"/>
      <c r="TOZ53" s="13"/>
      <c r="TPA53" s="13"/>
      <c r="TPB53" s="13"/>
      <c r="TPC53" s="13"/>
      <c r="TPD53" s="13"/>
      <c r="TPE53" s="13"/>
      <c r="TPF53" s="13"/>
      <c r="TPG53" s="13"/>
      <c r="TPH53" s="13"/>
      <c r="TPI53" s="13"/>
      <c r="TPJ53" s="13"/>
      <c r="TPK53" s="13"/>
      <c r="TPL53" s="13"/>
      <c r="TPM53" s="13"/>
      <c r="TPN53" s="13"/>
      <c r="TPO53" s="13"/>
      <c r="TPP53" s="13"/>
      <c r="TPQ53" s="13"/>
      <c r="TPR53" s="13"/>
      <c r="TPS53" s="13"/>
      <c r="TPT53" s="13"/>
      <c r="TPU53" s="13"/>
      <c r="TPV53" s="13"/>
      <c r="TPW53" s="13"/>
      <c r="TPX53" s="13"/>
      <c r="TPY53" s="13"/>
      <c r="TPZ53" s="13"/>
      <c r="TQA53" s="13"/>
      <c r="TQB53" s="13"/>
      <c r="TQC53" s="13"/>
      <c r="TQD53" s="13"/>
      <c r="TQE53" s="13"/>
      <c r="TQF53" s="13"/>
      <c r="TQG53" s="13"/>
      <c r="TQH53" s="13"/>
      <c r="TQI53" s="13"/>
      <c r="TQJ53" s="13"/>
      <c r="TQK53" s="13"/>
      <c r="TQL53" s="13"/>
      <c r="TQM53" s="13"/>
      <c r="TQN53" s="13"/>
      <c r="TQO53" s="13"/>
      <c r="TQP53" s="13"/>
      <c r="TQQ53" s="13"/>
      <c r="TQR53" s="13"/>
      <c r="TQS53" s="13"/>
      <c r="TQT53" s="13"/>
      <c r="TQU53" s="13"/>
      <c r="TQV53" s="13"/>
      <c r="TQW53" s="13"/>
      <c r="TQX53" s="13"/>
      <c r="TQY53" s="13"/>
      <c r="TQZ53" s="13"/>
      <c r="TRA53" s="13"/>
      <c r="TRB53" s="13"/>
      <c r="TRC53" s="13"/>
      <c r="TRD53" s="13"/>
      <c r="TRE53" s="13"/>
      <c r="TRF53" s="13"/>
      <c r="TRG53" s="13"/>
      <c r="TRH53" s="13"/>
      <c r="TRI53" s="13"/>
      <c r="TRJ53" s="13"/>
      <c r="TRK53" s="13"/>
      <c r="TRL53" s="13"/>
      <c r="TRM53" s="13"/>
      <c r="TRN53" s="13"/>
      <c r="TRO53" s="13"/>
      <c r="TRP53" s="13"/>
      <c r="TRQ53" s="13"/>
      <c r="TRR53" s="13"/>
      <c r="TRS53" s="13"/>
      <c r="TRT53" s="13"/>
      <c r="TRU53" s="13"/>
      <c r="TRV53" s="13"/>
      <c r="TRW53" s="13"/>
      <c r="TRX53" s="13"/>
      <c r="TRY53" s="13"/>
      <c r="TRZ53" s="13"/>
      <c r="TSA53" s="13"/>
      <c r="TSB53" s="13"/>
      <c r="TSC53" s="13"/>
      <c r="TSD53" s="13"/>
      <c r="TSE53" s="13"/>
      <c r="TSF53" s="13"/>
      <c r="TSG53" s="13"/>
      <c r="TSH53" s="13"/>
      <c r="TSI53" s="13"/>
      <c r="TSJ53" s="13"/>
      <c r="TSK53" s="13"/>
      <c r="TSL53" s="13"/>
      <c r="TSM53" s="13"/>
      <c r="TSN53" s="13"/>
      <c r="TSO53" s="13"/>
      <c r="TSP53" s="13"/>
      <c r="TSQ53" s="13"/>
      <c r="TSR53" s="13"/>
      <c r="TSS53" s="13"/>
      <c r="TST53" s="13"/>
      <c r="TSU53" s="13"/>
      <c r="TSV53" s="13"/>
      <c r="TSW53" s="13"/>
      <c r="TSX53" s="13"/>
      <c r="TSY53" s="13"/>
      <c r="TSZ53" s="13"/>
      <c r="TTA53" s="13"/>
      <c r="TTB53" s="13"/>
      <c r="TTC53" s="13"/>
      <c r="TTD53" s="13"/>
      <c r="TTE53" s="13"/>
      <c r="TTF53" s="13"/>
      <c r="TTG53" s="13"/>
      <c r="TTH53" s="13"/>
      <c r="TTI53" s="13"/>
      <c r="TTJ53" s="13"/>
      <c r="TTK53" s="13"/>
      <c r="TTL53" s="13"/>
      <c r="TTM53" s="13"/>
      <c r="TTN53" s="13"/>
      <c r="TTO53" s="13"/>
      <c r="TTP53" s="13"/>
      <c r="TTQ53" s="13"/>
      <c r="TTR53" s="13"/>
      <c r="TTS53" s="13"/>
      <c r="TTT53" s="13"/>
      <c r="TTU53" s="13"/>
      <c r="TTV53" s="13"/>
      <c r="TTW53" s="13"/>
      <c r="TTX53" s="13"/>
      <c r="TTY53" s="13"/>
      <c r="TTZ53" s="13"/>
      <c r="TUA53" s="13"/>
      <c r="TUB53" s="13"/>
      <c r="TUC53" s="13"/>
      <c r="TUD53" s="13"/>
      <c r="TUE53" s="13"/>
      <c r="TUF53" s="13"/>
      <c r="TUG53" s="13"/>
      <c r="TUH53" s="13"/>
      <c r="TUI53" s="13"/>
      <c r="TUJ53" s="13"/>
      <c r="TUK53" s="13"/>
      <c r="TUL53" s="13"/>
      <c r="TUM53" s="13"/>
      <c r="TUN53" s="13"/>
      <c r="TUO53" s="13"/>
      <c r="TUP53" s="13"/>
      <c r="TUQ53" s="13"/>
      <c r="TUR53" s="13"/>
      <c r="TUS53" s="13"/>
      <c r="TUT53" s="13"/>
      <c r="TUU53" s="13"/>
      <c r="TUV53" s="13"/>
      <c r="TUW53" s="13"/>
      <c r="TUX53" s="13"/>
      <c r="TUY53" s="13"/>
      <c r="TUZ53" s="13"/>
      <c r="TVA53" s="13"/>
      <c r="TVB53" s="13"/>
      <c r="TVC53" s="13"/>
      <c r="TVD53" s="13"/>
      <c r="TVE53" s="13"/>
      <c r="TVF53" s="13"/>
      <c r="TVG53" s="13"/>
      <c r="TVH53" s="13"/>
      <c r="TVI53" s="13"/>
      <c r="TVJ53" s="13"/>
      <c r="TVK53" s="13"/>
      <c r="TVL53" s="13"/>
      <c r="TVM53" s="13"/>
      <c r="TVN53" s="13"/>
      <c r="TVO53" s="13"/>
      <c r="TVP53" s="13"/>
      <c r="TVQ53" s="13"/>
      <c r="TVR53" s="13"/>
      <c r="TVS53" s="13"/>
      <c r="TVT53" s="13"/>
      <c r="TVU53" s="13"/>
      <c r="TVV53" s="13"/>
      <c r="TVW53" s="13"/>
      <c r="TVX53" s="13"/>
      <c r="TVY53" s="13"/>
      <c r="TVZ53" s="13"/>
      <c r="TWA53" s="13"/>
      <c r="TWB53" s="13"/>
      <c r="TWC53" s="13"/>
      <c r="TWD53" s="13"/>
      <c r="TWE53" s="13"/>
      <c r="TWF53" s="13"/>
      <c r="TWG53" s="13"/>
      <c r="TWH53" s="13"/>
      <c r="TWI53" s="13"/>
      <c r="TWJ53" s="13"/>
      <c r="TWK53" s="13"/>
      <c r="TWL53" s="13"/>
      <c r="TWM53" s="13"/>
      <c r="TWN53" s="13"/>
      <c r="TWO53" s="13"/>
      <c r="TWP53" s="13"/>
      <c r="TWQ53" s="13"/>
      <c r="TWR53" s="13"/>
      <c r="TWS53" s="13"/>
      <c r="TWT53" s="13"/>
      <c r="TWU53" s="13"/>
      <c r="TWV53" s="13"/>
      <c r="TWW53" s="13"/>
      <c r="TWX53" s="13"/>
      <c r="TWY53" s="13"/>
      <c r="TWZ53" s="13"/>
      <c r="TXA53" s="13"/>
      <c r="TXB53" s="13"/>
      <c r="TXC53" s="13"/>
      <c r="TXD53" s="13"/>
      <c r="TXE53" s="13"/>
      <c r="TXF53" s="13"/>
      <c r="TXG53" s="13"/>
      <c r="TXH53" s="13"/>
      <c r="TXI53" s="13"/>
      <c r="TXJ53" s="13"/>
      <c r="TXK53" s="13"/>
      <c r="TXL53" s="13"/>
      <c r="TXM53" s="13"/>
      <c r="TXN53" s="13"/>
      <c r="TXO53" s="13"/>
      <c r="TXP53" s="13"/>
      <c r="TXQ53" s="13"/>
      <c r="TXR53" s="13"/>
      <c r="TXS53" s="13"/>
      <c r="TXT53" s="13"/>
      <c r="TXU53" s="13"/>
      <c r="TXV53" s="13"/>
      <c r="TXW53" s="13"/>
      <c r="TXX53" s="13"/>
      <c r="TXY53" s="13"/>
      <c r="TXZ53" s="13"/>
      <c r="TYA53" s="13"/>
      <c r="TYB53" s="13"/>
      <c r="TYC53" s="13"/>
      <c r="TYD53" s="13"/>
      <c r="TYE53" s="13"/>
      <c r="TYF53" s="13"/>
      <c r="TYG53" s="13"/>
      <c r="TYH53" s="13"/>
      <c r="TYI53" s="13"/>
      <c r="TYJ53" s="13"/>
      <c r="TYK53" s="13"/>
      <c r="TYL53" s="13"/>
      <c r="TYM53" s="13"/>
      <c r="TYN53" s="13"/>
      <c r="TYO53" s="13"/>
      <c r="TYP53" s="13"/>
      <c r="TYQ53" s="13"/>
      <c r="TYR53" s="13"/>
      <c r="TYS53" s="13"/>
      <c r="TYT53" s="13"/>
      <c r="TYU53" s="13"/>
      <c r="TYV53" s="13"/>
      <c r="TYW53" s="13"/>
      <c r="TYX53" s="13"/>
      <c r="TYY53" s="13"/>
      <c r="TYZ53" s="13"/>
      <c r="TZA53" s="13"/>
      <c r="TZB53" s="13"/>
      <c r="TZC53" s="13"/>
      <c r="TZD53" s="13"/>
      <c r="TZE53" s="13"/>
      <c r="TZF53" s="13"/>
      <c r="TZG53" s="13"/>
      <c r="TZH53" s="13"/>
      <c r="TZI53" s="13"/>
      <c r="TZJ53" s="13"/>
      <c r="TZK53" s="13"/>
      <c r="TZL53" s="13"/>
      <c r="TZM53" s="13"/>
      <c r="TZN53" s="13"/>
      <c r="TZO53" s="13"/>
      <c r="TZP53" s="13"/>
      <c r="TZQ53" s="13"/>
      <c r="TZR53" s="13"/>
      <c r="TZS53" s="13"/>
      <c r="TZT53" s="13"/>
      <c r="TZU53" s="13"/>
      <c r="TZV53" s="13"/>
      <c r="TZW53" s="13"/>
      <c r="TZX53" s="13"/>
      <c r="TZY53" s="13"/>
      <c r="TZZ53" s="13"/>
      <c r="UAA53" s="13"/>
      <c r="UAB53" s="13"/>
      <c r="UAC53" s="13"/>
      <c r="UAD53" s="13"/>
      <c r="UAE53" s="13"/>
      <c r="UAF53" s="13"/>
      <c r="UAG53" s="13"/>
      <c r="UAH53" s="13"/>
      <c r="UAI53" s="13"/>
      <c r="UAJ53" s="13"/>
      <c r="UAK53" s="13"/>
      <c r="UAL53" s="13"/>
      <c r="UAM53" s="13"/>
      <c r="UAN53" s="13"/>
      <c r="UAO53" s="13"/>
      <c r="UAP53" s="13"/>
      <c r="UAQ53" s="13"/>
      <c r="UAR53" s="13"/>
      <c r="UAS53" s="13"/>
      <c r="UAT53" s="13"/>
      <c r="UAU53" s="13"/>
      <c r="UAV53" s="13"/>
      <c r="UAW53" s="13"/>
      <c r="UAX53" s="13"/>
      <c r="UAY53" s="13"/>
      <c r="UAZ53" s="13"/>
      <c r="UBA53" s="13"/>
      <c r="UBB53" s="13"/>
      <c r="UBC53" s="13"/>
      <c r="UBD53" s="13"/>
      <c r="UBE53" s="13"/>
      <c r="UBF53" s="13"/>
      <c r="UBG53" s="13"/>
      <c r="UBH53" s="13"/>
      <c r="UBI53" s="13"/>
      <c r="UBJ53" s="13"/>
      <c r="UBK53" s="13"/>
      <c r="UBL53" s="13"/>
      <c r="UBM53" s="13"/>
      <c r="UBN53" s="13"/>
      <c r="UBO53" s="13"/>
      <c r="UBP53" s="13"/>
      <c r="UBQ53" s="13"/>
      <c r="UBR53" s="13"/>
      <c r="UBS53" s="13"/>
      <c r="UBT53" s="13"/>
      <c r="UBU53" s="13"/>
      <c r="UBV53" s="13"/>
      <c r="UBW53" s="13"/>
      <c r="UBX53" s="13"/>
      <c r="UBY53" s="13"/>
      <c r="UBZ53" s="13"/>
      <c r="UCA53" s="13"/>
      <c r="UCB53" s="13"/>
      <c r="UCC53" s="13"/>
      <c r="UCD53" s="13"/>
      <c r="UCE53" s="13"/>
      <c r="UCF53" s="13"/>
      <c r="UCG53" s="13"/>
      <c r="UCH53" s="13"/>
      <c r="UCI53" s="13"/>
      <c r="UCJ53" s="13"/>
      <c r="UCK53" s="13"/>
      <c r="UCL53" s="13"/>
      <c r="UCM53" s="13"/>
      <c r="UCN53" s="13"/>
      <c r="UCO53" s="13"/>
      <c r="UCP53" s="13"/>
      <c r="UCQ53" s="13"/>
      <c r="UCR53" s="13"/>
      <c r="UCS53" s="13"/>
      <c r="UCT53" s="13"/>
      <c r="UCU53" s="13"/>
      <c r="UCV53" s="13"/>
      <c r="UCW53" s="13"/>
      <c r="UCX53" s="13"/>
      <c r="UCY53" s="13"/>
      <c r="UCZ53" s="13"/>
      <c r="UDA53" s="13"/>
      <c r="UDB53" s="13"/>
      <c r="UDC53" s="13"/>
      <c r="UDD53" s="13"/>
      <c r="UDE53" s="13"/>
      <c r="UDF53" s="13"/>
      <c r="UDG53" s="13"/>
      <c r="UDH53" s="13"/>
      <c r="UDI53" s="13"/>
      <c r="UDJ53" s="13"/>
      <c r="UDK53" s="13"/>
      <c r="UDL53" s="13"/>
      <c r="UDM53" s="13"/>
      <c r="UDN53" s="13"/>
      <c r="UDO53" s="13"/>
      <c r="UDP53" s="13"/>
      <c r="UDQ53" s="13"/>
      <c r="UDR53" s="13"/>
      <c r="UDS53" s="13"/>
      <c r="UDT53" s="13"/>
      <c r="UDU53" s="13"/>
      <c r="UDV53" s="13"/>
      <c r="UDW53" s="13"/>
      <c r="UDX53" s="13"/>
      <c r="UDY53" s="13"/>
      <c r="UDZ53" s="13"/>
      <c r="UEA53" s="13"/>
      <c r="UEB53" s="13"/>
      <c r="UEC53" s="13"/>
      <c r="UED53" s="13"/>
      <c r="UEE53" s="13"/>
      <c r="UEF53" s="13"/>
      <c r="UEG53" s="13"/>
      <c r="UEH53" s="13"/>
      <c r="UEI53" s="13"/>
      <c r="UEJ53" s="13"/>
      <c r="UEK53" s="13"/>
      <c r="UEL53" s="13"/>
      <c r="UEM53" s="13"/>
      <c r="UEN53" s="13"/>
      <c r="UEO53" s="13"/>
      <c r="UEP53" s="13"/>
      <c r="UEQ53" s="13"/>
      <c r="UER53" s="13"/>
      <c r="UES53" s="13"/>
      <c r="UET53" s="13"/>
      <c r="UEU53" s="13"/>
      <c r="UEV53" s="13"/>
      <c r="UEW53" s="13"/>
      <c r="UEX53" s="13"/>
      <c r="UEY53" s="13"/>
      <c r="UEZ53" s="13"/>
      <c r="UFA53" s="13"/>
      <c r="UFB53" s="13"/>
      <c r="UFC53" s="13"/>
      <c r="UFD53" s="13"/>
      <c r="UFE53" s="13"/>
      <c r="UFF53" s="13"/>
      <c r="UFG53" s="13"/>
      <c r="UFH53" s="13"/>
      <c r="UFI53" s="13"/>
      <c r="UFJ53" s="13"/>
      <c r="UFK53" s="13"/>
      <c r="UFL53" s="13"/>
      <c r="UFM53" s="13"/>
      <c r="UFN53" s="13"/>
      <c r="UFO53" s="13"/>
      <c r="UFP53" s="13"/>
      <c r="UFQ53" s="13"/>
      <c r="UFR53" s="13"/>
      <c r="UFS53" s="13"/>
      <c r="UFT53" s="13"/>
      <c r="UFU53" s="13"/>
      <c r="UFV53" s="13"/>
      <c r="UFW53" s="13"/>
      <c r="UFX53" s="13"/>
      <c r="UFY53" s="13"/>
      <c r="UFZ53" s="13"/>
      <c r="UGA53" s="13"/>
      <c r="UGB53" s="13"/>
      <c r="UGC53" s="13"/>
      <c r="UGD53" s="13"/>
      <c r="UGE53" s="13"/>
      <c r="UGF53" s="13"/>
      <c r="UGG53" s="13"/>
      <c r="UGH53" s="13"/>
      <c r="UGI53" s="13"/>
      <c r="UGJ53" s="13"/>
      <c r="UGK53" s="13"/>
      <c r="UGL53" s="13"/>
      <c r="UGM53" s="13"/>
      <c r="UGN53" s="13"/>
      <c r="UGO53" s="13"/>
      <c r="UGP53" s="13"/>
      <c r="UGQ53" s="13"/>
      <c r="UGR53" s="13"/>
      <c r="UGS53" s="13"/>
      <c r="UGT53" s="13"/>
      <c r="UGU53" s="13"/>
      <c r="UGV53" s="13"/>
      <c r="UGW53" s="13"/>
      <c r="UGX53" s="13"/>
      <c r="UGY53" s="13"/>
      <c r="UGZ53" s="13"/>
      <c r="UHA53" s="13"/>
      <c r="UHB53" s="13"/>
      <c r="UHC53" s="13"/>
      <c r="UHD53" s="13"/>
      <c r="UHE53" s="13"/>
      <c r="UHF53" s="13"/>
      <c r="UHG53" s="13"/>
      <c r="UHH53" s="13"/>
      <c r="UHI53" s="13"/>
      <c r="UHJ53" s="13"/>
      <c r="UHK53" s="13"/>
      <c r="UHL53" s="13"/>
      <c r="UHM53" s="13"/>
      <c r="UHN53" s="13"/>
      <c r="UHO53" s="13"/>
      <c r="UHP53" s="13"/>
      <c r="UHQ53" s="13"/>
      <c r="UHR53" s="13"/>
      <c r="UHS53" s="13"/>
      <c r="UHT53" s="13"/>
      <c r="UHU53" s="13"/>
      <c r="UHV53" s="13"/>
      <c r="UHW53" s="13"/>
      <c r="UHX53" s="13"/>
      <c r="UHY53" s="13"/>
      <c r="UHZ53" s="13"/>
      <c r="UIA53" s="13"/>
      <c r="UIB53" s="13"/>
      <c r="UIC53" s="13"/>
      <c r="UID53" s="13"/>
      <c r="UIE53" s="13"/>
      <c r="UIF53" s="13"/>
      <c r="UIG53" s="13"/>
      <c r="UIH53" s="13"/>
      <c r="UII53" s="13"/>
      <c r="UIJ53" s="13"/>
      <c r="UIK53" s="13"/>
      <c r="UIL53" s="13"/>
      <c r="UIM53" s="13"/>
      <c r="UIN53" s="13"/>
      <c r="UIO53" s="13"/>
      <c r="UIP53" s="13"/>
      <c r="UIQ53" s="13"/>
      <c r="UIR53" s="13"/>
      <c r="UIS53" s="13"/>
      <c r="UIT53" s="13"/>
      <c r="UIU53" s="13"/>
      <c r="UIV53" s="13"/>
      <c r="UIW53" s="13"/>
      <c r="UIX53" s="13"/>
      <c r="UIY53" s="13"/>
      <c r="UIZ53" s="13"/>
      <c r="UJA53" s="13"/>
      <c r="UJB53" s="13"/>
      <c r="UJC53" s="13"/>
      <c r="UJD53" s="13"/>
      <c r="UJE53" s="13"/>
      <c r="UJF53" s="13"/>
      <c r="UJG53" s="13"/>
      <c r="UJH53" s="13"/>
      <c r="UJI53" s="13"/>
      <c r="UJJ53" s="13"/>
      <c r="UJK53" s="13"/>
      <c r="UJL53" s="13"/>
      <c r="UJM53" s="13"/>
      <c r="UJN53" s="13"/>
      <c r="UJO53" s="13"/>
      <c r="UJP53" s="13"/>
      <c r="UJQ53" s="13"/>
      <c r="UJR53" s="13"/>
      <c r="UJS53" s="13"/>
      <c r="UJT53" s="13"/>
      <c r="UJU53" s="13"/>
      <c r="UJV53" s="13"/>
      <c r="UJW53" s="13"/>
      <c r="UJX53" s="13"/>
      <c r="UJY53" s="13"/>
      <c r="UJZ53" s="13"/>
      <c r="UKA53" s="13"/>
      <c r="UKB53" s="13"/>
      <c r="UKC53" s="13"/>
      <c r="UKD53" s="13"/>
      <c r="UKE53" s="13"/>
      <c r="UKF53" s="13"/>
      <c r="UKG53" s="13"/>
      <c r="UKH53" s="13"/>
      <c r="UKI53" s="13"/>
      <c r="UKJ53" s="13"/>
      <c r="UKK53" s="13"/>
      <c r="UKL53" s="13"/>
      <c r="UKM53" s="13"/>
      <c r="UKN53" s="13"/>
      <c r="UKO53" s="13"/>
      <c r="UKP53" s="13"/>
      <c r="UKQ53" s="13"/>
      <c r="UKR53" s="13"/>
      <c r="UKS53" s="13"/>
      <c r="UKT53" s="13"/>
      <c r="UKU53" s="13"/>
      <c r="UKV53" s="13"/>
      <c r="UKW53" s="13"/>
      <c r="UKX53" s="13"/>
      <c r="UKY53" s="13"/>
      <c r="UKZ53" s="13"/>
      <c r="ULA53" s="13"/>
      <c r="ULB53" s="13"/>
      <c r="ULC53" s="13"/>
      <c r="ULD53" s="13"/>
      <c r="ULE53" s="13"/>
      <c r="ULF53" s="13"/>
      <c r="ULG53" s="13"/>
      <c r="ULH53" s="13"/>
      <c r="ULI53" s="13"/>
      <c r="ULJ53" s="13"/>
      <c r="ULK53" s="13"/>
      <c r="ULL53" s="13"/>
      <c r="ULM53" s="13"/>
      <c r="ULN53" s="13"/>
      <c r="ULO53" s="13"/>
      <c r="ULP53" s="13"/>
      <c r="ULQ53" s="13"/>
      <c r="ULR53" s="13"/>
      <c r="ULS53" s="13"/>
      <c r="ULT53" s="13"/>
      <c r="ULU53" s="13"/>
      <c r="ULV53" s="13"/>
      <c r="ULW53" s="13"/>
      <c r="ULX53" s="13"/>
      <c r="ULY53" s="13"/>
      <c r="ULZ53" s="13"/>
      <c r="UMA53" s="13"/>
      <c r="UMB53" s="13"/>
      <c r="UMC53" s="13"/>
      <c r="UMD53" s="13"/>
      <c r="UME53" s="13"/>
      <c r="UMF53" s="13"/>
      <c r="UMG53" s="13"/>
      <c r="UMH53" s="13"/>
      <c r="UMI53" s="13"/>
      <c r="UMJ53" s="13"/>
      <c r="UMK53" s="13"/>
      <c r="UML53" s="13"/>
      <c r="UMM53" s="13"/>
      <c r="UMN53" s="13"/>
      <c r="UMO53" s="13"/>
      <c r="UMP53" s="13"/>
      <c r="UMQ53" s="13"/>
      <c r="UMR53" s="13"/>
      <c r="UMS53" s="13"/>
      <c r="UMT53" s="13"/>
      <c r="UMU53" s="13"/>
      <c r="UMV53" s="13"/>
      <c r="UMW53" s="13"/>
      <c r="UMX53" s="13"/>
      <c r="UMY53" s="13"/>
      <c r="UMZ53" s="13"/>
      <c r="UNA53" s="13"/>
      <c r="UNB53" s="13"/>
      <c r="UNC53" s="13"/>
      <c r="UND53" s="13"/>
      <c r="UNE53" s="13"/>
      <c r="UNF53" s="13"/>
      <c r="UNG53" s="13"/>
      <c r="UNH53" s="13"/>
      <c r="UNI53" s="13"/>
      <c r="UNJ53" s="13"/>
      <c r="UNK53" s="13"/>
      <c r="UNL53" s="13"/>
      <c r="UNM53" s="13"/>
      <c r="UNN53" s="13"/>
      <c r="UNO53" s="13"/>
      <c r="UNP53" s="13"/>
      <c r="UNQ53" s="13"/>
      <c r="UNR53" s="13"/>
      <c r="UNS53" s="13"/>
      <c r="UNT53" s="13"/>
      <c r="UNU53" s="13"/>
      <c r="UNV53" s="13"/>
      <c r="UNW53" s="13"/>
      <c r="UNX53" s="13"/>
      <c r="UNY53" s="13"/>
      <c r="UNZ53" s="13"/>
      <c r="UOA53" s="13"/>
      <c r="UOB53" s="13"/>
      <c r="UOC53" s="13"/>
      <c r="UOD53" s="13"/>
      <c r="UOE53" s="13"/>
      <c r="UOF53" s="13"/>
      <c r="UOG53" s="13"/>
      <c r="UOH53" s="13"/>
      <c r="UOI53" s="13"/>
      <c r="UOJ53" s="13"/>
      <c r="UOK53" s="13"/>
      <c r="UOL53" s="13"/>
      <c r="UOM53" s="13"/>
      <c r="UON53" s="13"/>
      <c r="UOO53" s="13"/>
      <c r="UOP53" s="13"/>
      <c r="UOQ53" s="13"/>
      <c r="UOR53" s="13"/>
      <c r="UOS53" s="13"/>
      <c r="UOT53" s="13"/>
      <c r="UOU53" s="13"/>
      <c r="UOV53" s="13"/>
      <c r="UOW53" s="13"/>
      <c r="UOX53" s="13"/>
      <c r="UOY53" s="13"/>
      <c r="UOZ53" s="13"/>
      <c r="UPA53" s="13"/>
      <c r="UPB53" s="13"/>
      <c r="UPC53" s="13"/>
      <c r="UPD53" s="13"/>
      <c r="UPE53" s="13"/>
      <c r="UPF53" s="13"/>
      <c r="UPG53" s="13"/>
      <c r="UPH53" s="13"/>
      <c r="UPI53" s="13"/>
      <c r="UPJ53" s="13"/>
      <c r="UPK53" s="13"/>
      <c r="UPL53" s="13"/>
      <c r="UPM53" s="13"/>
      <c r="UPN53" s="13"/>
      <c r="UPO53" s="13"/>
      <c r="UPP53" s="13"/>
      <c r="UPQ53" s="13"/>
      <c r="UPR53" s="13"/>
      <c r="UPS53" s="13"/>
      <c r="UPT53" s="13"/>
      <c r="UPU53" s="13"/>
      <c r="UPV53" s="13"/>
      <c r="UPW53" s="13"/>
      <c r="UPX53" s="13"/>
      <c r="UPY53" s="13"/>
      <c r="UPZ53" s="13"/>
      <c r="UQA53" s="13"/>
      <c r="UQB53" s="13"/>
      <c r="UQC53" s="13"/>
      <c r="UQD53" s="13"/>
      <c r="UQE53" s="13"/>
      <c r="UQF53" s="13"/>
      <c r="UQG53" s="13"/>
      <c r="UQH53" s="13"/>
      <c r="UQI53" s="13"/>
      <c r="UQJ53" s="13"/>
      <c r="UQK53" s="13"/>
      <c r="UQL53" s="13"/>
      <c r="UQM53" s="13"/>
      <c r="UQN53" s="13"/>
      <c r="UQO53" s="13"/>
      <c r="UQP53" s="13"/>
      <c r="UQQ53" s="13"/>
      <c r="UQR53" s="13"/>
      <c r="UQS53" s="13"/>
      <c r="UQT53" s="13"/>
      <c r="UQU53" s="13"/>
      <c r="UQV53" s="13"/>
      <c r="UQW53" s="13"/>
      <c r="UQX53" s="13"/>
      <c r="UQY53" s="13"/>
      <c r="UQZ53" s="13"/>
      <c r="URA53" s="13"/>
      <c r="URB53" s="13"/>
      <c r="URC53" s="13"/>
      <c r="URD53" s="13"/>
      <c r="URE53" s="13"/>
      <c r="URF53" s="13"/>
      <c r="URG53" s="13"/>
      <c r="URH53" s="13"/>
      <c r="URI53" s="13"/>
      <c r="URJ53" s="13"/>
      <c r="URK53" s="13"/>
      <c r="URL53" s="13"/>
      <c r="URM53" s="13"/>
      <c r="URN53" s="13"/>
      <c r="URO53" s="13"/>
      <c r="URP53" s="13"/>
      <c r="URQ53" s="13"/>
      <c r="URR53" s="13"/>
      <c r="URS53" s="13"/>
      <c r="URT53" s="13"/>
      <c r="URU53" s="13"/>
      <c r="URV53" s="13"/>
      <c r="URW53" s="13"/>
      <c r="URX53" s="13"/>
      <c r="URY53" s="13"/>
      <c r="URZ53" s="13"/>
      <c r="USA53" s="13"/>
      <c r="USB53" s="13"/>
      <c r="USC53" s="13"/>
      <c r="USD53" s="13"/>
      <c r="USE53" s="13"/>
      <c r="USF53" s="13"/>
      <c r="USG53" s="13"/>
      <c r="USH53" s="13"/>
      <c r="USI53" s="13"/>
      <c r="USJ53" s="13"/>
      <c r="USK53" s="13"/>
      <c r="USL53" s="13"/>
      <c r="USM53" s="13"/>
      <c r="USN53" s="13"/>
      <c r="USO53" s="13"/>
      <c r="USP53" s="13"/>
      <c r="USQ53" s="13"/>
      <c r="USR53" s="13"/>
      <c r="USS53" s="13"/>
      <c r="UST53" s="13"/>
      <c r="USU53" s="13"/>
      <c r="USV53" s="13"/>
      <c r="USW53" s="13"/>
      <c r="USX53" s="13"/>
      <c r="USY53" s="13"/>
      <c r="USZ53" s="13"/>
      <c r="UTA53" s="13"/>
      <c r="UTB53" s="13"/>
      <c r="UTC53" s="13"/>
      <c r="UTD53" s="13"/>
      <c r="UTE53" s="13"/>
      <c r="UTF53" s="13"/>
      <c r="UTG53" s="13"/>
      <c r="UTH53" s="13"/>
      <c r="UTI53" s="13"/>
      <c r="UTJ53" s="13"/>
      <c r="UTK53" s="13"/>
      <c r="UTL53" s="13"/>
      <c r="UTM53" s="13"/>
      <c r="UTN53" s="13"/>
      <c r="UTO53" s="13"/>
      <c r="UTP53" s="13"/>
      <c r="UTQ53" s="13"/>
      <c r="UTR53" s="13"/>
      <c r="UTS53" s="13"/>
      <c r="UTT53" s="13"/>
      <c r="UTU53" s="13"/>
      <c r="UTV53" s="13"/>
      <c r="UTW53" s="13"/>
      <c r="UTX53" s="13"/>
      <c r="UTY53" s="13"/>
      <c r="UTZ53" s="13"/>
      <c r="UUA53" s="13"/>
      <c r="UUB53" s="13"/>
      <c r="UUC53" s="13"/>
      <c r="UUD53" s="13"/>
      <c r="UUE53" s="13"/>
      <c r="UUF53" s="13"/>
      <c r="UUG53" s="13"/>
      <c r="UUH53" s="13"/>
      <c r="UUI53" s="13"/>
      <c r="UUJ53" s="13"/>
      <c r="UUK53" s="13"/>
      <c r="UUL53" s="13"/>
      <c r="UUM53" s="13"/>
      <c r="UUN53" s="13"/>
      <c r="UUO53" s="13"/>
      <c r="UUP53" s="13"/>
      <c r="UUQ53" s="13"/>
      <c r="UUR53" s="13"/>
      <c r="UUS53" s="13"/>
      <c r="UUT53" s="13"/>
      <c r="UUU53" s="13"/>
      <c r="UUV53" s="13"/>
      <c r="UUW53" s="13"/>
      <c r="UUX53" s="13"/>
      <c r="UUY53" s="13"/>
      <c r="UUZ53" s="13"/>
      <c r="UVA53" s="13"/>
      <c r="UVB53" s="13"/>
      <c r="UVC53" s="13"/>
      <c r="UVD53" s="13"/>
      <c r="UVE53" s="13"/>
      <c r="UVF53" s="13"/>
      <c r="UVG53" s="13"/>
      <c r="UVH53" s="13"/>
      <c r="UVI53" s="13"/>
      <c r="UVJ53" s="13"/>
      <c r="UVK53" s="13"/>
      <c r="UVL53" s="13"/>
      <c r="UVM53" s="13"/>
      <c r="UVN53" s="13"/>
      <c r="UVO53" s="13"/>
      <c r="UVP53" s="13"/>
      <c r="UVQ53" s="13"/>
      <c r="UVR53" s="13"/>
      <c r="UVS53" s="13"/>
      <c r="UVT53" s="13"/>
      <c r="UVU53" s="13"/>
      <c r="UVV53" s="13"/>
      <c r="UVW53" s="13"/>
      <c r="UVX53" s="13"/>
      <c r="UVY53" s="13"/>
      <c r="UVZ53" s="13"/>
      <c r="UWA53" s="13"/>
      <c r="UWB53" s="13"/>
      <c r="UWC53" s="13"/>
      <c r="UWD53" s="13"/>
      <c r="UWE53" s="13"/>
      <c r="UWF53" s="13"/>
      <c r="UWG53" s="13"/>
      <c r="UWH53" s="13"/>
      <c r="UWI53" s="13"/>
      <c r="UWJ53" s="13"/>
      <c r="UWK53" s="13"/>
      <c r="UWL53" s="13"/>
      <c r="UWM53" s="13"/>
      <c r="UWN53" s="13"/>
      <c r="UWO53" s="13"/>
      <c r="UWP53" s="13"/>
      <c r="UWQ53" s="13"/>
      <c r="UWR53" s="13"/>
      <c r="UWS53" s="13"/>
      <c r="UWT53" s="13"/>
      <c r="UWU53" s="13"/>
      <c r="UWV53" s="13"/>
      <c r="UWW53" s="13"/>
      <c r="UWX53" s="13"/>
      <c r="UWY53" s="13"/>
      <c r="UWZ53" s="13"/>
      <c r="UXA53" s="13"/>
      <c r="UXB53" s="13"/>
      <c r="UXC53" s="13"/>
      <c r="UXD53" s="13"/>
      <c r="UXE53" s="13"/>
      <c r="UXF53" s="13"/>
      <c r="UXG53" s="13"/>
      <c r="UXH53" s="13"/>
      <c r="UXI53" s="13"/>
      <c r="UXJ53" s="13"/>
      <c r="UXK53" s="13"/>
      <c r="UXL53" s="13"/>
      <c r="UXM53" s="13"/>
      <c r="UXN53" s="13"/>
      <c r="UXO53" s="13"/>
      <c r="UXP53" s="13"/>
      <c r="UXQ53" s="13"/>
      <c r="UXR53" s="13"/>
      <c r="UXS53" s="13"/>
      <c r="UXT53" s="13"/>
      <c r="UXU53" s="13"/>
      <c r="UXV53" s="13"/>
      <c r="UXW53" s="13"/>
      <c r="UXX53" s="13"/>
      <c r="UXY53" s="13"/>
      <c r="UXZ53" s="13"/>
      <c r="UYA53" s="13"/>
      <c r="UYB53" s="13"/>
      <c r="UYC53" s="13"/>
      <c r="UYD53" s="13"/>
      <c r="UYE53" s="13"/>
      <c r="UYF53" s="13"/>
      <c r="UYG53" s="13"/>
      <c r="UYH53" s="13"/>
      <c r="UYI53" s="13"/>
      <c r="UYJ53" s="13"/>
      <c r="UYK53" s="13"/>
      <c r="UYL53" s="13"/>
      <c r="UYM53" s="13"/>
      <c r="UYN53" s="13"/>
      <c r="UYO53" s="13"/>
      <c r="UYP53" s="13"/>
      <c r="UYQ53" s="13"/>
      <c r="UYR53" s="13"/>
      <c r="UYS53" s="13"/>
      <c r="UYT53" s="13"/>
      <c r="UYU53" s="13"/>
      <c r="UYV53" s="13"/>
      <c r="UYW53" s="13"/>
      <c r="UYX53" s="13"/>
      <c r="UYY53" s="13"/>
      <c r="UYZ53" s="13"/>
      <c r="UZA53" s="13"/>
      <c r="UZB53" s="13"/>
      <c r="UZC53" s="13"/>
      <c r="UZD53" s="13"/>
      <c r="UZE53" s="13"/>
      <c r="UZF53" s="13"/>
      <c r="UZG53" s="13"/>
      <c r="UZH53" s="13"/>
      <c r="UZI53" s="13"/>
      <c r="UZJ53" s="13"/>
      <c r="UZK53" s="13"/>
      <c r="UZL53" s="13"/>
      <c r="UZM53" s="13"/>
      <c r="UZN53" s="13"/>
      <c r="UZO53" s="13"/>
      <c r="UZP53" s="13"/>
      <c r="UZQ53" s="13"/>
      <c r="UZR53" s="13"/>
      <c r="UZS53" s="13"/>
      <c r="UZT53" s="13"/>
      <c r="UZU53" s="13"/>
      <c r="UZV53" s="13"/>
      <c r="UZW53" s="13"/>
      <c r="UZX53" s="13"/>
      <c r="UZY53" s="13"/>
      <c r="UZZ53" s="13"/>
      <c r="VAA53" s="13"/>
      <c r="VAB53" s="13"/>
      <c r="VAC53" s="13"/>
      <c r="VAD53" s="13"/>
      <c r="VAE53" s="13"/>
      <c r="VAF53" s="13"/>
      <c r="VAG53" s="13"/>
      <c r="VAH53" s="13"/>
      <c r="VAI53" s="13"/>
      <c r="VAJ53" s="13"/>
      <c r="VAK53" s="13"/>
      <c r="VAL53" s="13"/>
      <c r="VAM53" s="13"/>
      <c r="VAN53" s="13"/>
      <c r="VAO53" s="13"/>
      <c r="VAP53" s="13"/>
      <c r="VAQ53" s="13"/>
      <c r="VAR53" s="13"/>
      <c r="VAS53" s="13"/>
      <c r="VAT53" s="13"/>
      <c r="VAU53" s="13"/>
      <c r="VAV53" s="13"/>
      <c r="VAW53" s="13"/>
      <c r="VAX53" s="13"/>
      <c r="VAY53" s="13"/>
      <c r="VAZ53" s="13"/>
      <c r="VBA53" s="13"/>
      <c r="VBB53" s="13"/>
      <c r="VBC53" s="13"/>
      <c r="VBD53" s="13"/>
      <c r="VBE53" s="13"/>
      <c r="VBF53" s="13"/>
      <c r="VBG53" s="13"/>
      <c r="VBH53" s="13"/>
      <c r="VBI53" s="13"/>
      <c r="VBJ53" s="13"/>
      <c r="VBK53" s="13"/>
      <c r="VBL53" s="13"/>
      <c r="VBM53" s="13"/>
      <c r="VBN53" s="13"/>
      <c r="VBO53" s="13"/>
      <c r="VBP53" s="13"/>
      <c r="VBQ53" s="13"/>
      <c r="VBR53" s="13"/>
      <c r="VBS53" s="13"/>
      <c r="VBT53" s="13"/>
      <c r="VBU53" s="13"/>
      <c r="VBV53" s="13"/>
      <c r="VBW53" s="13"/>
      <c r="VBX53" s="13"/>
      <c r="VBY53" s="13"/>
      <c r="VBZ53" s="13"/>
      <c r="VCA53" s="13"/>
      <c r="VCB53" s="13"/>
      <c r="VCC53" s="13"/>
      <c r="VCD53" s="13"/>
      <c r="VCE53" s="13"/>
      <c r="VCF53" s="13"/>
      <c r="VCG53" s="13"/>
      <c r="VCH53" s="13"/>
      <c r="VCI53" s="13"/>
      <c r="VCJ53" s="13"/>
      <c r="VCK53" s="13"/>
      <c r="VCL53" s="13"/>
      <c r="VCM53" s="13"/>
      <c r="VCN53" s="13"/>
      <c r="VCO53" s="13"/>
      <c r="VCP53" s="13"/>
      <c r="VCQ53" s="13"/>
      <c r="VCR53" s="13"/>
      <c r="VCS53" s="13"/>
      <c r="VCT53" s="13"/>
      <c r="VCU53" s="13"/>
      <c r="VCV53" s="13"/>
      <c r="VCW53" s="13"/>
      <c r="VCX53" s="13"/>
      <c r="VCY53" s="13"/>
      <c r="VCZ53" s="13"/>
      <c r="VDA53" s="13"/>
      <c r="VDB53" s="13"/>
      <c r="VDC53" s="13"/>
      <c r="VDD53" s="13"/>
      <c r="VDE53" s="13"/>
      <c r="VDF53" s="13"/>
      <c r="VDG53" s="13"/>
      <c r="VDH53" s="13"/>
      <c r="VDI53" s="13"/>
      <c r="VDJ53" s="13"/>
      <c r="VDK53" s="13"/>
      <c r="VDL53" s="13"/>
      <c r="VDM53" s="13"/>
      <c r="VDN53" s="13"/>
      <c r="VDO53" s="13"/>
      <c r="VDP53" s="13"/>
      <c r="VDQ53" s="13"/>
      <c r="VDR53" s="13"/>
      <c r="VDS53" s="13"/>
      <c r="VDT53" s="13"/>
      <c r="VDU53" s="13"/>
      <c r="VDV53" s="13"/>
      <c r="VDW53" s="13"/>
      <c r="VDX53" s="13"/>
      <c r="VDY53" s="13"/>
      <c r="VDZ53" s="13"/>
      <c r="VEA53" s="13"/>
      <c r="VEB53" s="13"/>
      <c r="VEC53" s="13"/>
      <c r="VED53" s="13"/>
      <c r="VEE53" s="13"/>
      <c r="VEF53" s="13"/>
      <c r="VEG53" s="13"/>
      <c r="VEH53" s="13"/>
      <c r="VEI53" s="13"/>
      <c r="VEJ53" s="13"/>
      <c r="VEK53" s="13"/>
      <c r="VEL53" s="13"/>
      <c r="VEM53" s="13"/>
      <c r="VEN53" s="13"/>
      <c r="VEO53" s="13"/>
      <c r="VEP53" s="13"/>
      <c r="VEQ53" s="13"/>
      <c r="VER53" s="13"/>
      <c r="VES53" s="13"/>
      <c r="VET53" s="13"/>
      <c r="VEU53" s="13"/>
      <c r="VEV53" s="13"/>
      <c r="VEW53" s="13"/>
      <c r="VEX53" s="13"/>
      <c r="VEY53" s="13"/>
      <c r="VEZ53" s="13"/>
      <c r="VFA53" s="13"/>
      <c r="VFB53" s="13"/>
      <c r="VFC53" s="13"/>
      <c r="VFD53" s="13"/>
      <c r="VFE53" s="13"/>
      <c r="VFF53" s="13"/>
      <c r="VFG53" s="13"/>
      <c r="VFH53" s="13"/>
      <c r="VFI53" s="13"/>
      <c r="VFJ53" s="13"/>
      <c r="VFK53" s="13"/>
      <c r="VFL53" s="13"/>
      <c r="VFM53" s="13"/>
      <c r="VFN53" s="13"/>
      <c r="VFO53" s="13"/>
      <c r="VFP53" s="13"/>
      <c r="VFQ53" s="13"/>
      <c r="VFR53" s="13"/>
      <c r="VFS53" s="13"/>
      <c r="VFT53" s="13"/>
      <c r="VFU53" s="13"/>
      <c r="VFV53" s="13"/>
      <c r="VFW53" s="13"/>
      <c r="VFX53" s="13"/>
      <c r="VFY53" s="13"/>
      <c r="VFZ53" s="13"/>
      <c r="VGA53" s="13"/>
      <c r="VGB53" s="13"/>
      <c r="VGC53" s="13"/>
      <c r="VGD53" s="13"/>
      <c r="VGE53" s="13"/>
      <c r="VGF53" s="13"/>
      <c r="VGG53" s="13"/>
      <c r="VGH53" s="13"/>
      <c r="VGI53" s="13"/>
      <c r="VGJ53" s="13"/>
      <c r="VGK53" s="13"/>
      <c r="VGL53" s="13"/>
      <c r="VGM53" s="13"/>
      <c r="VGN53" s="13"/>
      <c r="VGO53" s="13"/>
      <c r="VGP53" s="13"/>
      <c r="VGQ53" s="13"/>
      <c r="VGR53" s="13"/>
      <c r="VGS53" s="13"/>
      <c r="VGT53" s="13"/>
      <c r="VGU53" s="13"/>
      <c r="VGV53" s="13"/>
      <c r="VGW53" s="13"/>
      <c r="VGX53" s="13"/>
      <c r="VGY53" s="13"/>
      <c r="VGZ53" s="13"/>
      <c r="VHA53" s="13"/>
      <c r="VHB53" s="13"/>
      <c r="VHC53" s="13"/>
      <c r="VHD53" s="13"/>
      <c r="VHE53" s="13"/>
      <c r="VHF53" s="13"/>
      <c r="VHG53" s="13"/>
      <c r="VHH53" s="13"/>
      <c r="VHI53" s="13"/>
      <c r="VHJ53" s="13"/>
      <c r="VHK53" s="13"/>
      <c r="VHL53" s="13"/>
      <c r="VHM53" s="13"/>
      <c r="VHN53" s="13"/>
      <c r="VHO53" s="13"/>
      <c r="VHP53" s="13"/>
      <c r="VHQ53" s="13"/>
      <c r="VHR53" s="13"/>
      <c r="VHS53" s="13"/>
      <c r="VHT53" s="13"/>
      <c r="VHU53" s="13"/>
      <c r="VHV53" s="13"/>
      <c r="VHW53" s="13"/>
      <c r="VHX53" s="13"/>
      <c r="VHY53" s="13"/>
      <c r="VHZ53" s="13"/>
      <c r="VIA53" s="13"/>
      <c r="VIB53" s="13"/>
      <c r="VIC53" s="13"/>
      <c r="VID53" s="13"/>
      <c r="VIE53" s="13"/>
      <c r="VIF53" s="13"/>
      <c r="VIG53" s="13"/>
      <c r="VIH53" s="13"/>
      <c r="VII53" s="13"/>
      <c r="VIJ53" s="13"/>
      <c r="VIK53" s="13"/>
      <c r="VIL53" s="13"/>
      <c r="VIM53" s="13"/>
      <c r="VIN53" s="13"/>
      <c r="VIO53" s="13"/>
      <c r="VIP53" s="13"/>
      <c r="VIQ53" s="13"/>
      <c r="VIR53" s="13"/>
      <c r="VIS53" s="13"/>
      <c r="VIT53" s="13"/>
      <c r="VIU53" s="13"/>
      <c r="VIV53" s="13"/>
      <c r="VIW53" s="13"/>
      <c r="VIX53" s="13"/>
      <c r="VIY53" s="13"/>
      <c r="VIZ53" s="13"/>
      <c r="VJA53" s="13"/>
      <c r="VJB53" s="13"/>
      <c r="VJC53" s="13"/>
      <c r="VJD53" s="13"/>
      <c r="VJE53" s="13"/>
      <c r="VJF53" s="13"/>
      <c r="VJG53" s="13"/>
      <c r="VJH53" s="13"/>
      <c r="VJI53" s="13"/>
      <c r="VJJ53" s="13"/>
      <c r="VJK53" s="13"/>
      <c r="VJL53" s="13"/>
      <c r="VJM53" s="13"/>
      <c r="VJN53" s="13"/>
      <c r="VJO53" s="13"/>
      <c r="VJP53" s="13"/>
      <c r="VJQ53" s="13"/>
      <c r="VJR53" s="13"/>
      <c r="VJS53" s="13"/>
      <c r="VJT53" s="13"/>
      <c r="VJU53" s="13"/>
      <c r="VJV53" s="13"/>
      <c r="VJW53" s="13"/>
      <c r="VJX53" s="13"/>
      <c r="VJY53" s="13"/>
      <c r="VJZ53" s="13"/>
      <c r="VKA53" s="13"/>
      <c r="VKB53" s="13"/>
      <c r="VKC53" s="13"/>
      <c r="VKD53" s="13"/>
      <c r="VKE53" s="13"/>
      <c r="VKF53" s="13"/>
      <c r="VKG53" s="13"/>
      <c r="VKH53" s="13"/>
      <c r="VKI53" s="13"/>
      <c r="VKJ53" s="13"/>
      <c r="VKK53" s="13"/>
      <c r="VKL53" s="13"/>
      <c r="VKM53" s="13"/>
      <c r="VKN53" s="13"/>
      <c r="VKO53" s="13"/>
      <c r="VKP53" s="13"/>
      <c r="VKQ53" s="13"/>
      <c r="VKR53" s="13"/>
      <c r="VKS53" s="13"/>
      <c r="VKT53" s="13"/>
      <c r="VKU53" s="13"/>
      <c r="VKV53" s="13"/>
      <c r="VKW53" s="13"/>
      <c r="VKX53" s="13"/>
      <c r="VKY53" s="13"/>
      <c r="VKZ53" s="13"/>
      <c r="VLA53" s="13"/>
      <c r="VLB53" s="13"/>
      <c r="VLC53" s="13"/>
      <c r="VLD53" s="13"/>
      <c r="VLE53" s="13"/>
      <c r="VLF53" s="13"/>
      <c r="VLG53" s="13"/>
      <c r="VLH53" s="13"/>
      <c r="VLI53" s="13"/>
      <c r="VLJ53" s="13"/>
      <c r="VLK53" s="13"/>
      <c r="VLL53" s="13"/>
      <c r="VLM53" s="13"/>
      <c r="VLN53" s="13"/>
      <c r="VLO53" s="13"/>
      <c r="VLP53" s="13"/>
      <c r="VLQ53" s="13"/>
      <c r="VLR53" s="13"/>
      <c r="VLS53" s="13"/>
      <c r="VLT53" s="13"/>
      <c r="VLU53" s="13"/>
      <c r="VLV53" s="13"/>
      <c r="VLW53" s="13"/>
      <c r="VLX53" s="13"/>
      <c r="VLY53" s="13"/>
      <c r="VLZ53" s="13"/>
      <c r="VMA53" s="13"/>
      <c r="VMB53" s="13"/>
      <c r="VMC53" s="13"/>
      <c r="VMD53" s="13"/>
      <c r="VME53" s="13"/>
      <c r="VMF53" s="13"/>
      <c r="VMG53" s="13"/>
      <c r="VMH53" s="13"/>
      <c r="VMI53" s="13"/>
      <c r="VMJ53" s="13"/>
      <c r="VMK53" s="13"/>
      <c r="VML53" s="13"/>
      <c r="VMM53" s="13"/>
      <c r="VMN53" s="13"/>
      <c r="VMO53" s="13"/>
      <c r="VMP53" s="13"/>
      <c r="VMQ53" s="13"/>
      <c r="VMR53" s="13"/>
      <c r="VMS53" s="13"/>
      <c r="VMT53" s="13"/>
      <c r="VMU53" s="13"/>
      <c r="VMV53" s="13"/>
      <c r="VMW53" s="13"/>
      <c r="VMX53" s="13"/>
      <c r="VMY53" s="13"/>
      <c r="VMZ53" s="13"/>
      <c r="VNA53" s="13"/>
      <c r="VNB53" s="13"/>
      <c r="VNC53" s="13"/>
      <c r="VND53" s="13"/>
      <c r="VNE53" s="13"/>
      <c r="VNF53" s="13"/>
      <c r="VNG53" s="13"/>
      <c r="VNH53" s="13"/>
      <c r="VNI53" s="13"/>
      <c r="VNJ53" s="13"/>
      <c r="VNK53" s="13"/>
      <c r="VNL53" s="13"/>
      <c r="VNM53" s="13"/>
      <c r="VNN53" s="13"/>
      <c r="VNO53" s="13"/>
      <c r="VNP53" s="13"/>
      <c r="VNQ53" s="13"/>
      <c r="VNR53" s="13"/>
      <c r="VNS53" s="13"/>
      <c r="VNT53" s="13"/>
      <c r="VNU53" s="13"/>
      <c r="VNV53" s="13"/>
      <c r="VNW53" s="13"/>
      <c r="VNX53" s="13"/>
      <c r="VNY53" s="13"/>
      <c r="VNZ53" s="13"/>
      <c r="VOA53" s="13"/>
      <c r="VOB53" s="13"/>
      <c r="VOC53" s="13"/>
      <c r="VOD53" s="13"/>
      <c r="VOE53" s="13"/>
      <c r="VOF53" s="13"/>
      <c r="VOG53" s="13"/>
      <c r="VOH53" s="13"/>
      <c r="VOI53" s="13"/>
      <c r="VOJ53" s="13"/>
      <c r="VOK53" s="13"/>
      <c r="VOL53" s="13"/>
      <c r="VOM53" s="13"/>
      <c r="VON53" s="13"/>
      <c r="VOO53" s="13"/>
      <c r="VOP53" s="13"/>
      <c r="VOQ53" s="13"/>
      <c r="VOR53" s="13"/>
      <c r="VOS53" s="13"/>
      <c r="VOT53" s="13"/>
      <c r="VOU53" s="13"/>
      <c r="VOV53" s="13"/>
      <c r="VOW53" s="13"/>
      <c r="VOX53" s="13"/>
      <c r="VOY53" s="13"/>
      <c r="VOZ53" s="13"/>
      <c r="VPA53" s="13"/>
      <c r="VPB53" s="13"/>
      <c r="VPC53" s="13"/>
      <c r="VPD53" s="13"/>
      <c r="VPE53" s="13"/>
      <c r="VPF53" s="13"/>
      <c r="VPG53" s="13"/>
      <c r="VPH53" s="13"/>
      <c r="VPI53" s="13"/>
      <c r="VPJ53" s="13"/>
      <c r="VPK53" s="13"/>
      <c r="VPL53" s="13"/>
      <c r="VPM53" s="13"/>
      <c r="VPN53" s="13"/>
      <c r="VPO53" s="13"/>
      <c r="VPP53" s="13"/>
      <c r="VPQ53" s="13"/>
      <c r="VPR53" s="13"/>
      <c r="VPS53" s="13"/>
      <c r="VPT53" s="13"/>
      <c r="VPU53" s="13"/>
      <c r="VPV53" s="13"/>
      <c r="VPW53" s="13"/>
      <c r="VPX53" s="13"/>
      <c r="VPY53" s="13"/>
      <c r="VPZ53" s="13"/>
      <c r="VQA53" s="13"/>
      <c r="VQB53" s="13"/>
      <c r="VQC53" s="13"/>
      <c r="VQD53" s="13"/>
      <c r="VQE53" s="13"/>
      <c r="VQF53" s="13"/>
      <c r="VQG53" s="13"/>
      <c r="VQH53" s="13"/>
      <c r="VQI53" s="13"/>
      <c r="VQJ53" s="13"/>
      <c r="VQK53" s="13"/>
      <c r="VQL53" s="13"/>
      <c r="VQM53" s="13"/>
      <c r="VQN53" s="13"/>
      <c r="VQO53" s="13"/>
      <c r="VQP53" s="13"/>
      <c r="VQQ53" s="13"/>
      <c r="VQR53" s="13"/>
      <c r="VQS53" s="13"/>
      <c r="VQT53" s="13"/>
      <c r="VQU53" s="13"/>
      <c r="VQV53" s="13"/>
      <c r="VQW53" s="13"/>
      <c r="VQX53" s="13"/>
      <c r="VQY53" s="13"/>
      <c r="VQZ53" s="13"/>
      <c r="VRA53" s="13"/>
      <c r="VRB53" s="13"/>
      <c r="VRC53" s="13"/>
      <c r="VRD53" s="13"/>
      <c r="VRE53" s="13"/>
      <c r="VRF53" s="13"/>
      <c r="VRG53" s="13"/>
      <c r="VRH53" s="13"/>
      <c r="VRI53" s="13"/>
      <c r="VRJ53" s="13"/>
      <c r="VRK53" s="13"/>
      <c r="VRL53" s="13"/>
      <c r="VRM53" s="13"/>
      <c r="VRN53" s="13"/>
      <c r="VRO53" s="13"/>
      <c r="VRP53" s="13"/>
      <c r="VRQ53" s="13"/>
      <c r="VRR53" s="13"/>
      <c r="VRS53" s="13"/>
      <c r="VRT53" s="13"/>
      <c r="VRU53" s="13"/>
      <c r="VRV53" s="13"/>
      <c r="VRW53" s="13"/>
      <c r="VRX53" s="13"/>
      <c r="VRY53" s="13"/>
      <c r="VRZ53" s="13"/>
      <c r="VSA53" s="13"/>
      <c r="VSB53" s="13"/>
      <c r="VSC53" s="13"/>
      <c r="VSD53" s="13"/>
      <c r="VSE53" s="13"/>
      <c r="VSF53" s="13"/>
      <c r="VSG53" s="13"/>
      <c r="VSH53" s="13"/>
      <c r="VSI53" s="13"/>
      <c r="VSJ53" s="13"/>
      <c r="VSK53" s="13"/>
      <c r="VSL53" s="13"/>
      <c r="VSM53" s="13"/>
      <c r="VSN53" s="13"/>
      <c r="VSO53" s="13"/>
      <c r="VSP53" s="13"/>
      <c r="VSQ53" s="13"/>
      <c r="VSR53" s="13"/>
      <c r="VSS53" s="13"/>
      <c r="VST53" s="13"/>
      <c r="VSU53" s="13"/>
      <c r="VSV53" s="13"/>
      <c r="VSW53" s="13"/>
      <c r="VSX53" s="13"/>
      <c r="VSY53" s="13"/>
      <c r="VSZ53" s="13"/>
      <c r="VTA53" s="13"/>
      <c r="VTB53" s="13"/>
      <c r="VTC53" s="13"/>
      <c r="VTD53" s="13"/>
      <c r="VTE53" s="13"/>
      <c r="VTF53" s="13"/>
      <c r="VTG53" s="13"/>
      <c r="VTH53" s="13"/>
      <c r="VTI53" s="13"/>
      <c r="VTJ53" s="13"/>
      <c r="VTK53" s="13"/>
      <c r="VTL53" s="13"/>
      <c r="VTM53" s="13"/>
      <c r="VTN53" s="13"/>
      <c r="VTO53" s="13"/>
      <c r="VTP53" s="13"/>
      <c r="VTQ53" s="13"/>
      <c r="VTR53" s="13"/>
      <c r="VTS53" s="13"/>
      <c r="VTT53" s="13"/>
      <c r="VTU53" s="13"/>
      <c r="VTV53" s="13"/>
      <c r="VTW53" s="13"/>
      <c r="VTX53" s="13"/>
      <c r="VTY53" s="13"/>
      <c r="VTZ53" s="13"/>
      <c r="VUA53" s="13"/>
      <c r="VUB53" s="13"/>
      <c r="VUC53" s="13"/>
      <c r="VUD53" s="13"/>
      <c r="VUE53" s="13"/>
      <c r="VUF53" s="13"/>
      <c r="VUG53" s="13"/>
      <c r="VUH53" s="13"/>
      <c r="VUI53" s="13"/>
      <c r="VUJ53" s="13"/>
      <c r="VUK53" s="13"/>
      <c r="VUL53" s="13"/>
      <c r="VUM53" s="13"/>
      <c r="VUN53" s="13"/>
      <c r="VUO53" s="13"/>
      <c r="VUP53" s="13"/>
      <c r="VUQ53" s="13"/>
      <c r="VUR53" s="13"/>
      <c r="VUS53" s="13"/>
      <c r="VUT53" s="13"/>
      <c r="VUU53" s="13"/>
      <c r="VUV53" s="13"/>
      <c r="VUW53" s="13"/>
      <c r="VUX53" s="13"/>
      <c r="VUY53" s="13"/>
      <c r="VUZ53" s="13"/>
      <c r="VVA53" s="13"/>
      <c r="VVB53" s="13"/>
      <c r="VVC53" s="13"/>
      <c r="VVD53" s="13"/>
      <c r="VVE53" s="13"/>
      <c r="VVF53" s="13"/>
      <c r="VVG53" s="13"/>
      <c r="VVH53" s="13"/>
      <c r="VVI53" s="13"/>
      <c r="VVJ53" s="13"/>
      <c r="VVK53" s="13"/>
      <c r="VVL53" s="13"/>
      <c r="VVM53" s="13"/>
      <c r="VVN53" s="13"/>
      <c r="VVO53" s="13"/>
      <c r="VVP53" s="13"/>
      <c r="VVQ53" s="13"/>
      <c r="VVR53" s="13"/>
      <c r="VVS53" s="13"/>
      <c r="VVT53" s="13"/>
      <c r="VVU53" s="13"/>
      <c r="VVV53" s="13"/>
      <c r="VVW53" s="13"/>
      <c r="VVX53" s="13"/>
      <c r="VVY53" s="13"/>
      <c r="VVZ53" s="13"/>
      <c r="VWA53" s="13"/>
      <c r="VWB53" s="13"/>
      <c r="VWC53" s="13"/>
      <c r="VWD53" s="13"/>
      <c r="VWE53" s="13"/>
      <c r="VWF53" s="13"/>
      <c r="VWG53" s="13"/>
      <c r="VWH53" s="13"/>
      <c r="VWI53" s="13"/>
      <c r="VWJ53" s="13"/>
      <c r="VWK53" s="13"/>
      <c r="VWL53" s="13"/>
      <c r="VWM53" s="13"/>
      <c r="VWN53" s="13"/>
      <c r="VWO53" s="13"/>
      <c r="VWP53" s="13"/>
      <c r="VWQ53" s="13"/>
      <c r="VWR53" s="13"/>
      <c r="VWS53" s="13"/>
      <c r="VWT53" s="13"/>
      <c r="VWU53" s="13"/>
      <c r="VWV53" s="13"/>
      <c r="VWW53" s="13"/>
      <c r="VWX53" s="13"/>
      <c r="VWY53" s="13"/>
      <c r="VWZ53" s="13"/>
      <c r="VXA53" s="13"/>
      <c r="VXB53" s="13"/>
      <c r="VXC53" s="13"/>
      <c r="VXD53" s="13"/>
      <c r="VXE53" s="13"/>
      <c r="VXF53" s="13"/>
      <c r="VXG53" s="13"/>
      <c r="VXH53" s="13"/>
      <c r="VXI53" s="13"/>
      <c r="VXJ53" s="13"/>
      <c r="VXK53" s="13"/>
      <c r="VXL53" s="13"/>
      <c r="VXM53" s="13"/>
      <c r="VXN53" s="13"/>
      <c r="VXO53" s="13"/>
      <c r="VXP53" s="13"/>
      <c r="VXQ53" s="13"/>
      <c r="VXR53" s="13"/>
      <c r="VXS53" s="13"/>
      <c r="VXT53" s="13"/>
      <c r="VXU53" s="13"/>
      <c r="VXV53" s="13"/>
      <c r="VXW53" s="13"/>
      <c r="VXX53" s="13"/>
      <c r="VXY53" s="13"/>
      <c r="VXZ53" s="13"/>
      <c r="VYA53" s="13"/>
      <c r="VYB53" s="13"/>
      <c r="VYC53" s="13"/>
      <c r="VYD53" s="13"/>
      <c r="VYE53" s="13"/>
      <c r="VYF53" s="13"/>
      <c r="VYG53" s="13"/>
      <c r="VYH53" s="13"/>
      <c r="VYI53" s="13"/>
      <c r="VYJ53" s="13"/>
      <c r="VYK53" s="13"/>
      <c r="VYL53" s="13"/>
      <c r="VYM53" s="13"/>
      <c r="VYN53" s="13"/>
      <c r="VYO53" s="13"/>
      <c r="VYP53" s="13"/>
      <c r="VYQ53" s="13"/>
      <c r="VYR53" s="13"/>
      <c r="VYS53" s="13"/>
      <c r="VYT53" s="13"/>
      <c r="VYU53" s="13"/>
      <c r="VYV53" s="13"/>
      <c r="VYW53" s="13"/>
      <c r="VYX53" s="13"/>
      <c r="VYY53" s="13"/>
      <c r="VYZ53" s="13"/>
      <c r="VZA53" s="13"/>
      <c r="VZB53" s="13"/>
      <c r="VZC53" s="13"/>
      <c r="VZD53" s="13"/>
      <c r="VZE53" s="13"/>
      <c r="VZF53" s="13"/>
      <c r="VZG53" s="13"/>
      <c r="VZH53" s="13"/>
      <c r="VZI53" s="13"/>
      <c r="VZJ53" s="13"/>
      <c r="VZK53" s="13"/>
      <c r="VZL53" s="13"/>
      <c r="VZM53" s="13"/>
      <c r="VZN53" s="13"/>
      <c r="VZO53" s="13"/>
      <c r="VZP53" s="13"/>
      <c r="VZQ53" s="13"/>
      <c r="VZR53" s="13"/>
      <c r="VZS53" s="13"/>
      <c r="VZT53" s="13"/>
      <c r="VZU53" s="13"/>
      <c r="VZV53" s="13"/>
      <c r="VZW53" s="13"/>
      <c r="VZX53" s="13"/>
      <c r="VZY53" s="13"/>
      <c r="VZZ53" s="13"/>
      <c r="WAA53" s="13"/>
      <c r="WAB53" s="13"/>
      <c r="WAC53" s="13"/>
      <c r="WAD53" s="13"/>
      <c r="WAE53" s="13"/>
      <c r="WAF53" s="13"/>
      <c r="WAG53" s="13"/>
      <c r="WAH53" s="13"/>
      <c r="WAI53" s="13"/>
      <c r="WAJ53" s="13"/>
      <c r="WAK53" s="13"/>
      <c r="WAL53" s="13"/>
      <c r="WAM53" s="13"/>
      <c r="WAN53" s="13"/>
      <c r="WAO53" s="13"/>
      <c r="WAP53" s="13"/>
      <c r="WAQ53" s="13"/>
      <c r="WAR53" s="13"/>
      <c r="WAS53" s="13"/>
      <c r="WAT53" s="13"/>
      <c r="WAU53" s="13"/>
      <c r="WAV53" s="13"/>
      <c r="WAW53" s="13"/>
      <c r="WAX53" s="13"/>
      <c r="WAY53" s="13"/>
      <c r="WAZ53" s="13"/>
      <c r="WBA53" s="13"/>
      <c r="WBB53" s="13"/>
      <c r="WBC53" s="13"/>
      <c r="WBD53" s="13"/>
      <c r="WBE53" s="13"/>
      <c r="WBF53" s="13"/>
      <c r="WBG53" s="13"/>
      <c r="WBH53" s="13"/>
      <c r="WBI53" s="13"/>
      <c r="WBJ53" s="13"/>
      <c r="WBK53" s="13"/>
      <c r="WBL53" s="13"/>
      <c r="WBM53" s="13"/>
      <c r="WBN53" s="13"/>
      <c r="WBO53" s="13"/>
      <c r="WBP53" s="13"/>
      <c r="WBQ53" s="13"/>
      <c r="WBR53" s="13"/>
      <c r="WBS53" s="13"/>
      <c r="WBT53" s="13"/>
      <c r="WBU53" s="13"/>
      <c r="WBV53" s="13"/>
      <c r="WBW53" s="13"/>
      <c r="WBX53" s="13"/>
      <c r="WBY53" s="13"/>
      <c r="WBZ53" s="13"/>
      <c r="WCA53" s="13"/>
      <c r="WCB53" s="13"/>
      <c r="WCC53" s="13"/>
      <c r="WCD53" s="13"/>
      <c r="WCE53" s="13"/>
      <c r="WCF53" s="13"/>
      <c r="WCG53" s="13"/>
      <c r="WCH53" s="13"/>
      <c r="WCI53" s="13"/>
      <c r="WCJ53" s="13"/>
      <c r="WCK53" s="13"/>
      <c r="WCL53" s="13"/>
      <c r="WCM53" s="13"/>
      <c r="WCN53" s="13"/>
      <c r="WCO53" s="13"/>
      <c r="WCP53" s="13"/>
      <c r="WCQ53" s="13"/>
      <c r="WCR53" s="13"/>
      <c r="WCS53" s="13"/>
      <c r="WCT53" s="13"/>
      <c r="WCU53" s="13"/>
      <c r="WCV53" s="13"/>
      <c r="WCW53" s="13"/>
      <c r="WCX53" s="13"/>
      <c r="WCY53" s="13"/>
      <c r="WCZ53" s="13"/>
      <c r="WDA53" s="13"/>
      <c r="WDB53" s="13"/>
      <c r="WDC53" s="13"/>
      <c r="WDD53" s="13"/>
      <c r="WDE53" s="13"/>
      <c r="WDF53" s="13"/>
      <c r="WDG53" s="13"/>
      <c r="WDH53" s="13"/>
      <c r="WDI53" s="13"/>
      <c r="WDJ53" s="13"/>
      <c r="WDK53" s="13"/>
      <c r="WDL53" s="13"/>
      <c r="WDM53" s="13"/>
      <c r="WDN53" s="13"/>
      <c r="WDO53" s="13"/>
      <c r="WDP53" s="13"/>
      <c r="WDQ53" s="13"/>
      <c r="WDR53" s="13"/>
      <c r="WDS53" s="13"/>
      <c r="WDT53" s="13"/>
      <c r="WDU53" s="13"/>
      <c r="WDV53" s="13"/>
      <c r="WDW53" s="13"/>
      <c r="WDX53" s="13"/>
      <c r="WDY53" s="13"/>
      <c r="WDZ53" s="13"/>
      <c r="WEA53" s="13"/>
      <c r="WEB53" s="13"/>
      <c r="WEC53" s="13"/>
      <c r="WED53" s="13"/>
      <c r="WEE53" s="13"/>
      <c r="WEF53" s="13"/>
      <c r="WEG53" s="13"/>
      <c r="WEH53" s="13"/>
      <c r="WEI53" s="13"/>
      <c r="WEJ53" s="13"/>
      <c r="WEK53" s="13"/>
      <c r="WEL53" s="13"/>
      <c r="WEM53" s="13"/>
      <c r="WEN53" s="13"/>
      <c r="WEO53" s="13"/>
      <c r="WEP53" s="13"/>
      <c r="WEQ53" s="13"/>
      <c r="WER53" s="13"/>
      <c r="WES53" s="13"/>
      <c r="WET53" s="13"/>
      <c r="WEU53" s="13"/>
      <c r="WEV53" s="13"/>
      <c r="WEW53" s="13"/>
      <c r="WEX53" s="13"/>
      <c r="WEY53" s="13"/>
      <c r="WEZ53" s="13"/>
      <c r="WFA53" s="13"/>
      <c r="WFB53" s="13"/>
      <c r="WFC53" s="13"/>
      <c r="WFD53" s="13"/>
      <c r="WFE53" s="13"/>
      <c r="WFF53" s="13"/>
      <c r="WFG53" s="13"/>
      <c r="WFH53" s="13"/>
      <c r="WFI53" s="13"/>
      <c r="WFJ53" s="13"/>
      <c r="WFK53" s="13"/>
      <c r="WFL53" s="13"/>
      <c r="WFM53" s="13"/>
      <c r="WFN53" s="13"/>
      <c r="WFO53" s="13"/>
      <c r="WFP53" s="13"/>
      <c r="WFQ53" s="13"/>
      <c r="WFR53" s="13"/>
      <c r="WFS53" s="13"/>
      <c r="WFT53" s="13"/>
      <c r="WFU53" s="13"/>
      <c r="WFV53" s="13"/>
      <c r="WFW53" s="13"/>
      <c r="WFX53" s="13"/>
      <c r="WFY53" s="13"/>
      <c r="WFZ53" s="13"/>
      <c r="WGA53" s="13"/>
      <c r="WGB53" s="13"/>
      <c r="WGC53" s="13"/>
      <c r="WGD53" s="13"/>
      <c r="WGE53" s="13"/>
      <c r="WGF53" s="13"/>
      <c r="WGG53" s="13"/>
      <c r="WGH53" s="13"/>
      <c r="WGI53" s="13"/>
      <c r="WGJ53" s="13"/>
      <c r="WGK53" s="13"/>
      <c r="WGL53" s="13"/>
      <c r="WGM53" s="13"/>
      <c r="WGN53" s="13"/>
      <c r="WGO53" s="13"/>
      <c r="WGP53" s="13"/>
      <c r="WGQ53" s="13"/>
      <c r="WGR53" s="13"/>
      <c r="WGS53" s="13"/>
      <c r="WGT53" s="13"/>
      <c r="WGU53" s="13"/>
      <c r="WGV53" s="13"/>
      <c r="WGW53" s="13"/>
      <c r="WGX53" s="13"/>
      <c r="WGY53" s="13"/>
      <c r="WGZ53" s="13"/>
      <c r="WHA53" s="13"/>
      <c r="WHB53" s="13"/>
      <c r="WHC53" s="13"/>
      <c r="WHD53" s="13"/>
      <c r="WHE53" s="13"/>
      <c r="WHF53" s="13"/>
      <c r="WHG53" s="13"/>
      <c r="WHH53" s="13"/>
      <c r="WHI53" s="13"/>
      <c r="WHJ53" s="13"/>
      <c r="WHK53" s="13"/>
      <c r="WHL53" s="13"/>
      <c r="WHM53" s="13"/>
      <c r="WHN53" s="13"/>
      <c r="WHO53" s="13"/>
      <c r="WHP53" s="13"/>
      <c r="WHQ53" s="13"/>
      <c r="WHR53" s="13"/>
      <c r="WHS53" s="13"/>
      <c r="WHT53" s="13"/>
      <c r="WHU53" s="13"/>
      <c r="WHV53" s="13"/>
      <c r="WHW53" s="13"/>
      <c r="WHX53" s="13"/>
      <c r="WHY53" s="13"/>
      <c r="WHZ53" s="13"/>
      <c r="WIA53" s="13"/>
      <c r="WIB53" s="13"/>
      <c r="WIC53" s="13"/>
      <c r="WID53" s="13"/>
      <c r="WIE53" s="13"/>
      <c r="WIF53" s="13"/>
      <c r="WIG53" s="13"/>
      <c r="WIH53" s="13"/>
      <c r="WII53" s="13"/>
      <c r="WIJ53" s="13"/>
      <c r="WIK53" s="13"/>
      <c r="WIL53" s="13"/>
      <c r="WIM53" s="13"/>
      <c r="WIN53" s="13"/>
      <c r="WIO53" s="13"/>
      <c r="WIP53" s="13"/>
      <c r="WIQ53" s="13"/>
      <c r="WIR53" s="13"/>
      <c r="WIS53" s="13"/>
      <c r="WIT53" s="13"/>
      <c r="WIU53" s="13"/>
      <c r="WIV53" s="13"/>
      <c r="WIW53" s="13"/>
      <c r="WIX53" s="13"/>
      <c r="WIY53" s="13"/>
      <c r="WIZ53" s="13"/>
      <c r="WJA53" s="13"/>
      <c r="WJB53" s="13"/>
      <c r="WJC53" s="13"/>
      <c r="WJD53" s="13"/>
      <c r="WJE53" s="13"/>
      <c r="WJF53" s="13"/>
      <c r="WJG53" s="13"/>
      <c r="WJH53" s="13"/>
      <c r="WJI53" s="13"/>
      <c r="WJJ53" s="13"/>
      <c r="WJK53" s="13"/>
      <c r="WJL53" s="13"/>
      <c r="WJM53" s="13"/>
      <c r="WJN53" s="13"/>
      <c r="WJO53" s="13"/>
      <c r="WJP53" s="13"/>
      <c r="WJQ53" s="13"/>
      <c r="WJR53" s="13"/>
      <c r="WJS53" s="13"/>
      <c r="WJT53" s="13"/>
      <c r="WJU53" s="13"/>
      <c r="WJV53" s="13"/>
      <c r="WJW53" s="13"/>
      <c r="WJX53" s="13"/>
      <c r="WJY53" s="13"/>
      <c r="WJZ53" s="13"/>
      <c r="WKA53" s="13"/>
      <c r="WKB53" s="13"/>
      <c r="WKC53" s="13"/>
      <c r="WKD53" s="13"/>
      <c r="WKE53" s="13"/>
      <c r="WKF53" s="13"/>
      <c r="WKG53" s="13"/>
      <c r="WKH53" s="13"/>
      <c r="WKI53" s="13"/>
      <c r="WKJ53" s="13"/>
      <c r="WKK53" s="13"/>
      <c r="WKL53" s="13"/>
      <c r="WKM53" s="13"/>
      <c r="WKN53" s="13"/>
      <c r="WKO53" s="13"/>
      <c r="WKP53" s="13"/>
      <c r="WKQ53" s="13"/>
      <c r="WKR53" s="13"/>
      <c r="WKS53" s="13"/>
      <c r="WKT53" s="13"/>
      <c r="WKU53" s="13"/>
      <c r="WKV53" s="13"/>
      <c r="WKW53" s="13"/>
      <c r="WKX53" s="13"/>
      <c r="WKY53" s="13"/>
      <c r="WKZ53" s="13"/>
      <c r="WLA53" s="13"/>
      <c r="WLB53" s="13"/>
      <c r="WLC53" s="13"/>
      <c r="WLD53" s="13"/>
      <c r="WLE53" s="13"/>
      <c r="WLF53" s="13"/>
      <c r="WLG53" s="13"/>
      <c r="WLH53" s="13"/>
      <c r="WLI53" s="13"/>
      <c r="WLJ53" s="13"/>
      <c r="WLK53" s="13"/>
      <c r="WLL53" s="13"/>
      <c r="WLM53" s="13"/>
      <c r="WLN53" s="13"/>
      <c r="WLO53" s="13"/>
      <c r="WLP53" s="13"/>
      <c r="WLQ53" s="13"/>
      <c r="WLR53" s="13"/>
      <c r="WLS53" s="13"/>
      <c r="WLT53" s="13"/>
      <c r="WLU53" s="13"/>
      <c r="WLV53" s="13"/>
      <c r="WLW53" s="13"/>
      <c r="WLX53" s="13"/>
      <c r="WLY53" s="13"/>
      <c r="WLZ53" s="13"/>
      <c r="WMA53" s="13"/>
      <c r="WMB53" s="13"/>
      <c r="WMC53" s="13"/>
      <c r="WMD53" s="13"/>
      <c r="WME53" s="13"/>
      <c r="WMF53" s="13"/>
      <c r="WMG53" s="13"/>
      <c r="WMH53" s="13"/>
      <c r="WMI53" s="13"/>
      <c r="WMJ53" s="13"/>
      <c r="WMK53" s="13"/>
      <c r="WML53" s="13"/>
      <c r="WMM53" s="13"/>
      <c r="WMN53" s="13"/>
      <c r="WMO53" s="13"/>
      <c r="WMP53" s="13"/>
      <c r="WMQ53" s="13"/>
      <c r="WMR53" s="13"/>
      <c r="WMS53" s="13"/>
      <c r="WMT53" s="13"/>
      <c r="WMU53" s="13"/>
      <c r="WMV53" s="13"/>
      <c r="WMW53" s="13"/>
      <c r="WMX53" s="13"/>
      <c r="WMY53" s="13"/>
      <c r="WMZ53" s="13"/>
      <c r="WNA53" s="13"/>
      <c r="WNB53" s="13"/>
      <c r="WNC53" s="13"/>
      <c r="WND53" s="13"/>
      <c r="WNE53" s="13"/>
      <c r="WNF53" s="13"/>
      <c r="WNG53" s="13"/>
      <c r="WNH53" s="13"/>
      <c r="WNI53" s="13"/>
      <c r="WNJ53" s="13"/>
      <c r="WNK53" s="13"/>
      <c r="WNL53" s="13"/>
      <c r="WNM53" s="13"/>
      <c r="WNN53" s="13"/>
      <c r="WNO53" s="13"/>
      <c r="WNP53" s="13"/>
      <c r="WNQ53" s="13"/>
      <c r="WNR53" s="13"/>
      <c r="WNS53" s="13"/>
      <c r="WNT53" s="13"/>
      <c r="WNU53" s="13"/>
      <c r="WNV53" s="13"/>
      <c r="WNW53" s="13"/>
      <c r="WNX53" s="13"/>
      <c r="WNY53" s="13"/>
      <c r="WNZ53" s="13"/>
      <c r="WOA53" s="13"/>
      <c r="WOB53" s="13"/>
      <c r="WOC53" s="13"/>
      <c r="WOD53" s="13"/>
      <c r="WOE53" s="13"/>
      <c r="WOF53" s="13"/>
      <c r="WOG53" s="13"/>
      <c r="WOH53" s="13"/>
      <c r="WOI53" s="13"/>
      <c r="WOJ53" s="13"/>
      <c r="WOK53" s="13"/>
      <c r="WOL53" s="13"/>
      <c r="WOM53" s="13"/>
      <c r="WON53" s="13"/>
      <c r="WOO53" s="13"/>
      <c r="WOP53" s="13"/>
      <c r="WOQ53" s="13"/>
      <c r="WOR53" s="13"/>
      <c r="WOS53" s="13"/>
      <c r="WOT53" s="13"/>
      <c r="WOU53" s="13"/>
      <c r="WOV53" s="13"/>
      <c r="WOW53" s="13"/>
      <c r="WOX53" s="13"/>
      <c r="WOY53" s="13"/>
      <c r="WOZ53" s="13"/>
      <c r="WPA53" s="13"/>
      <c r="WPB53" s="13"/>
      <c r="WPC53" s="13"/>
      <c r="WPD53" s="13"/>
      <c r="WPE53" s="13"/>
      <c r="WPF53" s="13"/>
      <c r="WPG53" s="13"/>
      <c r="WPH53" s="13"/>
      <c r="WPI53" s="13"/>
      <c r="WPJ53" s="13"/>
      <c r="WPK53" s="13"/>
      <c r="WPL53" s="13"/>
      <c r="WPM53" s="13"/>
      <c r="WPN53" s="13"/>
      <c r="WPO53" s="13"/>
      <c r="WPP53" s="13"/>
      <c r="WPQ53" s="13"/>
      <c r="WPR53" s="13"/>
      <c r="WPS53" s="13"/>
      <c r="WPT53" s="13"/>
      <c r="WPU53" s="13"/>
      <c r="WPV53" s="13"/>
      <c r="WPW53" s="13"/>
      <c r="WPX53" s="13"/>
      <c r="WPY53" s="13"/>
      <c r="WPZ53" s="13"/>
      <c r="WQA53" s="13"/>
      <c r="WQB53" s="13"/>
      <c r="WQC53" s="13"/>
      <c r="WQD53" s="13"/>
      <c r="WQE53" s="13"/>
      <c r="WQF53" s="13"/>
      <c r="WQG53" s="13"/>
      <c r="WQH53" s="13"/>
      <c r="WQI53" s="13"/>
      <c r="WQJ53" s="13"/>
      <c r="WQK53" s="13"/>
      <c r="WQL53" s="13"/>
      <c r="WQM53" s="13"/>
      <c r="WQN53" s="13"/>
      <c r="WQO53" s="13"/>
      <c r="WQP53" s="13"/>
      <c r="WQQ53" s="13"/>
      <c r="WQR53" s="13"/>
      <c r="WQS53" s="13"/>
      <c r="WQT53" s="13"/>
      <c r="WQU53" s="13"/>
      <c r="WQV53" s="13"/>
      <c r="WQW53" s="13"/>
      <c r="WQX53" s="13"/>
      <c r="WQY53" s="13"/>
      <c r="WQZ53" s="13"/>
      <c r="WRA53" s="13"/>
      <c r="WRB53" s="13"/>
      <c r="WRC53" s="13"/>
      <c r="WRD53" s="13"/>
      <c r="WRE53" s="13"/>
      <c r="WRF53" s="13"/>
      <c r="WRG53" s="13"/>
      <c r="WRH53" s="13"/>
      <c r="WRI53" s="13"/>
      <c r="WRJ53" s="13"/>
      <c r="WRK53" s="13"/>
      <c r="WRL53" s="13"/>
      <c r="WRM53" s="13"/>
      <c r="WRN53" s="13"/>
      <c r="WRO53" s="13"/>
      <c r="WRP53" s="13"/>
      <c r="WRQ53" s="13"/>
      <c r="WRR53" s="13"/>
      <c r="WRS53" s="13"/>
      <c r="WRT53" s="13"/>
      <c r="WRU53" s="13"/>
      <c r="WRV53" s="13"/>
      <c r="WRW53" s="13"/>
      <c r="WRX53" s="13"/>
      <c r="WRY53" s="13"/>
      <c r="WRZ53" s="13"/>
      <c r="WSA53" s="13"/>
      <c r="WSB53" s="13"/>
      <c r="WSC53" s="13"/>
      <c r="WSD53" s="13"/>
      <c r="WSE53" s="13"/>
      <c r="WSF53" s="13"/>
      <c r="WSG53" s="13"/>
      <c r="WSH53" s="13"/>
      <c r="WSI53" s="13"/>
      <c r="WSJ53" s="13"/>
      <c r="WSK53" s="13"/>
      <c r="WSL53" s="13"/>
      <c r="WSM53" s="13"/>
      <c r="WSN53" s="13"/>
      <c r="WSO53" s="13"/>
      <c r="WSP53" s="13"/>
      <c r="WSQ53" s="13"/>
      <c r="WSR53" s="13"/>
      <c r="WSS53" s="13"/>
      <c r="WST53" s="13"/>
      <c r="WSU53" s="13"/>
      <c r="WSV53" s="13"/>
      <c r="WSW53" s="13"/>
      <c r="WSX53" s="13"/>
      <c r="WSY53" s="13"/>
      <c r="WSZ53" s="13"/>
      <c r="WTA53" s="13"/>
      <c r="WTB53" s="13"/>
      <c r="WTC53" s="13"/>
      <c r="WTD53" s="13"/>
      <c r="WTE53" s="13"/>
      <c r="WTF53" s="13"/>
      <c r="WTG53" s="13"/>
      <c r="WTH53" s="13"/>
      <c r="WTI53" s="13"/>
      <c r="WTJ53" s="13"/>
      <c r="WTK53" s="13"/>
      <c r="WTL53" s="13"/>
      <c r="WTM53" s="13"/>
      <c r="WTN53" s="13"/>
      <c r="WTO53" s="13"/>
      <c r="WTP53" s="13"/>
      <c r="WTQ53" s="13"/>
      <c r="WTR53" s="13"/>
      <c r="WTS53" s="13"/>
      <c r="WTT53" s="13"/>
      <c r="WTU53" s="13"/>
      <c r="WTV53" s="13"/>
      <c r="WTW53" s="13"/>
      <c r="WTX53" s="13"/>
      <c r="WTY53" s="13"/>
      <c r="WTZ53" s="13"/>
      <c r="WUA53" s="13"/>
      <c r="WUB53" s="13"/>
      <c r="WUC53" s="13"/>
      <c r="WUD53" s="13"/>
      <c r="WUE53" s="13"/>
      <c r="WUF53" s="13"/>
      <c r="WUG53" s="13"/>
      <c r="WUH53" s="13"/>
      <c r="WUI53" s="13"/>
      <c r="WUJ53" s="13"/>
      <c r="WUK53" s="13"/>
      <c r="WUL53" s="13"/>
      <c r="WUM53" s="13"/>
      <c r="WUN53" s="13"/>
      <c r="WUO53" s="13"/>
      <c r="WUP53" s="13"/>
      <c r="WUQ53" s="13"/>
      <c r="WUR53" s="13"/>
      <c r="WUS53" s="13"/>
      <c r="WUT53" s="13"/>
      <c r="WUU53" s="13"/>
      <c r="WUV53" s="13"/>
      <c r="WUW53" s="13"/>
      <c r="WUX53" s="13"/>
      <c r="WUY53" s="13"/>
      <c r="WUZ53" s="13"/>
      <c r="WVA53" s="13"/>
      <c r="WVB53" s="13"/>
      <c r="WVC53" s="13"/>
      <c r="WVD53" s="13"/>
      <c r="WVE53" s="13"/>
      <c r="WVF53" s="13"/>
      <c r="WVG53" s="13"/>
      <c r="WVH53" s="13"/>
      <c r="WVI53" s="13"/>
      <c r="WVJ53" s="13"/>
      <c r="WVK53" s="13"/>
      <c r="WVL53" s="13"/>
      <c r="WVM53" s="13"/>
      <c r="WVN53" s="13"/>
      <c r="WVO53" s="13"/>
      <c r="WVP53" s="13"/>
      <c r="WVQ53" s="13"/>
      <c r="WVR53" s="13"/>
      <c r="WVS53" s="13"/>
      <c r="WVT53" s="13"/>
      <c r="WVU53" s="13"/>
      <c r="WVV53" s="13"/>
      <c r="WVW53" s="13"/>
      <c r="WVX53" s="13"/>
      <c r="WVY53" s="13"/>
      <c r="WVZ53" s="13"/>
      <c r="WWA53" s="13"/>
      <c r="WWB53" s="13"/>
      <c r="WWC53" s="13"/>
      <c r="WWD53" s="13"/>
      <c r="WWE53" s="13"/>
      <c r="WWF53" s="13"/>
      <c r="WWG53" s="13"/>
      <c r="WWH53" s="13"/>
      <c r="WWI53" s="13"/>
      <c r="WWJ53" s="13"/>
      <c r="WWK53" s="13"/>
      <c r="WWL53" s="13"/>
      <c r="WWM53" s="13"/>
      <c r="WWN53" s="13"/>
      <c r="WWO53" s="13"/>
      <c r="WWP53" s="13"/>
      <c r="WWQ53" s="13"/>
      <c r="WWR53" s="13"/>
      <c r="WWS53" s="13"/>
      <c r="WWT53" s="13"/>
      <c r="WWU53" s="13"/>
      <c r="WWV53" s="13"/>
      <c r="WWW53" s="13"/>
      <c r="WWX53" s="13"/>
      <c r="WWY53" s="13"/>
      <c r="WWZ53" s="13"/>
      <c r="WXA53" s="13"/>
      <c r="WXB53" s="13"/>
      <c r="WXC53" s="13"/>
      <c r="WXD53" s="13"/>
      <c r="WXE53" s="13"/>
      <c r="WXF53" s="13"/>
      <c r="WXG53" s="13"/>
      <c r="WXH53" s="13"/>
      <c r="WXI53" s="13"/>
      <c r="WXJ53" s="13"/>
      <c r="WXK53" s="13"/>
      <c r="WXL53" s="13"/>
      <c r="WXM53" s="13"/>
      <c r="WXN53" s="13"/>
      <c r="WXO53" s="13"/>
      <c r="WXP53" s="13"/>
      <c r="WXQ53" s="13"/>
      <c r="WXR53" s="13"/>
      <c r="WXS53" s="13"/>
      <c r="WXT53" s="13"/>
      <c r="WXU53" s="13"/>
      <c r="WXV53" s="13"/>
      <c r="WXW53" s="13"/>
      <c r="WXX53" s="13"/>
      <c r="WXY53" s="13"/>
      <c r="WXZ53" s="13"/>
      <c r="WYA53" s="13"/>
      <c r="WYB53" s="13"/>
      <c r="WYC53" s="13"/>
      <c r="WYD53" s="13"/>
      <c r="WYE53" s="13"/>
      <c r="WYF53" s="13"/>
      <c r="WYG53" s="13"/>
      <c r="WYH53" s="13"/>
      <c r="WYI53" s="13"/>
      <c r="WYJ53" s="13"/>
      <c r="WYK53" s="13"/>
      <c r="WYL53" s="13"/>
      <c r="WYM53" s="13"/>
      <c r="WYN53" s="13"/>
      <c r="WYO53" s="13"/>
      <c r="WYP53" s="13"/>
      <c r="WYQ53" s="13"/>
      <c r="WYR53" s="13"/>
      <c r="WYS53" s="13"/>
      <c r="WYT53" s="13"/>
      <c r="WYU53" s="13"/>
      <c r="WYV53" s="13"/>
      <c r="WYW53" s="13"/>
      <c r="WYX53" s="13"/>
      <c r="WYY53" s="13"/>
      <c r="WYZ53" s="13"/>
      <c r="WZA53" s="13"/>
      <c r="WZB53" s="13"/>
      <c r="WZC53" s="13"/>
      <c r="WZD53" s="13"/>
      <c r="WZE53" s="13"/>
      <c r="WZF53" s="13"/>
      <c r="WZG53" s="13"/>
      <c r="WZH53" s="13"/>
      <c r="WZI53" s="13"/>
      <c r="WZJ53" s="13"/>
      <c r="WZK53" s="13"/>
      <c r="WZL53" s="13"/>
      <c r="WZM53" s="13"/>
      <c r="WZN53" s="13"/>
      <c r="WZO53" s="13"/>
      <c r="WZP53" s="13"/>
      <c r="WZQ53" s="13"/>
      <c r="WZR53" s="13"/>
      <c r="WZS53" s="13"/>
      <c r="WZT53" s="13"/>
      <c r="WZU53" s="13"/>
      <c r="WZV53" s="13"/>
      <c r="WZW53" s="13"/>
      <c r="WZX53" s="13"/>
      <c r="WZY53" s="13"/>
      <c r="WZZ53" s="13"/>
      <c r="XAA53" s="13"/>
      <c r="XAB53" s="13"/>
      <c r="XAC53" s="13"/>
      <c r="XAD53" s="13"/>
      <c r="XAE53" s="13"/>
      <c r="XAF53" s="13"/>
      <c r="XAG53" s="13"/>
      <c r="XAH53" s="13"/>
      <c r="XAI53" s="13"/>
      <c r="XAJ53" s="13"/>
      <c r="XAK53" s="13"/>
      <c r="XAL53" s="13"/>
      <c r="XAM53" s="13"/>
      <c r="XAN53" s="13"/>
      <c r="XAO53" s="13"/>
      <c r="XAP53" s="13"/>
      <c r="XAQ53" s="13"/>
      <c r="XAR53" s="13"/>
      <c r="XAS53" s="13"/>
      <c r="XAT53" s="13"/>
      <c r="XAU53" s="13"/>
      <c r="XAV53" s="13"/>
      <c r="XAW53" s="13"/>
      <c r="XAX53" s="13"/>
      <c r="XAY53" s="13"/>
      <c r="XAZ53" s="13"/>
      <c r="XBA53" s="13"/>
      <c r="XBB53" s="13"/>
      <c r="XBC53" s="13"/>
      <c r="XBD53" s="13"/>
      <c r="XBE53" s="13"/>
      <c r="XBF53" s="13"/>
      <c r="XBG53" s="13"/>
      <c r="XBH53" s="13"/>
      <c r="XBI53" s="13"/>
      <c r="XBJ53" s="13"/>
      <c r="XBK53" s="13"/>
      <c r="XBL53" s="13"/>
      <c r="XBM53" s="13"/>
      <c r="XBN53" s="13"/>
      <c r="XBO53" s="13"/>
      <c r="XBP53" s="13"/>
      <c r="XBQ53" s="13"/>
      <c r="XBR53" s="13"/>
      <c r="XBS53" s="13"/>
      <c r="XBT53" s="13"/>
      <c r="XBU53" s="13"/>
      <c r="XBV53" s="13"/>
      <c r="XBW53" s="13"/>
      <c r="XBX53" s="13"/>
      <c r="XBY53" s="13"/>
      <c r="XBZ53" s="13"/>
      <c r="XCA53" s="13"/>
      <c r="XCB53" s="13"/>
      <c r="XCC53" s="13"/>
      <c r="XCD53" s="13"/>
      <c r="XCE53" s="13"/>
      <c r="XCF53" s="13"/>
      <c r="XCG53" s="13"/>
      <c r="XCH53" s="13"/>
      <c r="XCI53" s="13"/>
      <c r="XCJ53" s="13"/>
      <c r="XCK53" s="13"/>
      <c r="XCL53" s="13"/>
      <c r="XCM53" s="13"/>
      <c r="XCN53" s="13"/>
      <c r="XCO53" s="13"/>
      <c r="XCP53" s="13"/>
      <c r="XCQ53" s="13"/>
      <c r="XCR53" s="13"/>
      <c r="XCS53" s="13"/>
      <c r="XCT53" s="13"/>
      <c r="XCU53" s="13"/>
      <c r="XCV53" s="13"/>
      <c r="XCW53" s="13"/>
      <c r="XCX53" s="13"/>
      <c r="XCY53" s="13"/>
      <c r="XCZ53" s="13"/>
      <c r="XDA53" s="13"/>
      <c r="XDB53" s="13"/>
      <c r="XDC53" s="13"/>
      <c r="XDD53" s="13"/>
      <c r="XDE53" s="13"/>
      <c r="XDF53" s="13"/>
      <c r="XDG53" s="13"/>
      <c r="XDH53" s="13"/>
      <c r="XDI53" s="13"/>
      <c r="XDJ53" s="13"/>
      <c r="XDK53" s="13"/>
      <c r="XDL53" s="13"/>
      <c r="XDM53" s="13"/>
      <c r="XDN53" s="13"/>
      <c r="XDO53" s="13"/>
      <c r="XDP53" s="13"/>
      <c r="XDQ53" s="13"/>
      <c r="XDR53" s="13"/>
      <c r="XDS53" s="13"/>
      <c r="XDT53" s="13"/>
      <c r="XDU53" s="13"/>
      <c r="XDV53" s="13"/>
      <c r="XDW53" s="13"/>
      <c r="XDX53" s="13"/>
      <c r="XDY53" s="13"/>
      <c r="XDZ53" s="13"/>
      <c r="XEA53" s="13"/>
      <c r="XEB53" s="13"/>
      <c r="XEC53" s="13"/>
      <c r="XED53" s="13"/>
      <c r="XEE53" s="13"/>
      <c r="XEF53" s="13"/>
      <c r="XEG53" s="13"/>
      <c r="XEH53" s="13"/>
      <c r="XEI53" s="13"/>
      <c r="XEJ53" s="13"/>
      <c r="XEK53" s="13"/>
      <c r="XEL53" s="13"/>
      <c r="XEM53" s="13"/>
      <c r="XEN53" s="13"/>
      <c r="XEO53" s="13"/>
      <c r="XEP53" s="13"/>
      <c r="XEQ53" s="13"/>
      <c r="XER53" s="13"/>
      <c r="XES53" s="13"/>
      <c r="XET53" s="13"/>
      <c r="XEU53" s="13"/>
      <c r="XEV53" s="13"/>
      <c r="XEW53" s="13"/>
      <c r="XEX53" s="13"/>
      <c r="XEY53" s="13"/>
      <c r="XEZ53" s="13"/>
      <c r="XFA53" s="13"/>
      <c r="XFB53" s="13"/>
      <c r="XFC53" s="13"/>
    </row>
    <row r="54" spans="2:16383" s="13" customFormat="1">
      <c r="B54" s="122" t="s">
        <v>27</v>
      </c>
      <c r="D54" s="102">
        <f ca="1">IFERROR(D53/C53-1,"na")</f>
        <v>0.22006989022313328</v>
      </c>
      <c r="E54" s="102">
        <f t="shared" ref="E54:M54" ca="1" si="8">IFERROR(E53/D53-1,"na")</f>
        <v>0.26468543693075453</v>
      </c>
      <c r="F54" s="102">
        <f t="shared" ca="1" si="8"/>
        <v>0.28186788735702106</v>
      </c>
      <c r="G54" s="102">
        <f t="shared" ca="1" si="8"/>
        <v>0.28508577960852977</v>
      </c>
      <c r="H54" s="102">
        <f t="shared" ca="1" si="8"/>
        <v>0.24416704839519743</v>
      </c>
      <c r="I54" s="102">
        <f t="shared" ca="1" si="8"/>
        <v>0.22208908150362405</v>
      </c>
      <c r="J54" s="102">
        <f t="shared" ca="1" si="8"/>
        <v>0.21880719023245199</v>
      </c>
      <c r="K54" s="102">
        <f t="shared" ca="1" si="8"/>
        <v>0.19526027120177725</v>
      </c>
      <c r="L54" s="102">
        <f t="shared" ca="1" si="8"/>
        <v>0.20306681947408034</v>
      </c>
      <c r="M54" s="102">
        <f t="shared" ca="1" si="8"/>
        <v>3.0000000000000027E-2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206</v>
      </c>
      <c r="C55" s="6">
        <f>+INDEX(Model!$A:$AQ,MATCH("Gross Revenue",Model!$A:$A,0),MATCH(DCF!C$51,Model!$3:$3,0))</f>
        <v>7770.6579000000002</v>
      </c>
      <c r="D55" s="6">
        <f>+INDEX(Model!$A:$AQ,MATCH("Gross Revenue",Model!$A:$A,0),MATCH(DCF!D$51,Model!$3:$3,0))</f>
        <v>9221.6304645</v>
      </c>
      <c r="E55" s="6">
        <f>+INDEX(Model!$A:$AQ,MATCH("Gross Revenue",Model!$A:$A,0),MATCH(DCF!E$51,Model!$3:$3,0))</f>
        <v>10894.601046247501</v>
      </c>
      <c r="F55" s="6">
        <f>+INDEX(Model!$A:$AQ,MATCH("Gross Revenue",Model!$A:$A,0),MATCH(DCF!F$51,Model!$3:$3,0))</f>
        <v>12656.947516412063</v>
      </c>
      <c r="G55" s="6">
        <f>+INDEX(Model!$A:$AQ,MATCH("Gross Revenue",Model!$A:$A,0),MATCH(DCF!G$51,Model!$3:$3,0))</f>
        <v>14582.022995874502</v>
      </c>
      <c r="H55" s="6">
        <f>+INDEX(Model!$A:$AQ,MATCH("Gross Revenue",Model!$A:$A,0),MATCH(DCF!H$51,Model!$3:$3,0))</f>
        <v>16658.716523076258</v>
      </c>
      <c r="I55" s="6">
        <f>+INDEX(Model!$A:$AQ,MATCH("Gross Revenue",Model!$A:$A,0),MATCH(DCF!I$51,Model!$3:$3,0))</f>
        <v>18786.345174664901</v>
      </c>
      <c r="J55" s="6">
        <f>+INDEX(Model!$A:$AQ,MATCH("Gross Revenue",Model!$A:$A,0),MATCH(DCF!J$51,Model!$3:$3,0))</f>
        <v>21003.324228556859</v>
      </c>
      <c r="K55" s="6">
        <f>+INDEX(Model!$A:$AQ,MATCH("Gross Revenue",Model!$A:$A,0),MATCH(DCF!K$51,Model!$3:$3,0))</f>
        <v>23277.736111965427</v>
      </c>
      <c r="L55" s="6">
        <f>+INDEX(Model!$A:$AQ,MATCH("Gross Revenue",Model!$A:$A,0),MATCH(DCF!L$51,Model!$3:$3,0))</f>
        <v>25571.833857699814</v>
      </c>
      <c r="M55" s="60">
        <f>+L55*(1+$K$36)</f>
        <v>26338.988873430808</v>
      </c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/>
      <c r="MD55" s="13"/>
      <c r="ME55" s="13"/>
      <c r="MF55" s="13"/>
      <c r="MG55" s="13"/>
      <c r="MH55" s="13"/>
      <c r="MI55" s="13"/>
      <c r="MJ55" s="13"/>
      <c r="MK55" s="13"/>
      <c r="ML55" s="13"/>
      <c r="MM55" s="13"/>
      <c r="MN55" s="13"/>
      <c r="MO55" s="13"/>
      <c r="MP55" s="13"/>
      <c r="MQ55" s="13"/>
      <c r="MR55" s="13"/>
      <c r="MS55" s="13"/>
      <c r="MT55" s="13"/>
      <c r="MU55" s="13"/>
      <c r="MV55" s="13"/>
      <c r="MW55" s="13"/>
      <c r="MX55" s="13"/>
      <c r="MY55" s="13"/>
      <c r="MZ55" s="13"/>
      <c r="NA55" s="13"/>
      <c r="NB55" s="13"/>
      <c r="NC55" s="13"/>
      <c r="ND55" s="13"/>
      <c r="NE55" s="13"/>
      <c r="NF55" s="13"/>
      <c r="NG55" s="13"/>
      <c r="NH55" s="13"/>
      <c r="NI55" s="13"/>
      <c r="NJ55" s="13"/>
      <c r="NK55" s="13"/>
      <c r="NL55" s="13"/>
      <c r="NM55" s="13"/>
      <c r="NN55" s="13"/>
      <c r="NO55" s="13"/>
      <c r="NP55" s="13"/>
      <c r="NQ55" s="13"/>
      <c r="NR55" s="13"/>
      <c r="NS55" s="13"/>
      <c r="NT55" s="13"/>
      <c r="NU55" s="13"/>
      <c r="NV55" s="13"/>
      <c r="NW55" s="13"/>
      <c r="NX55" s="13"/>
      <c r="NY55" s="13"/>
      <c r="NZ55" s="13"/>
      <c r="OA55" s="13"/>
      <c r="OB55" s="13"/>
      <c r="OC55" s="13"/>
      <c r="OD55" s="13"/>
      <c r="OE55" s="13"/>
      <c r="OF55" s="13"/>
      <c r="OG55" s="13"/>
      <c r="OH55" s="13"/>
      <c r="OI55" s="13"/>
      <c r="OJ55" s="13"/>
      <c r="OK55" s="13"/>
      <c r="OL55" s="13"/>
      <c r="OM55" s="13"/>
      <c r="ON55" s="13"/>
      <c r="OO55" s="13"/>
      <c r="OP55" s="13"/>
      <c r="OQ55" s="13"/>
      <c r="OR55" s="13"/>
      <c r="OS55" s="13"/>
      <c r="OT55" s="13"/>
      <c r="OU55" s="13"/>
      <c r="OV55" s="13"/>
      <c r="OW55" s="13"/>
      <c r="OX55" s="13"/>
      <c r="OY55" s="13"/>
      <c r="OZ55" s="13"/>
      <c r="PA55" s="13"/>
      <c r="PB55" s="13"/>
      <c r="PC55" s="13"/>
      <c r="PD55" s="13"/>
      <c r="PE55" s="13"/>
      <c r="PF55" s="13"/>
      <c r="PG55" s="13"/>
      <c r="PH55" s="13"/>
      <c r="PI55" s="13"/>
      <c r="PJ55" s="13"/>
      <c r="PK55" s="13"/>
      <c r="PL55" s="13"/>
      <c r="PM55" s="13"/>
      <c r="PN55" s="13"/>
      <c r="PO55" s="13"/>
      <c r="PP55" s="13"/>
      <c r="PQ55" s="13"/>
      <c r="PR55" s="13"/>
      <c r="PS55" s="13"/>
      <c r="PT55" s="13"/>
      <c r="PU55" s="13"/>
      <c r="PV55" s="13"/>
      <c r="PW55" s="13"/>
      <c r="PX55" s="13"/>
      <c r="PY55" s="13"/>
      <c r="PZ55" s="13"/>
      <c r="QA55" s="13"/>
      <c r="QB55" s="13"/>
      <c r="QC55" s="13"/>
      <c r="QD55" s="13"/>
      <c r="QE55" s="13"/>
      <c r="QF55" s="13"/>
      <c r="QG55" s="13"/>
      <c r="QH55" s="13"/>
      <c r="QI55" s="13"/>
      <c r="QJ55" s="13"/>
      <c r="QK55" s="13"/>
      <c r="QL55" s="13"/>
      <c r="QM55" s="13"/>
      <c r="QN55" s="13"/>
      <c r="QO55" s="13"/>
      <c r="QP55" s="13"/>
      <c r="QQ55" s="13"/>
      <c r="QR55" s="13"/>
      <c r="QS55" s="13"/>
      <c r="QT55" s="13"/>
      <c r="QU55" s="13"/>
      <c r="QV55" s="13"/>
      <c r="QW55" s="13"/>
      <c r="QX55" s="13"/>
      <c r="QY55" s="13"/>
      <c r="QZ55" s="13"/>
      <c r="RA55" s="13"/>
      <c r="RB55" s="13"/>
      <c r="RC55" s="13"/>
      <c r="RD55" s="13"/>
      <c r="RE55" s="13"/>
      <c r="RF55" s="13"/>
      <c r="RG55" s="13"/>
      <c r="RH55" s="13"/>
      <c r="RI55" s="13"/>
      <c r="RJ55" s="13"/>
      <c r="RK55" s="13"/>
      <c r="RL55" s="13"/>
      <c r="RM55" s="13"/>
      <c r="RN55" s="13"/>
      <c r="RO55" s="13"/>
      <c r="RP55" s="13"/>
      <c r="RQ55" s="13"/>
      <c r="RR55" s="13"/>
      <c r="RS55" s="13"/>
      <c r="RT55" s="13"/>
      <c r="RU55" s="13"/>
      <c r="RV55" s="13"/>
      <c r="RW55" s="13"/>
      <c r="RX55" s="13"/>
      <c r="RY55" s="13"/>
      <c r="RZ55" s="13"/>
      <c r="SA55" s="13"/>
      <c r="SB55" s="13"/>
      <c r="SC55" s="13"/>
      <c r="SD55" s="13"/>
      <c r="SE55" s="13"/>
      <c r="SF55" s="13"/>
      <c r="SG55" s="13"/>
      <c r="SH55" s="13"/>
      <c r="SI55" s="13"/>
      <c r="SJ55" s="13"/>
      <c r="SK55" s="13"/>
      <c r="SL55" s="13"/>
      <c r="SM55" s="13"/>
      <c r="SN55" s="13"/>
      <c r="SO55" s="13"/>
      <c r="SP55" s="13"/>
      <c r="SQ55" s="13"/>
      <c r="SR55" s="13"/>
      <c r="SS55" s="13"/>
      <c r="ST55" s="13"/>
      <c r="SU55" s="13"/>
      <c r="SV55" s="13"/>
      <c r="SW55" s="13"/>
      <c r="SX55" s="13"/>
      <c r="SY55" s="13"/>
      <c r="SZ55" s="13"/>
      <c r="TA55" s="13"/>
      <c r="TB55" s="13"/>
      <c r="TC55" s="13"/>
      <c r="TD55" s="13"/>
      <c r="TE55" s="13"/>
      <c r="TF55" s="13"/>
      <c r="TG55" s="13"/>
      <c r="TH55" s="13"/>
      <c r="TI55" s="13"/>
      <c r="TJ55" s="13"/>
      <c r="TK55" s="13"/>
      <c r="TL55" s="13"/>
      <c r="TM55" s="13"/>
      <c r="TN55" s="13"/>
      <c r="TO55" s="13"/>
      <c r="TP55" s="13"/>
      <c r="TQ55" s="13"/>
      <c r="TR55" s="13"/>
      <c r="TS55" s="13"/>
      <c r="TT55" s="13"/>
      <c r="TU55" s="13"/>
      <c r="TV55" s="13"/>
      <c r="TW55" s="13"/>
      <c r="TX55" s="13"/>
      <c r="TY55" s="13"/>
      <c r="TZ55" s="13"/>
      <c r="UA55" s="13"/>
      <c r="UB55" s="13"/>
      <c r="UC55" s="13"/>
      <c r="UD55" s="13"/>
      <c r="UE55" s="13"/>
      <c r="UF55" s="13"/>
      <c r="UG55" s="13"/>
      <c r="UH55" s="13"/>
      <c r="UI55" s="13"/>
      <c r="UJ55" s="13"/>
      <c r="UK55" s="13"/>
      <c r="UL55" s="13"/>
      <c r="UM55" s="13"/>
      <c r="UN55" s="13"/>
      <c r="UO55" s="13"/>
      <c r="UP55" s="13"/>
      <c r="UQ55" s="13"/>
      <c r="UR55" s="13"/>
      <c r="US55" s="13"/>
      <c r="UT55" s="13"/>
      <c r="UU55" s="13"/>
      <c r="UV55" s="13"/>
      <c r="UW55" s="13"/>
      <c r="UX55" s="13"/>
      <c r="UY55" s="13"/>
      <c r="UZ55" s="13"/>
      <c r="VA55" s="13"/>
      <c r="VB55" s="13"/>
      <c r="VC55" s="13"/>
      <c r="VD55" s="13"/>
      <c r="VE55" s="13"/>
      <c r="VF55" s="13"/>
      <c r="VG55" s="13"/>
      <c r="VH55" s="13"/>
      <c r="VI55" s="13"/>
      <c r="VJ55" s="13"/>
      <c r="VK55" s="13"/>
      <c r="VL55" s="13"/>
      <c r="VM55" s="13"/>
      <c r="VN55" s="13"/>
      <c r="VO55" s="13"/>
      <c r="VP55" s="13"/>
      <c r="VQ55" s="13"/>
      <c r="VR55" s="13"/>
      <c r="VS55" s="13"/>
      <c r="VT55" s="13"/>
      <c r="VU55" s="13"/>
      <c r="VV55" s="13"/>
      <c r="VW55" s="13"/>
      <c r="VX55" s="13"/>
      <c r="VY55" s="13"/>
      <c r="VZ55" s="13"/>
      <c r="WA55" s="13"/>
      <c r="WB55" s="13"/>
      <c r="WC55" s="13"/>
      <c r="WD55" s="13"/>
      <c r="WE55" s="13"/>
      <c r="WF55" s="13"/>
      <c r="WG55" s="13"/>
      <c r="WH55" s="13"/>
      <c r="WI55" s="13"/>
      <c r="WJ55" s="13"/>
      <c r="WK55" s="13"/>
      <c r="WL55" s="13"/>
      <c r="WM55" s="13"/>
      <c r="WN55" s="13"/>
      <c r="WO55" s="13"/>
      <c r="WP55" s="13"/>
      <c r="WQ55" s="13"/>
      <c r="WR55" s="13"/>
      <c r="WS55" s="13"/>
      <c r="WT55" s="13"/>
      <c r="WU55" s="13"/>
      <c r="WV55" s="13"/>
      <c r="WW55" s="13"/>
      <c r="WX55" s="13"/>
      <c r="WY55" s="13"/>
      <c r="WZ55" s="13"/>
      <c r="XA55" s="13"/>
      <c r="XB55" s="13"/>
      <c r="XC55" s="13"/>
      <c r="XD55" s="13"/>
      <c r="XE55" s="13"/>
      <c r="XF55" s="13"/>
      <c r="XG55" s="13"/>
      <c r="XH55" s="13"/>
      <c r="XI55" s="13"/>
      <c r="XJ55" s="13"/>
      <c r="XK55" s="13"/>
      <c r="XL55" s="13"/>
      <c r="XM55" s="13"/>
      <c r="XN55" s="13"/>
      <c r="XO55" s="13"/>
      <c r="XP55" s="13"/>
      <c r="XQ55" s="13"/>
      <c r="XR55" s="13"/>
      <c r="XS55" s="13"/>
      <c r="XT55" s="13"/>
      <c r="XU55" s="13"/>
      <c r="XV55" s="13"/>
      <c r="XW55" s="13"/>
      <c r="XX55" s="13"/>
      <c r="XY55" s="13"/>
      <c r="XZ55" s="13"/>
      <c r="YA55" s="13"/>
      <c r="YB55" s="13"/>
      <c r="YC55" s="13"/>
      <c r="YD55" s="13"/>
      <c r="YE55" s="13"/>
      <c r="YF55" s="13"/>
      <c r="YG55" s="13"/>
      <c r="YH55" s="13"/>
      <c r="YI55" s="13"/>
      <c r="YJ55" s="13"/>
      <c r="YK55" s="13"/>
      <c r="YL55" s="13"/>
      <c r="YM55" s="13"/>
      <c r="YN55" s="13"/>
      <c r="YO55" s="13"/>
      <c r="YP55" s="13"/>
      <c r="YQ55" s="13"/>
      <c r="YR55" s="13"/>
      <c r="YS55" s="13"/>
      <c r="YT55" s="13"/>
      <c r="YU55" s="13"/>
      <c r="YV55" s="13"/>
      <c r="YW55" s="13"/>
      <c r="YX55" s="13"/>
      <c r="YY55" s="13"/>
      <c r="YZ55" s="13"/>
      <c r="ZA55" s="13"/>
      <c r="ZB55" s="13"/>
      <c r="ZC55" s="13"/>
      <c r="ZD55" s="13"/>
      <c r="ZE55" s="13"/>
      <c r="ZF55" s="13"/>
      <c r="ZG55" s="13"/>
      <c r="ZH55" s="13"/>
      <c r="ZI55" s="13"/>
      <c r="ZJ55" s="13"/>
      <c r="ZK55" s="13"/>
      <c r="ZL55" s="13"/>
      <c r="ZM55" s="13"/>
      <c r="ZN55" s="13"/>
      <c r="ZO55" s="13"/>
      <c r="ZP55" s="13"/>
      <c r="ZQ55" s="13"/>
      <c r="ZR55" s="13"/>
      <c r="ZS55" s="13"/>
      <c r="ZT55" s="13"/>
      <c r="ZU55" s="13"/>
      <c r="ZV55" s="13"/>
      <c r="ZW55" s="13"/>
      <c r="ZX55" s="13"/>
      <c r="ZY55" s="13"/>
      <c r="ZZ55" s="13"/>
      <c r="AAA55" s="13"/>
      <c r="AAB55" s="13"/>
      <c r="AAC55" s="13"/>
      <c r="AAD55" s="13"/>
      <c r="AAE55" s="13"/>
      <c r="AAF55" s="13"/>
      <c r="AAG55" s="13"/>
      <c r="AAH55" s="13"/>
      <c r="AAI55" s="13"/>
      <c r="AAJ55" s="13"/>
      <c r="AAK55" s="13"/>
      <c r="AAL55" s="13"/>
      <c r="AAM55" s="13"/>
      <c r="AAN55" s="13"/>
      <c r="AAO55" s="13"/>
      <c r="AAP55" s="13"/>
      <c r="AAQ55" s="13"/>
      <c r="AAR55" s="13"/>
      <c r="AAS55" s="13"/>
      <c r="AAT55" s="13"/>
      <c r="AAU55" s="13"/>
      <c r="AAV55" s="13"/>
      <c r="AAW55" s="13"/>
      <c r="AAX55" s="13"/>
      <c r="AAY55" s="13"/>
      <c r="AAZ55" s="13"/>
      <c r="ABA55" s="13"/>
      <c r="ABB55" s="13"/>
      <c r="ABC55" s="13"/>
      <c r="ABD55" s="13"/>
      <c r="ABE55" s="13"/>
      <c r="ABF55" s="13"/>
      <c r="ABG55" s="13"/>
      <c r="ABH55" s="13"/>
      <c r="ABI55" s="13"/>
      <c r="ABJ55" s="13"/>
      <c r="ABK55" s="13"/>
      <c r="ABL55" s="13"/>
      <c r="ABM55" s="13"/>
      <c r="ABN55" s="13"/>
      <c r="ABO55" s="13"/>
      <c r="ABP55" s="13"/>
      <c r="ABQ55" s="13"/>
      <c r="ABR55" s="13"/>
      <c r="ABS55" s="13"/>
      <c r="ABT55" s="13"/>
      <c r="ABU55" s="13"/>
      <c r="ABV55" s="13"/>
      <c r="ABW55" s="13"/>
      <c r="ABX55" s="13"/>
      <c r="ABY55" s="13"/>
      <c r="ABZ55" s="13"/>
      <c r="ACA55" s="13"/>
      <c r="ACB55" s="13"/>
      <c r="ACC55" s="13"/>
      <c r="ACD55" s="13"/>
      <c r="ACE55" s="13"/>
      <c r="ACF55" s="13"/>
      <c r="ACG55" s="13"/>
      <c r="ACH55" s="13"/>
      <c r="ACI55" s="13"/>
      <c r="ACJ55" s="13"/>
      <c r="ACK55" s="13"/>
      <c r="ACL55" s="13"/>
      <c r="ACM55" s="13"/>
      <c r="ACN55" s="13"/>
      <c r="ACO55" s="13"/>
      <c r="ACP55" s="13"/>
      <c r="ACQ55" s="13"/>
      <c r="ACR55" s="13"/>
      <c r="ACS55" s="13"/>
      <c r="ACT55" s="13"/>
      <c r="ACU55" s="13"/>
      <c r="ACV55" s="13"/>
      <c r="ACW55" s="13"/>
      <c r="ACX55" s="13"/>
      <c r="ACY55" s="13"/>
      <c r="ACZ55" s="13"/>
      <c r="ADA55" s="13"/>
      <c r="ADB55" s="13"/>
      <c r="ADC55" s="13"/>
      <c r="ADD55" s="13"/>
      <c r="ADE55" s="13"/>
      <c r="ADF55" s="13"/>
      <c r="ADG55" s="13"/>
      <c r="ADH55" s="13"/>
      <c r="ADI55" s="13"/>
      <c r="ADJ55" s="13"/>
      <c r="ADK55" s="13"/>
      <c r="ADL55" s="13"/>
      <c r="ADM55" s="13"/>
      <c r="ADN55" s="13"/>
      <c r="ADO55" s="13"/>
      <c r="ADP55" s="13"/>
      <c r="ADQ55" s="13"/>
      <c r="ADR55" s="13"/>
      <c r="ADS55" s="13"/>
      <c r="ADT55" s="13"/>
      <c r="ADU55" s="13"/>
      <c r="ADV55" s="13"/>
      <c r="ADW55" s="13"/>
      <c r="ADX55" s="13"/>
      <c r="ADY55" s="13"/>
      <c r="ADZ55" s="13"/>
      <c r="AEA55" s="13"/>
      <c r="AEB55" s="13"/>
      <c r="AEC55" s="13"/>
      <c r="AED55" s="13"/>
      <c r="AEE55" s="13"/>
      <c r="AEF55" s="13"/>
      <c r="AEG55" s="13"/>
      <c r="AEH55" s="13"/>
      <c r="AEI55" s="13"/>
      <c r="AEJ55" s="13"/>
      <c r="AEK55" s="13"/>
      <c r="AEL55" s="13"/>
      <c r="AEM55" s="13"/>
      <c r="AEN55" s="13"/>
      <c r="AEO55" s="13"/>
      <c r="AEP55" s="13"/>
      <c r="AEQ55" s="13"/>
      <c r="AER55" s="13"/>
      <c r="AES55" s="13"/>
      <c r="AET55" s="13"/>
      <c r="AEU55" s="13"/>
      <c r="AEV55" s="13"/>
      <c r="AEW55" s="13"/>
      <c r="AEX55" s="13"/>
      <c r="AEY55" s="13"/>
      <c r="AEZ55" s="13"/>
      <c r="AFA55" s="13"/>
      <c r="AFB55" s="13"/>
      <c r="AFC55" s="13"/>
      <c r="AFD55" s="13"/>
      <c r="AFE55" s="13"/>
      <c r="AFF55" s="13"/>
      <c r="AFG55" s="13"/>
      <c r="AFH55" s="13"/>
      <c r="AFI55" s="13"/>
      <c r="AFJ55" s="13"/>
      <c r="AFK55" s="13"/>
      <c r="AFL55" s="13"/>
      <c r="AFM55" s="13"/>
      <c r="AFN55" s="13"/>
      <c r="AFO55" s="13"/>
      <c r="AFP55" s="13"/>
      <c r="AFQ55" s="13"/>
      <c r="AFR55" s="13"/>
      <c r="AFS55" s="13"/>
      <c r="AFT55" s="13"/>
      <c r="AFU55" s="13"/>
      <c r="AFV55" s="13"/>
      <c r="AFW55" s="13"/>
      <c r="AFX55" s="13"/>
      <c r="AFY55" s="13"/>
      <c r="AFZ55" s="13"/>
      <c r="AGA55" s="13"/>
      <c r="AGB55" s="13"/>
      <c r="AGC55" s="13"/>
      <c r="AGD55" s="13"/>
      <c r="AGE55" s="13"/>
      <c r="AGF55" s="13"/>
      <c r="AGG55" s="13"/>
      <c r="AGH55" s="13"/>
      <c r="AGI55" s="13"/>
      <c r="AGJ55" s="13"/>
      <c r="AGK55" s="13"/>
      <c r="AGL55" s="13"/>
      <c r="AGM55" s="13"/>
      <c r="AGN55" s="13"/>
      <c r="AGO55" s="13"/>
      <c r="AGP55" s="13"/>
      <c r="AGQ55" s="13"/>
      <c r="AGR55" s="13"/>
      <c r="AGS55" s="13"/>
      <c r="AGT55" s="13"/>
      <c r="AGU55" s="13"/>
      <c r="AGV55" s="13"/>
      <c r="AGW55" s="13"/>
      <c r="AGX55" s="13"/>
      <c r="AGY55" s="13"/>
      <c r="AGZ55" s="13"/>
      <c r="AHA55" s="13"/>
      <c r="AHB55" s="13"/>
      <c r="AHC55" s="13"/>
      <c r="AHD55" s="13"/>
      <c r="AHE55" s="13"/>
      <c r="AHF55" s="13"/>
      <c r="AHG55" s="13"/>
      <c r="AHH55" s="13"/>
      <c r="AHI55" s="13"/>
      <c r="AHJ55" s="13"/>
      <c r="AHK55" s="13"/>
      <c r="AHL55" s="13"/>
      <c r="AHM55" s="13"/>
      <c r="AHN55" s="13"/>
      <c r="AHO55" s="13"/>
      <c r="AHP55" s="13"/>
      <c r="AHQ55" s="13"/>
      <c r="AHR55" s="13"/>
      <c r="AHS55" s="13"/>
      <c r="AHT55" s="13"/>
      <c r="AHU55" s="13"/>
      <c r="AHV55" s="13"/>
      <c r="AHW55" s="13"/>
      <c r="AHX55" s="13"/>
      <c r="AHY55" s="13"/>
      <c r="AHZ55" s="13"/>
      <c r="AIA55" s="13"/>
      <c r="AIB55" s="13"/>
      <c r="AIC55" s="13"/>
      <c r="AID55" s="13"/>
      <c r="AIE55" s="13"/>
      <c r="AIF55" s="13"/>
      <c r="AIG55" s="13"/>
      <c r="AIH55" s="13"/>
      <c r="AII55" s="13"/>
      <c r="AIJ55" s="13"/>
      <c r="AIK55" s="13"/>
      <c r="AIL55" s="13"/>
      <c r="AIM55" s="13"/>
      <c r="AIN55" s="13"/>
      <c r="AIO55" s="13"/>
      <c r="AIP55" s="13"/>
      <c r="AIQ55" s="13"/>
      <c r="AIR55" s="13"/>
      <c r="AIS55" s="13"/>
      <c r="AIT55" s="13"/>
      <c r="AIU55" s="13"/>
      <c r="AIV55" s="13"/>
      <c r="AIW55" s="13"/>
      <c r="AIX55" s="13"/>
      <c r="AIY55" s="13"/>
      <c r="AIZ55" s="13"/>
      <c r="AJA55" s="13"/>
      <c r="AJB55" s="13"/>
      <c r="AJC55" s="13"/>
      <c r="AJD55" s="13"/>
      <c r="AJE55" s="13"/>
      <c r="AJF55" s="13"/>
      <c r="AJG55" s="13"/>
      <c r="AJH55" s="13"/>
      <c r="AJI55" s="13"/>
      <c r="AJJ55" s="13"/>
      <c r="AJK55" s="13"/>
      <c r="AJL55" s="13"/>
      <c r="AJM55" s="13"/>
      <c r="AJN55" s="13"/>
      <c r="AJO55" s="13"/>
      <c r="AJP55" s="13"/>
      <c r="AJQ55" s="13"/>
      <c r="AJR55" s="13"/>
      <c r="AJS55" s="13"/>
      <c r="AJT55" s="13"/>
      <c r="AJU55" s="13"/>
      <c r="AJV55" s="13"/>
      <c r="AJW55" s="13"/>
      <c r="AJX55" s="13"/>
      <c r="AJY55" s="13"/>
      <c r="AJZ55" s="13"/>
      <c r="AKA55" s="13"/>
      <c r="AKB55" s="13"/>
      <c r="AKC55" s="13"/>
      <c r="AKD55" s="13"/>
      <c r="AKE55" s="13"/>
      <c r="AKF55" s="13"/>
      <c r="AKG55" s="13"/>
      <c r="AKH55" s="13"/>
      <c r="AKI55" s="13"/>
      <c r="AKJ55" s="13"/>
      <c r="AKK55" s="13"/>
      <c r="AKL55" s="13"/>
      <c r="AKM55" s="13"/>
      <c r="AKN55" s="13"/>
      <c r="AKO55" s="13"/>
      <c r="AKP55" s="13"/>
      <c r="AKQ55" s="13"/>
      <c r="AKR55" s="13"/>
      <c r="AKS55" s="13"/>
      <c r="AKT55" s="13"/>
      <c r="AKU55" s="13"/>
      <c r="AKV55" s="13"/>
      <c r="AKW55" s="13"/>
      <c r="AKX55" s="13"/>
      <c r="AKY55" s="13"/>
      <c r="AKZ55" s="13"/>
      <c r="ALA55" s="13"/>
      <c r="ALB55" s="13"/>
      <c r="ALC55" s="13"/>
      <c r="ALD55" s="13"/>
      <c r="ALE55" s="13"/>
      <c r="ALF55" s="13"/>
      <c r="ALG55" s="13"/>
      <c r="ALH55" s="13"/>
      <c r="ALI55" s="13"/>
      <c r="ALJ55" s="13"/>
      <c r="ALK55" s="13"/>
      <c r="ALL55" s="13"/>
      <c r="ALM55" s="13"/>
      <c r="ALN55" s="13"/>
      <c r="ALO55" s="13"/>
      <c r="ALP55" s="13"/>
      <c r="ALQ55" s="13"/>
      <c r="ALR55" s="13"/>
      <c r="ALS55" s="13"/>
      <c r="ALT55" s="13"/>
      <c r="ALU55" s="13"/>
      <c r="ALV55" s="13"/>
      <c r="ALW55" s="13"/>
      <c r="ALX55" s="13"/>
      <c r="ALY55" s="13"/>
      <c r="ALZ55" s="13"/>
      <c r="AMA55" s="13"/>
      <c r="AMB55" s="13"/>
      <c r="AMC55" s="13"/>
      <c r="AMD55" s="13"/>
      <c r="AME55" s="13"/>
      <c r="AMF55" s="13"/>
      <c r="AMG55" s="13"/>
      <c r="AMH55" s="13"/>
      <c r="AMI55" s="13"/>
      <c r="AMJ55" s="13"/>
      <c r="AMK55" s="13"/>
      <c r="AML55" s="13"/>
      <c r="AMM55" s="13"/>
      <c r="AMN55" s="13"/>
      <c r="AMO55" s="13"/>
      <c r="AMP55" s="13"/>
      <c r="AMQ55" s="13"/>
      <c r="AMR55" s="13"/>
      <c r="AMS55" s="13"/>
      <c r="AMT55" s="13"/>
      <c r="AMU55" s="13"/>
      <c r="AMV55" s="13"/>
      <c r="AMW55" s="13"/>
      <c r="AMX55" s="13"/>
      <c r="AMY55" s="13"/>
      <c r="AMZ55" s="13"/>
      <c r="ANA55" s="13"/>
      <c r="ANB55" s="13"/>
      <c r="ANC55" s="13"/>
      <c r="AND55" s="13"/>
      <c r="ANE55" s="13"/>
      <c r="ANF55" s="13"/>
      <c r="ANG55" s="13"/>
      <c r="ANH55" s="13"/>
      <c r="ANI55" s="13"/>
      <c r="ANJ55" s="13"/>
      <c r="ANK55" s="13"/>
      <c r="ANL55" s="13"/>
      <c r="ANM55" s="13"/>
      <c r="ANN55" s="13"/>
      <c r="ANO55" s="13"/>
      <c r="ANP55" s="13"/>
      <c r="ANQ55" s="13"/>
      <c r="ANR55" s="13"/>
      <c r="ANS55" s="13"/>
      <c r="ANT55" s="13"/>
      <c r="ANU55" s="13"/>
      <c r="ANV55" s="13"/>
      <c r="ANW55" s="13"/>
      <c r="ANX55" s="13"/>
      <c r="ANY55" s="13"/>
      <c r="ANZ55" s="13"/>
      <c r="AOA55" s="13"/>
      <c r="AOB55" s="13"/>
      <c r="AOC55" s="13"/>
      <c r="AOD55" s="13"/>
      <c r="AOE55" s="13"/>
      <c r="AOF55" s="13"/>
      <c r="AOG55" s="13"/>
      <c r="AOH55" s="13"/>
      <c r="AOI55" s="13"/>
      <c r="AOJ55" s="13"/>
      <c r="AOK55" s="13"/>
      <c r="AOL55" s="13"/>
      <c r="AOM55" s="13"/>
      <c r="AON55" s="13"/>
      <c r="AOO55" s="13"/>
      <c r="AOP55" s="13"/>
      <c r="AOQ55" s="13"/>
      <c r="AOR55" s="13"/>
      <c r="AOS55" s="13"/>
      <c r="AOT55" s="13"/>
      <c r="AOU55" s="13"/>
      <c r="AOV55" s="13"/>
      <c r="AOW55" s="13"/>
      <c r="AOX55" s="13"/>
      <c r="AOY55" s="13"/>
      <c r="AOZ55" s="13"/>
      <c r="APA55" s="13"/>
      <c r="APB55" s="13"/>
      <c r="APC55" s="13"/>
      <c r="APD55" s="13"/>
      <c r="APE55" s="13"/>
      <c r="APF55" s="13"/>
      <c r="APG55" s="13"/>
      <c r="APH55" s="13"/>
      <c r="API55" s="13"/>
      <c r="APJ55" s="13"/>
      <c r="APK55" s="13"/>
      <c r="APL55" s="13"/>
      <c r="APM55" s="13"/>
      <c r="APN55" s="13"/>
      <c r="APO55" s="13"/>
      <c r="APP55" s="13"/>
      <c r="APQ55" s="13"/>
      <c r="APR55" s="13"/>
      <c r="APS55" s="13"/>
      <c r="APT55" s="13"/>
      <c r="APU55" s="13"/>
      <c r="APV55" s="13"/>
      <c r="APW55" s="13"/>
      <c r="APX55" s="13"/>
      <c r="APY55" s="13"/>
      <c r="APZ55" s="13"/>
      <c r="AQA55" s="13"/>
      <c r="AQB55" s="13"/>
      <c r="AQC55" s="13"/>
      <c r="AQD55" s="13"/>
      <c r="AQE55" s="13"/>
      <c r="AQF55" s="13"/>
      <c r="AQG55" s="13"/>
      <c r="AQH55" s="13"/>
      <c r="AQI55" s="13"/>
      <c r="AQJ55" s="13"/>
      <c r="AQK55" s="13"/>
      <c r="AQL55" s="13"/>
      <c r="AQM55" s="13"/>
      <c r="AQN55" s="13"/>
      <c r="AQO55" s="13"/>
      <c r="AQP55" s="13"/>
      <c r="AQQ55" s="13"/>
      <c r="AQR55" s="13"/>
      <c r="AQS55" s="13"/>
      <c r="AQT55" s="13"/>
      <c r="AQU55" s="13"/>
      <c r="AQV55" s="13"/>
      <c r="AQW55" s="13"/>
      <c r="AQX55" s="13"/>
      <c r="AQY55" s="13"/>
      <c r="AQZ55" s="13"/>
      <c r="ARA55" s="13"/>
      <c r="ARB55" s="13"/>
      <c r="ARC55" s="13"/>
      <c r="ARD55" s="13"/>
      <c r="ARE55" s="13"/>
      <c r="ARF55" s="13"/>
      <c r="ARG55" s="13"/>
      <c r="ARH55" s="13"/>
      <c r="ARI55" s="13"/>
      <c r="ARJ55" s="13"/>
      <c r="ARK55" s="13"/>
      <c r="ARL55" s="13"/>
      <c r="ARM55" s="13"/>
      <c r="ARN55" s="13"/>
      <c r="ARO55" s="13"/>
      <c r="ARP55" s="13"/>
      <c r="ARQ55" s="13"/>
      <c r="ARR55" s="13"/>
      <c r="ARS55" s="13"/>
      <c r="ART55" s="13"/>
      <c r="ARU55" s="13"/>
      <c r="ARV55" s="13"/>
      <c r="ARW55" s="13"/>
      <c r="ARX55" s="13"/>
      <c r="ARY55" s="13"/>
      <c r="ARZ55" s="13"/>
      <c r="ASA55" s="13"/>
      <c r="ASB55" s="13"/>
      <c r="ASC55" s="13"/>
      <c r="ASD55" s="13"/>
      <c r="ASE55" s="13"/>
      <c r="ASF55" s="13"/>
      <c r="ASG55" s="13"/>
      <c r="ASH55" s="13"/>
      <c r="ASI55" s="13"/>
      <c r="ASJ55" s="13"/>
      <c r="ASK55" s="13"/>
      <c r="ASL55" s="13"/>
      <c r="ASM55" s="13"/>
      <c r="ASN55" s="13"/>
      <c r="ASO55" s="13"/>
      <c r="ASP55" s="13"/>
      <c r="ASQ55" s="13"/>
      <c r="ASR55" s="13"/>
      <c r="ASS55" s="13"/>
      <c r="AST55" s="13"/>
      <c r="ASU55" s="13"/>
      <c r="ASV55" s="13"/>
      <c r="ASW55" s="13"/>
      <c r="ASX55" s="13"/>
      <c r="ASY55" s="13"/>
      <c r="ASZ55" s="13"/>
      <c r="ATA55" s="13"/>
      <c r="ATB55" s="13"/>
      <c r="ATC55" s="13"/>
      <c r="ATD55" s="13"/>
      <c r="ATE55" s="13"/>
      <c r="ATF55" s="13"/>
      <c r="ATG55" s="13"/>
      <c r="ATH55" s="13"/>
      <c r="ATI55" s="13"/>
      <c r="ATJ55" s="13"/>
      <c r="ATK55" s="13"/>
      <c r="ATL55" s="13"/>
      <c r="ATM55" s="13"/>
      <c r="ATN55" s="13"/>
      <c r="ATO55" s="13"/>
      <c r="ATP55" s="13"/>
      <c r="ATQ55" s="13"/>
      <c r="ATR55" s="13"/>
      <c r="ATS55" s="13"/>
      <c r="ATT55" s="13"/>
      <c r="ATU55" s="13"/>
      <c r="ATV55" s="13"/>
      <c r="ATW55" s="13"/>
      <c r="ATX55" s="13"/>
      <c r="ATY55" s="13"/>
      <c r="ATZ55" s="13"/>
      <c r="AUA55" s="13"/>
      <c r="AUB55" s="13"/>
      <c r="AUC55" s="13"/>
      <c r="AUD55" s="13"/>
      <c r="AUE55" s="13"/>
      <c r="AUF55" s="13"/>
      <c r="AUG55" s="13"/>
      <c r="AUH55" s="13"/>
      <c r="AUI55" s="13"/>
      <c r="AUJ55" s="13"/>
      <c r="AUK55" s="13"/>
      <c r="AUL55" s="13"/>
      <c r="AUM55" s="13"/>
      <c r="AUN55" s="13"/>
      <c r="AUO55" s="13"/>
      <c r="AUP55" s="13"/>
      <c r="AUQ55" s="13"/>
      <c r="AUR55" s="13"/>
      <c r="AUS55" s="13"/>
      <c r="AUT55" s="13"/>
      <c r="AUU55" s="13"/>
      <c r="AUV55" s="13"/>
      <c r="AUW55" s="13"/>
      <c r="AUX55" s="13"/>
      <c r="AUY55" s="13"/>
      <c r="AUZ55" s="13"/>
      <c r="AVA55" s="13"/>
      <c r="AVB55" s="13"/>
      <c r="AVC55" s="13"/>
      <c r="AVD55" s="13"/>
      <c r="AVE55" s="13"/>
      <c r="AVF55" s="13"/>
      <c r="AVG55" s="13"/>
      <c r="AVH55" s="13"/>
      <c r="AVI55" s="13"/>
      <c r="AVJ55" s="13"/>
      <c r="AVK55" s="13"/>
      <c r="AVL55" s="13"/>
      <c r="AVM55" s="13"/>
      <c r="AVN55" s="13"/>
      <c r="AVO55" s="13"/>
      <c r="AVP55" s="13"/>
      <c r="AVQ55" s="13"/>
      <c r="AVR55" s="13"/>
      <c r="AVS55" s="13"/>
      <c r="AVT55" s="13"/>
      <c r="AVU55" s="13"/>
      <c r="AVV55" s="13"/>
      <c r="AVW55" s="13"/>
      <c r="AVX55" s="13"/>
      <c r="AVY55" s="13"/>
      <c r="AVZ55" s="13"/>
      <c r="AWA55" s="13"/>
      <c r="AWB55" s="13"/>
      <c r="AWC55" s="13"/>
      <c r="AWD55" s="13"/>
      <c r="AWE55" s="13"/>
      <c r="AWF55" s="13"/>
      <c r="AWG55" s="13"/>
      <c r="AWH55" s="13"/>
      <c r="AWI55" s="13"/>
      <c r="AWJ55" s="13"/>
      <c r="AWK55" s="13"/>
      <c r="AWL55" s="13"/>
      <c r="AWM55" s="13"/>
      <c r="AWN55" s="13"/>
      <c r="AWO55" s="13"/>
      <c r="AWP55" s="13"/>
      <c r="AWQ55" s="13"/>
      <c r="AWR55" s="13"/>
      <c r="AWS55" s="13"/>
      <c r="AWT55" s="13"/>
      <c r="AWU55" s="13"/>
      <c r="AWV55" s="13"/>
      <c r="AWW55" s="13"/>
      <c r="AWX55" s="13"/>
      <c r="AWY55" s="13"/>
      <c r="AWZ55" s="13"/>
      <c r="AXA55" s="13"/>
      <c r="AXB55" s="13"/>
      <c r="AXC55" s="13"/>
      <c r="AXD55" s="13"/>
      <c r="AXE55" s="13"/>
      <c r="AXF55" s="13"/>
      <c r="AXG55" s="13"/>
      <c r="AXH55" s="13"/>
      <c r="AXI55" s="13"/>
      <c r="AXJ55" s="13"/>
      <c r="AXK55" s="13"/>
      <c r="AXL55" s="13"/>
      <c r="AXM55" s="13"/>
      <c r="AXN55" s="13"/>
      <c r="AXO55" s="13"/>
      <c r="AXP55" s="13"/>
      <c r="AXQ55" s="13"/>
      <c r="AXR55" s="13"/>
      <c r="AXS55" s="13"/>
      <c r="AXT55" s="13"/>
      <c r="AXU55" s="13"/>
      <c r="AXV55" s="13"/>
      <c r="AXW55" s="13"/>
      <c r="AXX55" s="13"/>
      <c r="AXY55" s="13"/>
      <c r="AXZ55" s="13"/>
      <c r="AYA55" s="13"/>
      <c r="AYB55" s="13"/>
      <c r="AYC55" s="13"/>
      <c r="AYD55" s="13"/>
      <c r="AYE55" s="13"/>
      <c r="AYF55" s="13"/>
      <c r="AYG55" s="13"/>
      <c r="AYH55" s="13"/>
      <c r="AYI55" s="13"/>
      <c r="AYJ55" s="13"/>
      <c r="AYK55" s="13"/>
      <c r="AYL55" s="13"/>
      <c r="AYM55" s="13"/>
      <c r="AYN55" s="13"/>
      <c r="AYO55" s="13"/>
      <c r="AYP55" s="13"/>
      <c r="AYQ55" s="13"/>
      <c r="AYR55" s="13"/>
      <c r="AYS55" s="13"/>
      <c r="AYT55" s="13"/>
      <c r="AYU55" s="13"/>
      <c r="AYV55" s="13"/>
      <c r="AYW55" s="13"/>
      <c r="AYX55" s="13"/>
      <c r="AYY55" s="13"/>
      <c r="AYZ55" s="13"/>
      <c r="AZA55" s="13"/>
      <c r="AZB55" s="13"/>
      <c r="AZC55" s="13"/>
      <c r="AZD55" s="13"/>
      <c r="AZE55" s="13"/>
      <c r="AZF55" s="13"/>
      <c r="AZG55" s="13"/>
      <c r="AZH55" s="13"/>
      <c r="AZI55" s="13"/>
      <c r="AZJ55" s="13"/>
      <c r="AZK55" s="13"/>
      <c r="AZL55" s="13"/>
      <c r="AZM55" s="13"/>
      <c r="AZN55" s="13"/>
      <c r="AZO55" s="13"/>
      <c r="AZP55" s="13"/>
      <c r="AZQ55" s="13"/>
      <c r="AZR55" s="13"/>
      <c r="AZS55" s="13"/>
      <c r="AZT55" s="13"/>
      <c r="AZU55" s="13"/>
      <c r="AZV55" s="13"/>
      <c r="AZW55" s="13"/>
      <c r="AZX55" s="13"/>
      <c r="AZY55" s="13"/>
      <c r="AZZ55" s="13"/>
      <c r="BAA55" s="13"/>
      <c r="BAB55" s="13"/>
      <c r="BAC55" s="13"/>
      <c r="BAD55" s="13"/>
      <c r="BAE55" s="13"/>
      <c r="BAF55" s="13"/>
      <c r="BAG55" s="13"/>
      <c r="BAH55" s="13"/>
      <c r="BAI55" s="13"/>
      <c r="BAJ55" s="13"/>
      <c r="BAK55" s="13"/>
      <c r="BAL55" s="13"/>
      <c r="BAM55" s="13"/>
      <c r="BAN55" s="13"/>
      <c r="BAO55" s="13"/>
      <c r="BAP55" s="13"/>
      <c r="BAQ55" s="13"/>
      <c r="BAR55" s="13"/>
      <c r="BAS55" s="13"/>
      <c r="BAT55" s="13"/>
      <c r="BAU55" s="13"/>
      <c r="BAV55" s="13"/>
      <c r="BAW55" s="13"/>
      <c r="BAX55" s="13"/>
      <c r="BAY55" s="13"/>
      <c r="BAZ55" s="13"/>
      <c r="BBA55" s="13"/>
      <c r="BBB55" s="13"/>
      <c r="BBC55" s="13"/>
      <c r="BBD55" s="13"/>
      <c r="BBE55" s="13"/>
      <c r="BBF55" s="13"/>
      <c r="BBG55" s="13"/>
      <c r="BBH55" s="13"/>
      <c r="BBI55" s="13"/>
      <c r="BBJ55" s="13"/>
      <c r="BBK55" s="13"/>
      <c r="BBL55" s="13"/>
      <c r="BBM55" s="13"/>
      <c r="BBN55" s="13"/>
      <c r="BBO55" s="13"/>
      <c r="BBP55" s="13"/>
      <c r="BBQ55" s="13"/>
      <c r="BBR55" s="13"/>
      <c r="BBS55" s="13"/>
      <c r="BBT55" s="13"/>
      <c r="BBU55" s="13"/>
      <c r="BBV55" s="13"/>
      <c r="BBW55" s="13"/>
      <c r="BBX55" s="13"/>
      <c r="BBY55" s="13"/>
      <c r="BBZ55" s="13"/>
      <c r="BCA55" s="13"/>
      <c r="BCB55" s="13"/>
      <c r="BCC55" s="13"/>
      <c r="BCD55" s="13"/>
      <c r="BCE55" s="13"/>
      <c r="BCF55" s="13"/>
      <c r="BCG55" s="13"/>
      <c r="BCH55" s="13"/>
      <c r="BCI55" s="13"/>
      <c r="BCJ55" s="13"/>
      <c r="BCK55" s="13"/>
      <c r="BCL55" s="13"/>
      <c r="BCM55" s="13"/>
      <c r="BCN55" s="13"/>
      <c r="BCO55" s="13"/>
      <c r="BCP55" s="13"/>
      <c r="BCQ55" s="13"/>
      <c r="BCR55" s="13"/>
      <c r="BCS55" s="13"/>
      <c r="BCT55" s="13"/>
      <c r="BCU55" s="13"/>
      <c r="BCV55" s="13"/>
      <c r="BCW55" s="13"/>
      <c r="BCX55" s="13"/>
      <c r="BCY55" s="13"/>
      <c r="BCZ55" s="13"/>
      <c r="BDA55" s="13"/>
      <c r="BDB55" s="13"/>
      <c r="BDC55" s="13"/>
      <c r="BDD55" s="13"/>
      <c r="BDE55" s="13"/>
      <c r="BDF55" s="13"/>
      <c r="BDG55" s="13"/>
      <c r="BDH55" s="13"/>
      <c r="BDI55" s="13"/>
      <c r="BDJ55" s="13"/>
      <c r="BDK55" s="13"/>
      <c r="BDL55" s="13"/>
      <c r="BDM55" s="13"/>
      <c r="BDN55" s="13"/>
      <c r="BDO55" s="13"/>
      <c r="BDP55" s="13"/>
      <c r="BDQ55" s="13"/>
      <c r="BDR55" s="13"/>
      <c r="BDS55" s="13"/>
      <c r="BDT55" s="13"/>
      <c r="BDU55" s="13"/>
      <c r="BDV55" s="13"/>
      <c r="BDW55" s="13"/>
      <c r="BDX55" s="13"/>
      <c r="BDY55" s="13"/>
      <c r="BDZ55" s="13"/>
      <c r="BEA55" s="13"/>
      <c r="BEB55" s="13"/>
      <c r="BEC55" s="13"/>
      <c r="BED55" s="13"/>
      <c r="BEE55" s="13"/>
      <c r="BEF55" s="13"/>
      <c r="BEG55" s="13"/>
      <c r="BEH55" s="13"/>
      <c r="BEI55" s="13"/>
      <c r="BEJ55" s="13"/>
      <c r="BEK55" s="13"/>
      <c r="BEL55" s="13"/>
      <c r="BEM55" s="13"/>
      <c r="BEN55" s="13"/>
      <c r="BEO55" s="13"/>
      <c r="BEP55" s="13"/>
      <c r="BEQ55" s="13"/>
      <c r="BER55" s="13"/>
      <c r="BES55" s="13"/>
      <c r="BET55" s="13"/>
      <c r="BEU55" s="13"/>
      <c r="BEV55" s="13"/>
      <c r="BEW55" s="13"/>
      <c r="BEX55" s="13"/>
      <c r="BEY55" s="13"/>
      <c r="BEZ55" s="13"/>
      <c r="BFA55" s="13"/>
      <c r="BFB55" s="13"/>
      <c r="BFC55" s="13"/>
      <c r="BFD55" s="13"/>
      <c r="BFE55" s="13"/>
      <c r="BFF55" s="13"/>
      <c r="BFG55" s="13"/>
      <c r="BFH55" s="13"/>
      <c r="BFI55" s="13"/>
      <c r="BFJ55" s="13"/>
      <c r="BFK55" s="13"/>
      <c r="BFL55" s="13"/>
      <c r="BFM55" s="13"/>
      <c r="BFN55" s="13"/>
      <c r="BFO55" s="13"/>
      <c r="BFP55" s="13"/>
      <c r="BFQ55" s="13"/>
      <c r="BFR55" s="13"/>
      <c r="BFS55" s="13"/>
      <c r="BFT55" s="13"/>
      <c r="BFU55" s="13"/>
      <c r="BFV55" s="13"/>
      <c r="BFW55" s="13"/>
      <c r="BFX55" s="13"/>
      <c r="BFY55" s="13"/>
      <c r="BFZ55" s="13"/>
      <c r="BGA55" s="13"/>
      <c r="BGB55" s="13"/>
      <c r="BGC55" s="13"/>
      <c r="BGD55" s="13"/>
      <c r="BGE55" s="13"/>
      <c r="BGF55" s="13"/>
      <c r="BGG55" s="13"/>
      <c r="BGH55" s="13"/>
      <c r="BGI55" s="13"/>
      <c r="BGJ55" s="13"/>
      <c r="BGK55" s="13"/>
      <c r="BGL55" s="13"/>
      <c r="BGM55" s="13"/>
      <c r="BGN55" s="13"/>
      <c r="BGO55" s="13"/>
      <c r="BGP55" s="13"/>
      <c r="BGQ55" s="13"/>
      <c r="BGR55" s="13"/>
      <c r="BGS55" s="13"/>
      <c r="BGT55" s="13"/>
      <c r="BGU55" s="13"/>
      <c r="BGV55" s="13"/>
      <c r="BGW55" s="13"/>
      <c r="BGX55" s="13"/>
      <c r="BGY55" s="13"/>
      <c r="BGZ55" s="13"/>
      <c r="BHA55" s="13"/>
      <c r="BHB55" s="13"/>
      <c r="BHC55" s="13"/>
      <c r="BHD55" s="13"/>
      <c r="BHE55" s="13"/>
      <c r="BHF55" s="13"/>
      <c r="BHG55" s="13"/>
      <c r="BHH55" s="13"/>
      <c r="BHI55" s="13"/>
      <c r="BHJ55" s="13"/>
      <c r="BHK55" s="13"/>
      <c r="BHL55" s="13"/>
      <c r="BHM55" s="13"/>
      <c r="BHN55" s="13"/>
      <c r="BHO55" s="13"/>
      <c r="BHP55" s="13"/>
      <c r="BHQ55" s="13"/>
      <c r="BHR55" s="13"/>
      <c r="BHS55" s="13"/>
      <c r="BHT55" s="13"/>
      <c r="BHU55" s="13"/>
      <c r="BHV55" s="13"/>
      <c r="BHW55" s="13"/>
      <c r="BHX55" s="13"/>
      <c r="BHY55" s="13"/>
      <c r="BHZ55" s="13"/>
      <c r="BIA55" s="13"/>
      <c r="BIB55" s="13"/>
      <c r="BIC55" s="13"/>
      <c r="BID55" s="13"/>
      <c r="BIE55" s="13"/>
      <c r="BIF55" s="13"/>
      <c r="BIG55" s="13"/>
      <c r="BIH55" s="13"/>
      <c r="BII55" s="13"/>
      <c r="BIJ55" s="13"/>
      <c r="BIK55" s="13"/>
      <c r="BIL55" s="13"/>
      <c r="BIM55" s="13"/>
      <c r="BIN55" s="13"/>
      <c r="BIO55" s="13"/>
      <c r="BIP55" s="13"/>
      <c r="BIQ55" s="13"/>
      <c r="BIR55" s="13"/>
      <c r="BIS55" s="13"/>
      <c r="BIT55" s="13"/>
      <c r="BIU55" s="13"/>
      <c r="BIV55" s="13"/>
      <c r="BIW55" s="13"/>
      <c r="BIX55" s="13"/>
      <c r="BIY55" s="13"/>
      <c r="BIZ55" s="13"/>
      <c r="BJA55" s="13"/>
      <c r="BJB55" s="13"/>
      <c r="BJC55" s="13"/>
      <c r="BJD55" s="13"/>
      <c r="BJE55" s="13"/>
      <c r="BJF55" s="13"/>
      <c r="BJG55" s="13"/>
      <c r="BJH55" s="13"/>
      <c r="BJI55" s="13"/>
      <c r="BJJ55" s="13"/>
      <c r="BJK55" s="13"/>
      <c r="BJL55" s="13"/>
      <c r="BJM55" s="13"/>
      <c r="BJN55" s="13"/>
      <c r="BJO55" s="13"/>
      <c r="BJP55" s="13"/>
      <c r="BJQ55" s="13"/>
      <c r="BJR55" s="13"/>
      <c r="BJS55" s="13"/>
      <c r="BJT55" s="13"/>
      <c r="BJU55" s="13"/>
      <c r="BJV55" s="13"/>
      <c r="BJW55" s="13"/>
      <c r="BJX55" s="13"/>
      <c r="BJY55" s="13"/>
      <c r="BJZ55" s="13"/>
      <c r="BKA55" s="13"/>
      <c r="BKB55" s="13"/>
      <c r="BKC55" s="13"/>
      <c r="BKD55" s="13"/>
      <c r="BKE55" s="13"/>
      <c r="BKF55" s="13"/>
      <c r="BKG55" s="13"/>
      <c r="BKH55" s="13"/>
      <c r="BKI55" s="13"/>
      <c r="BKJ55" s="13"/>
      <c r="BKK55" s="13"/>
      <c r="BKL55" s="13"/>
      <c r="BKM55" s="13"/>
      <c r="BKN55" s="13"/>
      <c r="BKO55" s="13"/>
      <c r="BKP55" s="13"/>
      <c r="BKQ55" s="13"/>
      <c r="BKR55" s="13"/>
      <c r="BKS55" s="13"/>
      <c r="BKT55" s="13"/>
      <c r="BKU55" s="13"/>
      <c r="BKV55" s="13"/>
      <c r="BKW55" s="13"/>
      <c r="BKX55" s="13"/>
      <c r="BKY55" s="13"/>
      <c r="BKZ55" s="13"/>
      <c r="BLA55" s="13"/>
      <c r="BLB55" s="13"/>
      <c r="BLC55" s="13"/>
      <c r="BLD55" s="13"/>
      <c r="BLE55" s="13"/>
      <c r="BLF55" s="13"/>
      <c r="BLG55" s="13"/>
      <c r="BLH55" s="13"/>
      <c r="BLI55" s="13"/>
      <c r="BLJ55" s="13"/>
      <c r="BLK55" s="13"/>
      <c r="BLL55" s="13"/>
      <c r="BLM55" s="13"/>
      <c r="BLN55" s="13"/>
      <c r="BLO55" s="13"/>
      <c r="BLP55" s="13"/>
      <c r="BLQ55" s="13"/>
      <c r="BLR55" s="13"/>
      <c r="BLS55" s="13"/>
      <c r="BLT55" s="13"/>
      <c r="BLU55" s="13"/>
      <c r="BLV55" s="13"/>
      <c r="BLW55" s="13"/>
      <c r="BLX55" s="13"/>
      <c r="BLY55" s="13"/>
      <c r="BLZ55" s="13"/>
      <c r="BMA55" s="13"/>
      <c r="BMB55" s="13"/>
      <c r="BMC55" s="13"/>
      <c r="BMD55" s="13"/>
      <c r="BME55" s="13"/>
      <c r="BMF55" s="13"/>
      <c r="BMG55" s="13"/>
      <c r="BMH55" s="13"/>
      <c r="BMI55" s="13"/>
      <c r="BMJ55" s="13"/>
      <c r="BMK55" s="13"/>
      <c r="BML55" s="13"/>
      <c r="BMM55" s="13"/>
      <c r="BMN55" s="13"/>
      <c r="BMO55" s="13"/>
      <c r="BMP55" s="13"/>
      <c r="BMQ55" s="13"/>
      <c r="BMR55" s="13"/>
      <c r="BMS55" s="13"/>
      <c r="BMT55" s="13"/>
      <c r="BMU55" s="13"/>
      <c r="BMV55" s="13"/>
      <c r="BMW55" s="13"/>
      <c r="BMX55" s="13"/>
      <c r="BMY55" s="13"/>
      <c r="BMZ55" s="13"/>
      <c r="BNA55" s="13"/>
      <c r="BNB55" s="13"/>
      <c r="BNC55" s="13"/>
      <c r="BND55" s="13"/>
      <c r="BNE55" s="13"/>
      <c r="BNF55" s="13"/>
      <c r="BNG55" s="13"/>
      <c r="BNH55" s="13"/>
      <c r="BNI55" s="13"/>
      <c r="BNJ55" s="13"/>
      <c r="BNK55" s="13"/>
      <c r="BNL55" s="13"/>
      <c r="BNM55" s="13"/>
      <c r="BNN55" s="13"/>
      <c r="BNO55" s="13"/>
      <c r="BNP55" s="13"/>
      <c r="BNQ55" s="13"/>
      <c r="BNR55" s="13"/>
      <c r="BNS55" s="13"/>
      <c r="BNT55" s="13"/>
      <c r="BNU55" s="13"/>
      <c r="BNV55" s="13"/>
      <c r="BNW55" s="13"/>
      <c r="BNX55" s="13"/>
      <c r="BNY55" s="13"/>
      <c r="BNZ55" s="13"/>
      <c r="BOA55" s="13"/>
      <c r="BOB55" s="13"/>
      <c r="BOC55" s="13"/>
      <c r="BOD55" s="13"/>
      <c r="BOE55" s="13"/>
      <c r="BOF55" s="13"/>
      <c r="BOG55" s="13"/>
      <c r="BOH55" s="13"/>
      <c r="BOI55" s="13"/>
      <c r="BOJ55" s="13"/>
      <c r="BOK55" s="13"/>
      <c r="BOL55" s="13"/>
      <c r="BOM55" s="13"/>
      <c r="BON55" s="13"/>
      <c r="BOO55" s="13"/>
      <c r="BOP55" s="13"/>
      <c r="BOQ55" s="13"/>
      <c r="BOR55" s="13"/>
      <c r="BOS55" s="13"/>
      <c r="BOT55" s="13"/>
      <c r="BOU55" s="13"/>
      <c r="BOV55" s="13"/>
      <c r="BOW55" s="13"/>
      <c r="BOX55" s="13"/>
      <c r="BOY55" s="13"/>
      <c r="BOZ55" s="13"/>
      <c r="BPA55" s="13"/>
      <c r="BPB55" s="13"/>
      <c r="BPC55" s="13"/>
      <c r="BPD55" s="13"/>
      <c r="BPE55" s="13"/>
      <c r="BPF55" s="13"/>
      <c r="BPG55" s="13"/>
      <c r="BPH55" s="13"/>
      <c r="BPI55" s="13"/>
      <c r="BPJ55" s="13"/>
      <c r="BPK55" s="13"/>
      <c r="BPL55" s="13"/>
      <c r="BPM55" s="13"/>
      <c r="BPN55" s="13"/>
      <c r="BPO55" s="13"/>
      <c r="BPP55" s="13"/>
      <c r="BPQ55" s="13"/>
      <c r="BPR55" s="13"/>
      <c r="BPS55" s="13"/>
      <c r="BPT55" s="13"/>
      <c r="BPU55" s="13"/>
      <c r="BPV55" s="13"/>
      <c r="BPW55" s="13"/>
      <c r="BPX55" s="13"/>
      <c r="BPY55" s="13"/>
      <c r="BPZ55" s="13"/>
      <c r="BQA55" s="13"/>
      <c r="BQB55" s="13"/>
      <c r="BQC55" s="13"/>
      <c r="BQD55" s="13"/>
      <c r="BQE55" s="13"/>
      <c r="BQF55" s="13"/>
      <c r="BQG55" s="13"/>
      <c r="BQH55" s="13"/>
      <c r="BQI55" s="13"/>
      <c r="BQJ55" s="13"/>
      <c r="BQK55" s="13"/>
      <c r="BQL55" s="13"/>
      <c r="BQM55" s="13"/>
      <c r="BQN55" s="13"/>
      <c r="BQO55" s="13"/>
      <c r="BQP55" s="13"/>
      <c r="BQQ55" s="13"/>
      <c r="BQR55" s="13"/>
      <c r="BQS55" s="13"/>
      <c r="BQT55" s="13"/>
      <c r="BQU55" s="13"/>
      <c r="BQV55" s="13"/>
      <c r="BQW55" s="13"/>
      <c r="BQX55" s="13"/>
      <c r="BQY55" s="13"/>
      <c r="BQZ55" s="13"/>
      <c r="BRA55" s="13"/>
      <c r="BRB55" s="13"/>
      <c r="BRC55" s="13"/>
      <c r="BRD55" s="13"/>
      <c r="BRE55" s="13"/>
      <c r="BRF55" s="13"/>
      <c r="BRG55" s="13"/>
      <c r="BRH55" s="13"/>
      <c r="BRI55" s="13"/>
      <c r="BRJ55" s="13"/>
      <c r="BRK55" s="13"/>
      <c r="BRL55" s="13"/>
      <c r="BRM55" s="13"/>
      <c r="BRN55" s="13"/>
      <c r="BRO55" s="13"/>
      <c r="BRP55" s="13"/>
      <c r="BRQ55" s="13"/>
      <c r="BRR55" s="13"/>
      <c r="BRS55" s="13"/>
      <c r="BRT55" s="13"/>
      <c r="BRU55" s="13"/>
      <c r="BRV55" s="13"/>
      <c r="BRW55" s="13"/>
      <c r="BRX55" s="13"/>
      <c r="BRY55" s="13"/>
      <c r="BRZ55" s="13"/>
      <c r="BSA55" s="13"/>
      <c r="BSB55" s="13"/>
      <c r="BSC55" s="13"/>
      <c r="BSD55" s="13"/>
      <c r="BSE55" s="13"/>
      <c r="BSF55" s="13"/>
      <c r="BSG55" s="13"/>
      <c r="BSH55" s="13"/>
      <c r="BSI55" s="13"/>
      <c r="BSJ55" s="13"/>
      <c r="BSK55" s="13"/>
      <c r="BSL55" s="13"/>
      <c r="BSM55" s="13"/>
      <c r="BSN55" s="13"/>
      <c r="BSO55" s="13"/>
      <c r="BSP55" s="13"/>
      <c r="BSQ55" s="13"/>
      <c r="BSR55" s="13"/>
      <c r="BSS55" s="13"/>
      <c r="BST55" s="13"/>
      <c r="BSU55" s="13"/>
      <c r="BSV55" s="13"/>
      <c r="BSW55" s="13"/>
      <c r="BSX55" s="13"/>
      <c r="BSY55" s="13"/>
      <c r="BSZ55" s="13"/>
      <c r="BTA55" s="13"/>
      <c r="BTB55" s="13"/>
      <c r="BTC55" s="13"/>
      <c r="BTD55" s="13"/>
      <c r="BTE55" s="13"/>
      <c r="BTF55" s="13"/>
      <c r="BTG55" s="13"/>
      <c r="BTH55" s="13"/>
      <c r="BTI55" s="13"/>
      <c r="BTJ55" s="13"/>
      <c r="BTK55" s="13"/>
      <c r="BTL55" s="13"/>
      <c r="BTM55" s="13"/>
      <c r="BTN55" s="13"/>
      <c r="BTO55" s="13"/>
      <c r="BTP55" s="13"/>
      <c r="BTQ55" s="13"/>
      <c r="BTR55" s="13"/>
      <c r="BTS55" s="13"/>
      <c r="BTT55" s="13"/>
      <c r="BTU55" s="13"/>
      <c r="BTV55" s="13"/>
      <c r="BTW55" s="13"/>
      <c r="BTX55" s="13"/>
      <c r="BTY55" s="13"/>
      <c r="BTZ55" s="13"/>
      <c r="BUA55" s="13"/>
      <c r="BUB55" s="13"/>
      <c r="BUC55" s="13"/>
      <c r="BUD55" s="13"/>
      <c r="BUE55" s="13"/>
      <c r="BUF55" s="13"/>
      <c r="BUG55" s="13"/>
      <c r="BUH55" s="13"/>
      <c r="BUI55" s="13"/>
      <c r="BUJ55" s="13"/>
      <c r="BUK55" s="13"/>
      <c r="BUL55" s="13"/>
      <c r="BUM55" s="13"/>
      <c r="BUN55" s="13"/>
      <c r="BUO55" s="13"/>
      <c r="BUP55" s="13"/>
      <c r="BUQ55" s="13"/>
      <c r="BUR55" s="13"/>
      <c r="BUS55" s="13"/>
      <c r="BUT55" s="13"/>
      <c r="BUU55" s="13"/>
      <c r="BUV55" s="13"/>
      <c r="BUW55" s="13"/>
      <c r="BUX55" s="13"/>
      <c r="BUY55" s="13"/>
      <c r="BUZ55" s="13"/>
      <c r="BVA55" s="13"/>
      <c r="BVB55" s="13"/>
      <c r="BVC55" s="13"/>
      <c r="BVD55" s="13"/>
      <c r="BVE55" s="13"/>
      <c r="BVF55" s="13"/>
      <c r="BVG55" s="13"/>
      <c r="BVH55" s="13"/>
      <c r="BVI55" s="13"/>
      <c r="BVJ55" s="13"/>
      <c r="BVK55" s="13"/>
      <c r="BVL55" s="13"/>
      <c r="BVM55" s="13"/>
      <c r="BVN55" s="13"/>
      <c r="BVO55" s="13"/>
      <c r="BVP55" s="13"/>
      <c r="BVQ55" s="13"/>
      <c r="BVR55" s="13"/>
      <c r="BVS55" s="13"/>
      <c r="BVT55" s="13"/>
      <c r="BVU55" s="13"/>
      <c r="BVV55" s="13"/>
      <c r="BVW55" s="13"/>
      <c r="BVX55" s="13"/>
      <c r="BVY55" s="13"/>
      <c r="BVZ55" s="13"/>
      <c r="BWA55" s="13"/>
      <c r="BWB55" s="13"/>
      <c r="BWC55" s="13"/>
      <c r="BWD55" s="13"/>
      <c r="BWE55" s="13"/>
      <c r="BWF55" s="13"/>
      <c r="BWG55" s="13"/>
      <c r="BWH55" s="13"/>
      <c r="BWI55" s="13"/>
      <c r="BWJ55" s="13"/>
      <c r="BWK55" s="13"/>
      <c r="BWL55" s="13"/>
      <c r="BWM55" s="13"/>
      <c r="BWN55" s="13"/>
      <c r="BWO55" s="13"/>
      <c r="BWP55" s="13"/>
      <c r="BWQ55" s="13"/>
      <c r="BWR55" s="13"/>
      <c r="BWS55" s="13"/>
      <c r="BWT55" s="13"/>
      <c r="BWU55" s="13"/>
      <c r="BWV55" s="13"/>
      <c r="BWW55" s="13"/>
      <c r="BWX55" s="13"/>
      <c r="BWY55" s="13"/>
      <c r="BWZ55" s="13"/>
      <c r="BXA55" s="13"/>
      <c r="BXB55" s="13"/>
      <c r="BXC55" s="13"/>
      <c r="BXD55" s="13"/>
      <c r="BXE55" s="13"/>
      <c r="BXF55" s="13"/>
      <c r="BXG55" s="13"/>
      <c r="BXH55" s="13"/>
      <c r="BXI55" s="13"/>
      <c r="BXJ55" s="13"/>
      <c r="BXK55" s="13"/>
      <c r="BXL55" s="13"/>
      <c r="BXM55" s="13"/>
      <c r="BXN55" s="13"/>
      <c r="BXO55" s="13"/>
      <c r="BXP55" s="13"/>
      <c r="BXQ55" s="13"/>
      <c r="BXR55" s="13"/>
      <c r="BXS55" s="13"/>
      <c r="BXT55" s="13"/>
      <c r="BXU55" s="13"/>
      <c r="BXV55" s="13"/>
      <c r="BXW55" s="13"/>
      <c r="BXX55" s="13"/>
      <c r="BXY55" s="13"/>
      <c r="BXZ55" s="13"/>
      <c r="BYA55" s="13"/>
      <c r="BYB55" s="13"/>
      <c r="BYC55" s="13"/>
      <c r="BYD55" s="13"/>
      <c r="BYE55" s="13"/>
      <c r="BYF55" s="13"/>
      <c r="BYG55" s="13"/>
      <c r="BYH55" s="13"/>
      <c r="BYI55" s="13"/>
      <c r="BYJ55" s="13"/>
      <c r="BYK55" s="13"/>
      <c r="BYL55" s="13"/>
      <c r="BYM55" s="13"/>
      <c r="BYN55" s="13"/>
      <c r="BYO55" s="13"/>
      <c r="BYP55" s="13"/>
      <c r="BYQ55" s="13"/>
      <c r="BYR55" s="13"/>
      <c r="BYS55" s="13"/>
      <c r="BYT55" s="13"/>
      <c r="BYU55" s="13"/>
      <c r="BYV55" s="13"/>
      <c r="BYW55" s="13"/>
      <c r="BYX55" s="13"/>
      <c r="BYY55" s="13"/>
      <c r="BYZ55" s="13"/>
      <c r="BZA55" s="13"/>
      <c r="BZB55" s="13"/>
      <c r="BZC55" s="13"/>
      <c r="BZD55" s="13"/>
      <c r="BZE55" s="13"/>
      <c r="BZF55" s="13"/>
      <c r="BZG55" s="13"/>
      <c r="BZH55" s="13"/>
      <c r="BZI55" s="13"/>
      <c r="BZJ55" s="13"/>
      <c r="BZK55" s="13"/>
      <c r="BZL55" s="13"/>
      <c r="BZM55" s="13"/>
      <c r="BZN55" s="13"/>
      <c r="BZO55" s="13"/>
      <c r="BZP55" s="13"/>
      <c r="BZQ55" s="13"/>
      <c r="BZR55" s="13"/>
      <c r="BZS55" s="13"/>
      <c r="BZT55" s="13"/>
      <c r="BZU55" s="13"/>
      <c r="BZV55" s="13"/>
      <c r="BZW55" s="13"/>
      <c r="BZX55" s="13"/>
      <c r="BZY55" s="13"/>
      <c r="BZZ55" s="13"/>
      <c r="CAA55" s="13"/>
      <c r="CAB55" s="13"/>
      <c r="CAC55" s="13"/>
      <c r="CAD55" s="13"/>
      <c r="CAE55" s="13"/>
      <c r="CAF55" s="13"/>
      <c r="CAG55" s="13"/>
      <c r="CAH55" s="13"/>
      <c r="CAI55" s="13"/>
      <c r="CAJ55" s="13"/>
      <c r="CAK55" s="13"/>
      <c r="CAL55" s="13"/>
      <c r="CAM55" s="13"/>
      <c r="CAN55" s="13"/>
      <c r="CAO55" s="13"/>
      <c r="CAP55" s="13"/>
      <c r="CAQ55" s="13"/>
      <c r="CAR55" s="13"/>
      <c r="CAS55" s="13"/>
      <c r="CAT55" s="13"/>
      <c r="CAU55" s="13"/>
      <c r="CAV55" s="13"/>
      <c r="CAW55" s="13"/>
      <c r="CAX55" s="13"/>
      <c r="CAY55" s="13"/>
      <c r="CAZ55" s="13"/>
      <c r="CBA55" s="13"/>
      <c r="CBB55" s="13"/>
      <c r="CBC55" s="13"/>
      <c r="CBD55" s="13"/>
      <c r="CBE55" s="13"/>
      <c r="CBF55" s="13"/>
      <c r="CBG55" s="13"/>
      <c r="CBH55" s="13"/>
      <c r="CBI55" s="13"/>
      <c r="CBJ55" s="13"/>
      <c r="CBK55" s="13"/>
      <c r="CBL55" s="13"/>
      <c r="CBM55" s="13"/>
      <c r="CBN55" s="13"/>
      <c r="CBO55" s="13"/>
      <c r="CBP55" s="13"/>
      <c r="CBQ55" s="13"/>
      <c r="CBR55" s="13"/>
      <c r="CBS55" s="13"/>
      <c r="CBT55" s="13"/>
      <c r="CBU55" s="13"/>
      <c r="CBV55" s="13"/>
      <c r="CBW55" s="13"/>
      <c r="CBX55" s="13"/>
      <c r="CBY55" s="13"/>
      <c r="CBZ55" s="13"/>
      <c r="CCA55" s="13"/>
      <c r="CCB55" s="13"/>
      <c r="CCC55" s="13"/>
      <c r="CCD55" s="13"/>
      <c r="CCE55" s="13"/>
      <c r="CCF55" s="13"/>
      <c r="CCG55" s="13"/>
      <c r="CCH55" s="13"/>
      <c r="CCI55" s="13"/>
      <c r="CCJ55" s="13"/>
      <c r="CCK55" s="13"/>
      <c r="CCL55" s="13"/>
      <c r="CCM55" s="13"/>
      <c r="CCN55" s="13"/>
      <c r="CCO55" s="13"/>
      <c r="CCP55" s="13"/>
      <c r="CCQ55" s="13"/>
      <c r="CCR55" s="13"/>
      <c r="CCS55" s="13"/>
      <c r="CCT55" s="13"/>
      <c r="CCU55" s="13"/>
      <c r="CCV55" s="13"/>
      <c r="CCW55" s="13"/>
      <c r="CCX55" s="13"/>
      <c r="CCY55" s="13"/>
      <c r="CCZ55" s="13"/>
      <c r="CDA55" s="13"/>
      <c r="CDB55" s="13"/>
      <c r="CDC55" s="13"/>
      <c r="CDD55" s="13"/>
      <c r="CDE55" s="13"/>
      <c r="CDF55" s="13"/>
      <c r="CDG55" s="13"/>
      <c r="CDH55" s="13"/>
      <c r="CDI55" s="13"/>
      <c r="CDJ55" s="13"/>
      <c r="CDK55" s="13"/>
      <c r="CDL55" s="13"/>
      <c r="CDM55" s="13"/>
      <c r="CDN55" s="13"/>
      <c r="CDO55" s="13"/>
      <c r="CDP55" s="13"/>
      <c r="CDQ55" s="13"/>
      <c r="CDR55" s="13"/>
      <c r="CDS55" s="13"/>
      <c r="CDT55" s="13"/>
      <c r="CDU55" s="13"/>
      <c r="CDV55" s="13"/>
      <c r="CDW55" s="13"/>
      <c r="CDX55" s="13"/>
      <c r="CDY55" s="13"/>
      <c r="CDZ55" s="13"/>
      <c r="CEA55" s="13"/>
      <c r="CEB55" s="13"/>
      <c r="CEC55" s="13"/>
      <c r="CED55" s="13"/>
      <c r="CEE55" s="13"/>
      <c r="CEF55" s="13"/>
      <c r="CEG55" s="13"/>
      <c r="CEH55" s="13"/>
      <c r="CEI55" s="13"/>
      <c r="CEJ55" s="13"/>
      <c r="CEK55" s="13"/>
      <c r="CEL55" s="13"/>
      <c r="CEM55" s="13"/>
      <c r="CEN55" s="13"/>
      <c r="CEO55" s="13"/>
      <c r="CEP55" s="13"/>
      <c r="CEQ55" s="13"/>
      <c r="CER55" s="13"/>
      <c r="CES55" s="13"/>
      <c r="CET55" s="13"/>
      <c r="CEU55" s="13"/>
      <c r="CEV55" s="13"/>
      <c r="CEW55" s="13"/>
      <c r="CEX55" s="13"/>
      <c r="CEY55" s="13"/>
      <c r="CEZ55" s="13"/>
      <c r="CFA55" s="13"/>
      <c r="CFB55" s="13"/>
      <c r="CFC55" s="13"/>
      <c r="CFD55" s="13"/>
      <c r="CFE55" s="13"/>
      <c r="CFF55" s="13"/>
      <c r="CFG55" s="13"/>
      <c r="CFH55" s="13"/>
      <c r="CFI55" s="13"/>
      <c r="CFJ55" s="13"/>
      <c r="CFK55" s="13"/>
      <c r="CFL55" s="13"/>
      <c r="CFM55" s="13"/>
      <c r="CFN55" s="13"/>
      <c r="CFO55" s="13"/>
      <c r="CFP55" s="13"/>
      <c r="CFQ55" s="13"/>
      <c r="CFR55" s="13"/>
      <c r="CFS55" s="13"/>
      <c r="CFT55" s="13"/>
      <c r="CFU55" s="13"/>
      <c r="CFV55" s="13"/>
      <c r="CFW55" s="13"/>
      <c r="CFX55" s="13"/>
      <c r="CFY55" s="13"/>
      <c r="CFZ55" s="13"/>
      <c r="CGA55" s="13"/>
      <c r="CGB55" s="13"/>
      <c r="CGC55" s="13"/>
      <c r="CGD55" s="13"/>
      <c r="CGE55" s="13"/>
      <c r="CGF55" s="13"/>
      <c r="CGG55" s="13"/>
      <c r="CGH55" s="13"/>
      <c r="CGI55" s="13"/>
      <c r="CGJ55" s="13"/>
      <c r="CGK55" s="13"/>
      <c r="CGL55" s="13"/>
      <c r="CGM55" s="13"/>
      <c r="CGN55" s="13"/>
      <c r="CGO55" s="13"/>
      <c r="CGP55" s="13"/>
      <c r="CGQ55" s="13"/>
      <c r="CGR55" s="13"/>
      <c r="CGS55" s="13"/>
      <c r="CGT55" s="13"/>
      <c r="CGU55" s="13"/>
      <c r="CGV55" s="13"/>
      <c r="CGW55" s="13"/>
      <c r="CGX55" s="13"/>
      <c r="CGY55" s="13"/>
      <c r="CGZ55" s="13"/>
      <c r="CHA55" s="13"/>
      <c r="CHB55" s="13"/>
      <c r="CHC55" s="13"/>
      <c r="CHD55" s="13"/>
      <c r="CHE55" s="13"/>
      <c r="CHF55" s="13"/>
      <c r="CHG55" s="13"/>
      <c r="CHH55" s="13"/>
      <c r="CHI55" s="13"/>
      <c r="CHJ55" s="13"/>
      <c r="CHK55" s="13"/>
      <c r="CHL55" s="13"/>
      <c r="CHM55" s="13"/>
      <c r="CHN55" s="13"/>
      <c r="CHO55" s="13"/>
      <c r="CHP55" s="13"/>
      <c r="CHQ55" s="13"/>
      <c r="CHR55" s="13"/>
      <c r="CHS55" s="13"/>
      <c r="CHT55" s="13"/>
      <c r="CHU55" s="13"/>
      <c r="CHV55" s="13"/>
      <c r="CHW55" s="13"/>
      <c r="CHX55" s="13"/>
      <c r="CHY55" s="13"/>
      <c r="CHZ55" s="13"/>
      <c r="CIA55" s="13"/>
      <c r="CIB55" s="13"/>
      <c r="CIC55" s="13"/>
      <c r="CID55" s="13"/>
      <c r="CIE55" s="13"/>
      <c r="CIF55" s="13"/>
      <c r="CIG55" s="13"/>
      <c r="CIH55" s="13"/>
      <c r="CII55" s="13"/>
      <c r="CIJ55" s="13"/>
      <c r="CIK55" s="13"/>
      <c r="CIL55" s="13"/>
      <c r="CIM55" s="13"/>
      <c r="CIN55" s="13"/>
      <c r="CIO55" s="13"/>
      <c r="CIP55" s="13"/>
      <c r="CIQ55" s="13"/>
      <c r="CIR55" s="13"/>
      <c r="CIS55" s="13"/>
      <c r="CIT55" s="13"/>
      <c r="CIU55" s="13"/>
      <c r="CIV55" s="13"/>
      <c r="CIW55" s="13"/>
      <c r="CIX55" s="13"/>
      <c r="CIY55" s="13"/>
      <c r="CIZ55" s="13"/>
      <c r="CJA55" s="13"/>
      <c r="CJB55" s="13"/>
      <c r="CJC55" s="13"/>
      <c r="CJD55" s="13"/>
      <c r="CJE55" s="13"/>
      <c r="CJF55" s="13"/>
      <c r="CJG55" s="13"/>
      <c r="CJH55" s="13"/>
      <c r="CJI55" s="13"/>
      <c r="CJJ55" s="13"/>
      <c r="CJK55" s="13"/>
      <c r="CJL55" s="13"/>
      <c r="CJM55" s="13"/>
      <c r="CJN55" s="13"/>
      <c r="CJO55" s="13"/>
      <c r="CJP55" s="13"/>
      <c r="CJQ55" s="13"/>
      <c r="CJR55" s="13"/>
      <c r="CJS55" s="13"/>
      <c r="CJT55" s="13"/>
      <c r="CJU55" s="13"/>
      <c r="CJV55" s="13"/>
      <c r="CJW55" s="13"/>
      <c r="CJX55" s="13"/>
      <c r="CJY55" s="13"/>
      <c r="CJZ55" s="13"/>
      <c r="CKA55" s="13"/>
      <c r="CKB55" s="13"/>
      <c r="CKC55" s="13"/>
      <c r="CKD55" s="13"/>
      <c r="CKE55" s="13"/>
      <c r="CKF55" s="13"/>
      <c r="CKG55" s="13"/>
      <c r="CKH55" s="13"/>
      <c r="CKI55" s="13"/>
      <c r="CKJ55" s="13"/>
      <c r="CKK55" s="13"/>
      <c r="CKL55" s="13"/>
      <c r="CKM55" s="13"/>
      <c r="CKN55" s="13"/>
      <c r="CKO55" s="13"/>
      <c r="CKP55" s="13"/>
      <c r="CKQ55" s="13"/>
      <c r="CKR55" s="13"/>
      <c r="CKS55" s="13"/>
      <c r="CKT55" s="13"/>
      <c r="CKU55" s="13"/>
      <c r="CKV55" s="13"/>
      <c r="CKW55" s="13"/>
      <c r="CKX55" s="13"/>
      <c r="CKY55" s="13"/>
      <c r="CKZ55" s="13"/>
      <c r="CLA55" s="13"/>
      <c r="CLB55" s="13"/>
      <c r="CLC55" s="13"/>
      <c r="CLD55" s="13"/>
      <c r="CLE55" s="13"/>
      <c r="CLF55" s="13"/>
      <c r="CLG55" s="13"/>
      <c r="CLH55" s="13"/>
      <c r="CLI55" s="13"/>
      <c r="CLJ55" s="13"/>
      <c r="CLK55" s="13"/>
      <c r="CLL55" s="13"/>
      <c r="CLM55" s="13"/>
      <c r="CLN55" s="13"/>
      <c r="CLO55" s="13"/>
      <c r="CLP55" s="13"/>
      <c r="CLQ55" s="13"/>
      <c r="CLR55" s="13"/>
      <c r="CLS55" s="13"/>
      <c r="CLT55" s="13"/>
      <c r="CLU55" s="13"/>
      <c r="CLV55" s="13"/>
      <c r="CLW55" s="13"/>
      <c r="CLX55" s="13"/>
      <c r="CLY55" s="13"/>
      <c r="CLZ55" s="13"/>
      <c r="CMA55" s="13"/>
      <c r="CMB55" s="13"/>
      <c r="CMC55" s="13"/>
      <c r="CMD55" s="13"/>
      <c r="CME55" s="13"/>
      <c r="CMF55" s="13"/>
      <c r="CMG55" s="13"/>
      <c r="CMH55" s="13"/>
      <c r="CMI55" s="13"/>
      <c r="CMJ55" s="13"/>
      <c r="CMK55" s="13"/>
      <c r="CML55" s="13"/>
      <c r="CMM55" s="13"/>
      <c r="CMN55" s="13"/>
      <c r="CMO55" s="13"/>
      <c r="CMP55" s="13"/>
      <c r="CMQ55" s="13"/>
      <c r="CMR55" s="13"/>
      <c r="CMS55" s="13"/>
      <c r="CMT55" s="13"/>
      <c r="CMU55" s="13"/>
      <c r="CMV55" s="13"/>
      <c r="CMW55" s="13"/>
      <c r="CMX55" s="13"/>
      <c r="CMY55" s="13"/>
      <c r="CMZ55" s="13"/>
      <c r="CNA55" s="13"/>
      <c r="CNB55" s="13"/>
      <c r="CNC55" s="13"/>
      <c r="CND55" s="13"/>
      <c r="CNE55" s="13"/>
      <c r="CNF55" s="13"/>
      <c r="CNG55" s="13"/>
      <c r="CNH55" s="13"/>
      <c r="CNI55" s="13"/>
      <c r="CNJ55" s="13"/>
      <c r="CNK55" s="13"/>
      <c r="CNL55" s="13"/>
      <c r="CNM55" s="13"/>
      <c r="CNN55" s="13"/>
      <c r="CNO55" s="13"/>
      <c r="CNP55" s="13"/>
      <c r="CNQ55" s="13"/>
      <c r="CNR55" s="13"/>
      <c r="CNS55" s="13"/>
      <c r="CNT55" s="13"/>
      <c r="CNU55" s="13"/>
      <c r="CNV55" s="13"/>
      <c r="CNW55" s="13"/>
      <c r="CNX55" s="13"/>
      <c r="CNY55" s="13"/>
      <c r="CNZ55" s="13"/>
      <c r="COA55" s="13"/>
      <c r="COB55" s="13"/>
      <c r="COC55" s="13"/>
      <c r="COD55" s="13"/>
      <c r="COE55" s="13"/>
      <c r="COF55" s="13"/>
      <c r="COG55" s="13"/>
      <c r="COH55" s="13"/>
      <c r="COI55" s="13"/>
      <c r="COJ55" s="13"/>
      <c r="COK55" s="13"/>
      <c r="COL55" s="13"/>
      <c r="COM55" s="13"/>
      <c r="CON55" s="13"/>
      <c r="COO55" s="13"/>
      <c r="COP55" s="13"/>
      <c r="COQ55" s="13"/>
      <c r="COR55" s="13"/>
      <c r="COS55" s="13"/>
      <c r="COT55" s="13"/>
      <c r="COU55" s="13"/>
      <c r="COV55" s="13"/>
      <c r="COW55" s="13"/>
      <c r="COX55" s="13"/>
      <c r="COY55" s="13"/>
      <c r="COZ55" s="13"/>
      <c r="CPA55" s="13"/>
      <c r="CPB55" s="13"/>
      <c r="CPC55" s="13"/>
      <c r="CPD55" s="13"/>
      <c r="CPE55" s="13"/>
      <c r="CPF55" s="13"/>
      <c r="CPG55" s="13"/>
      <c r="CPH55" s="13"/>
      <c r="CPI55" s="13"/>
      <c r="CPJ55" s="13"/>
      <c r="CPK55" s="13"/>
      <c r="CPL55" s="13"/>
      <c r="CPM55" s="13"/>
      <c r="CPN55" s="13"/>
      <c r="CPO55" s="13"/>
      <c r="CPP55" s="13"/>
      <c r="CPQ55" s="13"/>
      <c r="CPR55" s="13"/>
      <c r="CPS55" s="13"/>
      <c r="CPT55" s="13"/>
      <c r="CPU55" s="13"/>
      <c r="CPV55" s="13"/>
      <c r="CPW55" s="13"/>
      <c r="CPX55" s="13"/>
      <c r="CPY55" s="13"/>
      <c r="CPZ55" s="13"/>
      <c r="CQA55" s="13"/>
      <c r="CQB55" s="13"/>
      <c r="CQC55" s="13"/>
      <c r="CQD55" s="13"/>
      <c r="CQE55" s="13"/>
      <c r="CQF55" s="13"/>
      <c r="CQG55" s="13"/>
      <c r="CQH55" s="13"/>
      <c r="CQI55" s="13"/>
      <c r="CQJ55" s="13"/>
      <c r="CQK55" s="13"/>
      <c r="CQL55" s="13"/>
      <c r="CQM55" s="13"/>
      <c r="CQN55" s="13"/>
      <c r="CQO55" s="13"/>
      <c r="CQP55" s="13"/>
      <c r="CQQ55" s="13"/>
      <c r="CQR55" s="13"/>
      <c r="CQS55" s="13"/>
      <c r="CQT55" s="13"/>
      <c r="CQU55" s="13"/>
      <c r="CQV55" s="13"/>
      <c r="CQW55" s="13"/>
      <c r="CQX55" s="13"/>
      <c r="CQY55" s="13"/>
      <c r="CQZ55" s="13"/>
      <c r="CRA55" s="13"/>
      <c r="CRB55" s="13"/>
      <c r="CRC55" s="13"/>
      <c r="CRD55" s="13"/>
      <c r="CRE55" s="13"/>
      <c r="CRF55" s="13"/>
      <c r="CRG55" s="13"/>
      <c r="CRH55" s="13"/>
      <c r="CRI55" s="13"/>
      <c r="CRJ55" s="13"/>
      <c r="CRK55" s="13"/>
      <c r="CRL55" s="13"/>
      <c r="CRM55" s="13"/>
      <c r="CRN55" s="13"/>
      <c r="CRO55" s="13"/>
      <c r="CRP55" s="13"/>
      <c r="CRQ55" s="13"/>
      <c r="CRR55" s="13"/>
      <c r="CRS55" s="13"/>
      <c r="CRT55" s="13"/>
      <c r="CRU55" s="13"/>
      <c r="CRV55" s="13"/>
      <c r="CRW55" s="13"/>
      <c r="CRX55" s="13"/>
      <c r="CRY55" s="13"/>
      <c r="CRZ55" s="13"/>
      <c r="CSA55" s="13"/>
      <c r="CSB55" s="13"/>
      <c r="CSC55" s="13"/>
      <c r="CSD55" s="13"/>
      <c r="CSE55" s="13"/>
      <c r="CSF55" s="13"/>
      <c r="CSG55" s="13"/>
      <c r="CSH55" s="13"/>
      <c r="CSI55" s="13"/>
      <c r="CSJ55" s="13"/>
      <c r="CSK55" s="13"/>
      <c r="CSL55" s="13"/>
      <c r="CSM55" s="13"/>
      <c r="CSN55" s="13"/>
      <c r="CSO55" s="13"/>
      <c r="CSP55" s="13"/>
      <c r="CSQ55" s="13"/>
      <c r="CSR55" s="13"/>
      <c r="CSS55" s="13"/>
      <c r="CST55" s="13"/>
      <c r="CSU55" s="13"/>
      <c r="CSV55" s="13"/>
      <c r="CSW55" s="13"/>
      <c r="CSX55" s="13"/>
      <c r="CSY55" s="13"/>
      <c r="CSZ55" s="13"/>
      <c r="CTA55" s="13"/>
      <c r="CTB55" s="13"/>
      <c r="CTC55" s="13"/>
      <c r="CTD55" s="13"/>
      <c r="CTE55" s="13"/>
      <c r="CTF55" s="13"/>
      <c r="CTG55" s="13"/>
      <c r="CTH55" s="13"/>
      <c r="CTI55" s="13"/>
      <c r="CTJ55" s="13"/>
      <c r="CTK55" s="13"/>
      <c r="CTL55" s="13"/>
      <c r="CTM55" s="13"/>
      <c r="CTN55" s="13"/>
      <c r="CTO55" s="13"/>
      <c r="CTP55" s="13"/>
      <c r="CTQ55" s="13"/>
      <c r="CTR55" s="13"/>
      <c r="CTS55" s="13"/>
      <c r="CTT55" s="13"/>
      <c r="CTU55" s="13"/>
      <c r="CTV55" s="13"/>
      <c r="CTW55" s="13"/>
      <c r="CTX55" s="13"/>
      <c r="CTY55" s="13"/>
      <c r="CTZ55" s="13"/>
      <c r="CUA55" s="13"/>
      <c r="CUB55" s="13"/>
      <c r="CUC55" s="13"/>
      <c r="CUD55" s="13"/>
      <c r="CUE55" s="13"/>
      <c r="CUF55" s="13"/>
      <c r="CUG55" s="13"/>
      <c r="CUH55" s="13"/>
      <c r="CUI55" s="13"/>
      <c r="CUJ55" s="13"/>
      <c r="CUK55" s="13"/>
      <c r="CUL55" s="13"/>
      <c r="CUM55" s="13"/>
      <c r="CUN55" s="13"/>
      <c r="CUO55" s="13"/>
      <c r="CUP55" s="13"/>
      <c r="CUQ55" s="13"/>
      <c r="CUR55" s="13"/>
      <c r="CUS55" s="13"/>
      <c r="CUT55" s="13"/>
      <c r="CUU55" s="13"/>
      <c r="CUV55" s="13"/>
      <c r="CUW55" s="13"/>
      <c r="CUX55" s="13"/>
      <c r="CUY55" s="13"/>
      <c r="CUZ55" s="13"/>
      <c r="CVA55" s="13"/>
      <c r="CVB55" s="13"/>
      <c r="CVC55" s="13"/>
      <c r="CVD55" s="13"/>
      <c r="CVE55" s="13"/>
      <c r="CVF55" s="13"/>
      <c r="CVG55" s="13"/>
      <c r="CVH55" s="13"/>
      <c r="CVI55" s="13"/>
      <c r="CVJ55" s="13"/>
      <c r="CVK55" s="13"/>
      <c r="CVL55" s="13"/>
      <c r="CVM55" s="13"/>
      <c r="CVN55" s="13"/>
      <c r="CVO55" s="13"/>
      <c r="CVP55" s="13"/>
      <c r="CVQ55" s="13"/>
      <c r="CVR55" s="13"/>
      <c r="CVS55" s="13"/>
      <c r="CVT55" s="13"/>
      <c r="CVU55" s="13"/>
      <c r="CVV55" s="13"/>
      <c r="CVW55" s="13"/>
      <c r="CVX55" s="13"/>
      <c r="CVY55" s="13"/>
      <c r="CVZ55" s="13"/>
      <c r="CWA55" s="13"/>
      <c r="CWB55" s="13"/>
      <c r="CWC55" s="13"/>
      <c r="CWD55" s="13"/>
      <c r="CWE55" s="13"/>
      <c r="CWF55" s="13"/>
      <c r="CWG55" s="13"/>
      <c r="CWH55" s="13"/>
      <c r="CWI55" s="13"/>
      <c r="CWJ55" s="13"/>
      <c r="CWK55" s="13"/>
      <c r="CWL55" s="13"/>
      <c r="CWM55" s="13"/>
      <c r="CWN55" s="13"/>
      <c r="CWO55" s="13"/>
      <c r="CWP55" s="13"/>
      <c r="CWQ55" s="13"/>
      <c r="CWR55" s="13"/>
      <c r="CWS55" s="13"/>
      <c r="CWT55" s="13"/>
      <c r="CWU55" s="13"/>
      <c r="CWV55" s="13"/>
      <c r="CWW55" s="13"/>
      <c r="CWX55" s="13"/>
      <c r="CWY55" s="13"/>
      <c r="CWZ55" s="13"/>
      <c r="CXA55" s="13"/>
      <c r="CXB55" s="13"/>
      <c r="CXC55" s="13"/>
      <c r="CXD55" s="13"/>
      <c r="CXE55" s="13"/>
      <c r="CXF55" s="13"/>
      <c r="CXG55" s="13"/>
      <c r="CXH55" s="13"/>
      <c r="CXI55" s="13"/>
      <c r="CXJ55" s="13"/>
      <c r="CXK55" s="13"/>
      <c r="CXL55" s="13"/>
      <c r="CXM55" s="13"/>
      <c r="CXN55" s="13"/>
      <c r="CXO55" s="13"/>
      <c r="CXP55" s="13"/>
      <c r="CXQ55" s="13"/>
      <c r="CXR55" s="13"/>
      <c r="CXS55" s="13"/>
      <c r="CXT55" s="13"/>
      <c r="CXU55" s="13"/>
      <c r="CXV55" s="13"/>
      <c r="CXW55" s="13"/>
      <c r="CXX55" s="13"/>
      <c r="CXY55" s="13"/>
      <c r="CXZ55" s="13"/>
      <c r="CYA55" s="13"/>
      <c r="CYB55" s="13"/>
      <c r="CYC55" s="13"/>
      <c r="CYD55" s="13"/>
      <c r="CYE55" s="13"/>
      <c r="CYF55" s="13"/>
      <c r="CYG55" s="13"/>
      <c r="CYH55" s="13"/>
      <c r="CYI55" s="13"/>
      <c r="CYJ55" s="13"/>
      <c r="CYK55" s="13"/>
      <c r="CYL55" s="13"/>
      <c r="CYM55" s="13"/>
      <c r="CYN55" s="13"/>
      <c r="CYO55" s="13"/>
      <c r="CYP55" s="13"/>
      <c r="CYQ55" s="13"/>
      <c r="CYR55" s="13"/>
      <c r="CYS55" s="13"/>
      <c r="CYT55" s="13"/>
      <c r="CYU55" s="13"/>
      <c r="CYV55" s="13"/>
      <c r="CYW55" s="13"/>
      <c r="CYX55" s="13"/>
      <c r="CYY55" s="13"/>
      <c r="CYZ55" s="13"/>
      <c r="CZA55" s="13"/>
      <c r="CZB55" s="13"/>
      <c r="CZC55" s="13"/>
      <c r="CZD55" s="13"/>
      <c r="CZE55" s="13"/>
      <c r="CZF55" s="13"/>
      <c r="CZG55" s="13"/>
      <c r="CZH55" s="13"/>
      <c r="CZI55" s="13"/>
      <c r="CZJ55" s="13"/>
      <c r="CZK55" s="13"/>
      <c r="CZL55" s="13"/>
      <c r="CZM55" s="13"/>
      <c r="CZN55" s="13"/>
      <c r="CZO55" s="13"/>
      <c r="CZP55" s="13"/>
      <c r="CZQ55" s="13"/>
      <c r="CZR55" s="13"/>
      <c r="CZS55" s="13"/>
      <c r="CZT55" s="13"/>
      <c r="CZU55" s="13"/>
      <c r="CZV55" s="13"/>
      <c r="CZW55" s="13"/>
      <c r="CZX55" s="13"/>
      <c r="CZY55" s="13"/>
      <c r="CZZ55" s="13"/>
      <c r="DAA55" s="13"/>
      <c r="DAB55" s="13"/>
      <c r="DAC55" s="13"/>
      <c r="DAD55" s="13"/>
      <c r="DAE55" s="13"/>
      <c r="DAF55" s="13"/>
      <c r="DAG55" s="13"/>
      <c r="DAH55" s="13"/>
      <c r="DAI55" s="13"/>
      <c r="DAJ55" s="13"/>
      <c r="DAK55" s="13"/>
      <c r="DAL55" s="13"/>
      <c r="DAM55" s="13"/>
      <c r="DAN55" s="13"/>
      <c r="DAO55" s="13"/>
      <c r="DAP55" s="13"/>
      <c r="DAQ55" s="13"/>
      <c r="DAR55" s="13"/>
      <c r="DAS55" s="13"/>
      <c r="DAT55" s="13"/>
      <c r="DAU55" s="13"/>
      <c r="DAV55" s="13"/>
      <c r="DAW55" s="13"/>
      <c r="DAX55" s="13"/>
      <c r="DAY55" s="13"/>
      <c r="DAZ55" s="13"/>
      <c r="DBA55" s="13"/>
      <c r="DBB55" s="13"/>
      <c r="DBC55" s="13"/>
      <c r="DBD55" s="13"/>
      <c r="DBE55" s="13"/>
      <c r="DBF55" s="13"/>
      <c r="DBG55" s="13"/>
      <c r="DBH55" s="13"/>
      <c r="DBI55" s="13"/>
      <c r="DBJ55" s="13"/>
      <c r="DBK55" s="13"/>
      <c r="DBL55" s="13"/>
      <c r="DBM55" s="13"/>
      <c r="DBN55" s="13"/>
      <c r="DBO55" s="13"/>
      <c r="DBP55" s="13"/>
      <c r="DBQ55" s="13"/>
      <c r="DBR55" s="13"/>
      <c r="DBS55" s="13"/>
      <c r="DBT55" s="13"/>
      <c r="DBU55" s="13"/>
      <c r="DBV55" s="13"/>
      <c r="DBW55" s="13"/>
      <c r="DBX55" s="13"/>
      <c r="DBY55" s="13"/>
      <c r="DBZ55" s="13"/>
      <c r="DCA55" s="13"/>
      <c r="DCB55" s="13"/>
      <c r="DCC55" s="13"/>
      <c r="DCD55" s="13"/>
      <c r="DCE55" s="13"/>
      <c r="DCF55" s="13"/>
      <c r="DCG55" s="13"/>
      <c r="DCH55" s="13"/>
      <c r="DCI55" s="13"/>
      <c r="DCJ55" s="13"/>
      <c r="DCK55" s="13"/>
      <c r="DCL55" s="13"/>
      <c r="DCM55" s="13"/>
      <c r="DCN55" s="13"/>
      <c r="DCO55" s="13"/>
      <c r="DCP55" s="13"/>
      <c r="DCQ55" s="13"/>
      <c r="DCR55" s="13"/>
      <c r="DCS55" s="13"/>
      <c r="DCT55" s="13"/>
      <c r="DCU55" s="13"/>
      <c r="DCV55" s="13"/>
      <c r="DCW55" s="13"/>
      <c r="DCX55" s="13"/>
      <c r="DCY55" s="13"/>
      <c r="DCZ55" s="13"/>
      <c r="DDA55" s="13"/>
      <c r="DDB55" s="13"/>
      <c r="DDC55" s="13"/>
      <c r="DDD55" s="13"/>
      <c r="DDE55" s="13"/>
      <c r="DDF55" s="13"/>
      <c r="DDG55" s="13"/>
      <c r="DDH55" s="13"/>
      <c r="DDI55" s="13"/>
      <c r="DDJ55" s="13"/>
      <c r="DDK55" s="13"/>
      <c r="DDL55" s="13"/>
      <c r="DDM55" s="13"/>
      <c r="DDN55" s="13"/>
      <c r="DDO55" s="13"/>
      <c r="DDP55" s="13"/>
      <c r="DDQ55" s="13"/>
      <c r="DDR55" s="13"/>
      <c r="DDS55" s="13"/>
      <c r="DDT55" s="13"/>
      <c r="DDU55" s="13"/>
      <c r="DDV55" s="13"/>
      <c r="DDW55" s="13"/>
      <c r="DDX55" s="13"/>
      <c r="DDY55" s="13"/>
      <c r="DDZ55" s="13"/>
      <c r="DEA55" s="13"/>
      <c r="DEB55" s="13"/>
      <c r="DEC55" s="13"/>
      <c r="DED55" s="13"/>
      <c r="DEE55" s="13"/>
      <c r="DEF55" s="13"/>
      <c r="DEG55" s="13"/>
      <c r="DEH55" s="13"/>
      <c r="DEI55" s="13"/>
      <c r="DEJ55" s="13"/>
      <c r="DEK55" s="13"/>
      <c r="DEL55" s="13"/>
      <c r="DEM55" s="13"/>
      <c r="DEN55" s="13"/>
      <c r="DEO55" s="13"/>
      <c r="DEP55" s="13"/>
      <c r="DEQ55" s="13"/>
      <c r="DER55" s="13"/>
      <c r="DES55" s="13"/>
      <c r="DET55" s="13"/>
      <c r="DEU55" s="13"/>
      <c r="DEV55" s="13"/>
      <c r="DEW55" s="13"/>
      <c r="DEX55" s="13"/>
      <c r="DEY55" s="13"/>
      <c r="DEZ55" s="13"/>
      <c r="DFA55" s="13"/>
      <c r="DFB55" s="13"/>
      <c r="DFC55" s="13"/>
      <c r="DFD55" s="13"/>
      <c r="DFE55" s="13"/>
      <c r="DFF55" s="13"/>
      <c r="DFG55" s="13"/>
      <c r="DFH55" s="13"/>
      <c r="DFI55" s="13"/>
      <c r="DFJ55" s="13"/>
      <c r="DFK55" s="13"/>
      <c r="DFL55" s="13"/>
      <c r="DFM55" s="13"/>
      <c r="DFN55" s="13"/>
      <c r="DFO55" s="13"/>
      <c r="DFP55" s="13"/>
      <c r="DFQ55" s="13"/>
      <c r="DFR55" s="13"/>
      <c r="DFS55" s="13"/>
      <c r="DFT55" s="13"/>
      <c r="DFU55" s="13"/>
      <c r="DFV55" s="13"/>
      <c r="DFW55" s="13"/>
      <c r="DFX55" s="13"/>
      <c r="DFY55" s="13"/>
      <c r="DFZ55" s="13"/>
      <c r="DGA55" s="13"/>
      <c r="DGB55" s="13"/>
      <c r="DGC55" s="13"/>
      <c r="DGD55" s="13"/>
      <c r="DGE55" s="13"/>
      <c r="DGF55" s="13"/>
      <c r="DGG55" s="13"/>
      <c r="DGH55" s="13"/>
      <c r="DGI55" s="13"/>
      <c r="DGJ55" s="13"/>
      <c r="DGK55" s="13"/>
      <c r="DGL55" s="13"/>
      <c r="DGM55" s="13"/>
      <c r="DGN55" s="13"/>
      <c r="DGO55" s="13"/>
      <c r="DGP55" s="13"/>
      <c r="DGQ55" s="13"/>
      <c r="DGR55" s="13"/>
      <c r="DGS55" s="13"/>
      <c r="DGT55" s="13"/>
      <c r="DGU55" s="13"/>
      <c r="DGV55" s="13"/>
      <c r="DGW55" s="13"/>
      <c r="DGX55" s="13"/>
      <c r="DGY55" s="13"/>
      <c r="DGZ55" s="13"/>
      <c r="DHA55" s="13"/>
      <c r="DHB55" s="13"/>
      <c r="DHC55" s="13"/>
      <c r="DHD55" s="13"/>
      <c r="DHE55" s="13"/>
      <c r="DHF55" s="13"/>
      <c r="DHG55" s="13"/>
      <c r="DHH55" s="13"/>
      <c r="DHI55" s="13"/>
      <c r="DHJ55" s="13"/>
      <c r="DHK55" s="13"/>
      <c r="DHL55" s="13"/>
      <c r="DHM55" s="13"/>
      <c r="DHN55" s="13"/>
      <c r="DHO55" s="13"/>
      <c r="DHP55" s="13"/>
      <c r="DHQ55" s="13"/>
      <c r="DHR55" s="13"/>
      <c r="DHS55" s="13"/>
      <c r="DHT55" s="13"/>
      <c r="DHU55" s="13"/>
      <c r="DHV55" s="13"/>
      <c r="DHW55" s="13"/>
      <c r="DHX55" s="13"/>
      <c r="DHY55" s="13"/>
      <c r="DHZ55" s="13"/>
      <c r="DIA55" s="13"/>
      <c r="DIB55" s="13"/>
      <c r="DIC55" s="13"/>
      <c r="DID55" s="13"/>
      <c r="DIE55" s="13"/>
      <c r="DIF55" s="13"/>
      <c r="DIG55" s="13"/>
      <c r="DIH55" s="13"/>
      <c r="DII55" s="13"/>
      <c r="DIJ55" s="13"/>
      <c r="DIK55" s="13"/>
      <c r="DIL55" s="13"/>
      <c r="DIM55" s="13"/>
      <c r="DIN55" s="13"/>
      <c r="DIO55" s="13"/>
      <c r="DIP55" s="13"/>
      <c r="DIQ55" s="13"/>
      <c r="DIR55" s="13"/>
      <c r="DIS55" s="13"/>
      <c r="DIT55" s="13"/>
      <c r="DIU55" s="13"/>
      <c r="DIV55" s="13"/>
      <c r="DIW55" s="13"/>
      <c r="DIX55" s="13"/>
      <c r="DIY55" s="13"/>
      <c r="DIZ55" s="13"/>
      <c r="DJA55" s="13"/>
      <c r="DJB55" s="13"/>
      <c r="DJC55" s="13"/>
      <c r="DJD55" s="13"/>
      <c r="DJE55" s="13"/>
      <c r="DJF55" s="13"/>
      <c r="DJG55" s="13"/>
      <c r="DJH55" s="13"/>
      <c r="DJI55" s="13"/>
      <c r="DJJ55" s="13"/>
      <c r="DJK55" s="13"/>
      <c r="DJL55" s="13"/>
      <c r="DJM55" s="13"/>
      <c r="DJN55" s="13"/>
      <c r="DJO55" s="13"/>
      <c r="DJP55" s="13"/>
      <c r="DJQ55" s="13"/>
      <c r="DJR55" s="13"/>
      <c r="DJS55" s="13"/>
      <c r="DJT55" s="13"/>
      <c r="DJU55" s="13"/>
      <c r="DJV55" s="13"/>
      <c r="DJW55" s="13"/>
      <c r="DJX55" s="13"/>
      <c r="DJY55" s="13"/>
      <c r="DJZ55" s="13"/>
      <c r="DKA55" s="13"/>
      <c r="DKB55" s="13"/>
      <c r="DKC55" s="13"/>
      <c r="DKD55" s="13"/>
      <c r="DKE55" s="13"/>
      <c r="DKF55" s="13"/>
      <c r="DKG55" s="13"/>
      <c r="DKH55" s="13"/>
      <c r="DKI55" s="13"/>
      <c r="DKJ55" s="13"/>
      <c r="DKK55" s="13"/>
      <c r="DKL55" s="13"/>
      <c r="DKM55" s="13"/>
      <c r="DKN55" s="13"/>
      <c r="DKO55" s="13"/>
      <c r="DKP55" s="13"/>
      <c r="DKQ55" s="13"/>
      <c r="DKR55" s="13"/>
      <c r="DKS55" s="13"/>
      <c r="DKT55" s="13"/>
      <c r="DKU55" s="13"/>
      <c r="DKV55" s="13"/>
      <c r="DKW55" s="13"/>
      <c r="DKX55" s="13"/>
      <c r="DKY55" s="13"/>
      <c r="DKZ55" s="13"/>
      <c r="DLA55" s="13"/>
      <c r="DLB55" s="13"/>
      <c r="DLC55" s="13"/>
      <c r="DLD55" s="13"/>
      <c r="DLE55" s="13"/>
      <c r="DLF55" s="13"/>
      <c r="DLG55" s="13"/>
      <c r="DLH55" s="13"/>
      <c r="DLI55" s="13"/>
      <c r="DLJ55" s="13"/>
      <c r="DLK55" s="13"/>
      <c r="DLL55" s="13"/>
      <c r="DLM55" s="13"/>
      <c r="DLN55" s="13"/>
      <c r="DLO55" s="13"/>
      <c r="DLP55" s="13"/>
      <c r="DLQ55" s="13"/>
      <c r="DLR55" s="13"/>
      <c r="DLS55" s="13"/>
      <c r="DLT55" s="13"/>
      <c r="DLU55" s="13"/>
      <c r="DLV55" s="13"/>
      <c r="DLW55" s="13"/>
      <c r="DLX55" s="13"/>
      <c r="DLY55" s="13"/>
      <c r="DLZ55" s="13"/>
      <c r="DMA55" s="13"/>
      <c r="DMB55" s="13"/>
      <c r="DMC55" s="13"/>
      <c r="DMD55" s="13"/>
      <c r="DME55" s="13"/>
      <c r="DMF55" s="13"/>
      <c r="DMG55" s="13"/>
      <c r="DMH55" s="13"/>
      <c r="DMI55" s="13"/>
      <c r="DMJ55" s="13"/>
      <c r="DMK55" s="13"/>
      <c r="DML55" s="13"/>
      <c r="DMM55" s="13"/>
      <c r="DMN55" s="13"/>
      <c r="DMO55" s="13"/>
      <c r="DMP55" s="13"/>
      <c r="DMQ55" s="13"/>
      <c r="DMR55" s="13"/>
      <c r="DMS55" s="13"/>
      <c r="DMT55" s="13"/>
      <c r="DMU55" s="13"/>
      <c r="DMV55" s="13"/>
      <c r="DMW55" s="13"/>
      <c r="DMX55" s="13"/>
      <c r="DMY55" s="13"/>
      <c r="DMZ55" s="13"/>
      <c r="DNA55" s="13"/>
      <c r="DNB55" s="13"/>
      <c r="DNC55" s="13"/>
      <c r="DND55" s="13"/>
      <c r="DNE55" s="13"/>
      <c r="DNF55" s="13"/>
      <c r="DNG55" s="13"/>
      <c r="DNH55" s="13"/>
      <c r="DNI55" s="13"/>
      <c r="DNJ55" s="13"/>
      <c r="DNK55" s="13"/>
      <c r="DNL55" s="13"/>
      <c r="DNM55" s="13"/>
      <c r="DNN55" s="13"/>
      <c r="DNO55" s="13"/>
      <c r="DNP55" s="13"/>
      <c r="DNQ55" s="13"/>
      <c r="DNR55" s="13"/>
      <c r="DNS55" s="13"/>
      <c r="DNT55" s="13"/>
      <c r="DNU55" s="13"/>
      <c r="DNV55" s="13"/>
      <c r="DNW55" s="13"/>
      <c r="DNX55" s="13"/>
      <c r="DNY55" s="13"/>
      <c r="DNZ55" s="13"/>
      <c r="DOA55" s="13"/>
      <c r="DOB55" s="13"/>
      <c r="DOC55" s="13"/>
      <c r="DOD55" s="13"/>
      <c r="DOE55" s="13"/>
      <c r="DOF55" s="13"/>
      <c r="DOG55" s="13"/>
      <c r="DOH55" s="13"/>
      <c r="DOI55" s="13"/>
      <c r="DOJ55" s="13"/>
      <c r="DOK55" s="13"/>
      <c r="DOL55" s="13"/>
      <c r="DOM55" s="13"/>
      <c r="DON55" s="13"/>
      <c r="DOO55" s="13"/>
      <c r="DOP55" s="13"/>
      <c r="DOQ55" s="13"/>
      <c r="DOR55" s="13"/>
      <c r="DOS55" s="13"/>
      <c r="DOT55" s="13"/>
      <c r="DOU55" s="13"/>
      <c r="DOV55" s="13"/>
      <c r="DOW55" s="13"/>
      <c r="DOX55" s="13"/>
      <c r="DOY55" s="13"/>
      <c r="DOZ55" s="13"/>
      <c r="DPA55" s="13"/>
      <c r="DPB55" s="13"/>
      <c r="DPC55" s="13"/>
      <c r="DPD55" s="13"/>
      <c r="DPE55" s="13"/>
      <c r="DPF55" s="13"/>
      <c r="DPG55" s="13"/>
      <c r="DPH55" s="13"/>
      <c r="DPI55" s="13"/>
      <c r="DPJ55" s="13"/>
      <c r="DPK55" s="13"/>
      <c r="DPL55" s="13"/>
      <c r="DPM55" s="13"/>
      <c r="DPN55" s="13"/>
      <c r="DPO55" s="13"/>
      <c r="DPP55" s="13"/>
      <c r="DPQ55" s="13"/>
      <c r="DPR55" s="13"/>
      <c r="DPS55" s="13"/>
      <c r="DPT55" s="13"/>
      <c r="DPU55" s="13"/>
      <c r="DPV55" s="13"/>
      <c r="DPW55" s="13"/>
      <c r="DPX55" s="13"/>
      <c r="DPY55" s="13"/>
      <c r="DPZ55" s="13"/>
      <c r="DQA55" s="13"/>
      <c r="DQB55" s="13"/>
      <c r="DQC55" s="13"/>
      <c r="DQD55" s="13"/>
      <c r="DQE55" s="13"/>
      <c r="DQF55" s="13"/>
      <c r="DQG55" s="13"/>
      <c r="DQH55" s="13"/>
      <c r="DQI55" s="13"/>
      <c r="DQJ55" s="13"/>
      <c r="DQK55" s="13"/>
      <c r="DQL55" s="13"/>
      <c r="DQM55" s="13"/>
      <c r="DQN55" s="13"/>
      <c r="DQO55" s="13"/>
      <c r="DQP55" s="13"/>
      <c r="DQQ55" s="13"/>
      <c r="DQR55" s="13"/>
      <c r="DQS55" s="13"/>
      <c r="DQT55" s="13"/>
      <c r="DQU55" s="13"/>
      <c r="DQV55" s="13"/>
      <c r="DQW55" s="13"/>
      <c r="DQX55" s="13"/>
      <c r="DQY55" s="13"/>
      <c r="DQZ55" s="13"/>
      <c r="DRA55" s="13"/>
      <c r="DRB55" s="13"/>
      <c r="DRC55" s="13"/>
      <c r="DRD55" s="13"/>
      <c r="DRE55" s="13"/>
      <c r="DRF55" s="13"/>
      <c r="DRG55" s="13"/>
      <c r="DRH55" s="13"/>
      <c r="DRI55" s="13"/>
      <c r="DRJ55" s="13"/>
      <c r="DRK55" s="13"/>
      <c r="DRL55" s="13"/>
      <c r="DRM55" s="13"/>
      <c r="DRN55" s="13"/>
      <c r="DRO55" s="13"/>
      <c r="DRP55" s="13"/>
      <c r="DRQ55" s="13"/>
      <c r="DRR55" s="13"/>
      <c r="DRS55" s="13"/>
      <c r="DRT55" s="13"/>
      <c r="DRU55" s="13"/>
      <c r="DRV55" s="13"/>
      <c r="DRW55" s="13"/>
      <c r="DRX55" s="13"/>
      <c r="DRY55" s="13"/>
      <c r="DRZ55" s="13"/>
      <c r="DSA55" s="13"/>
      <c r="DSB55" s="13"/>
      <c r="DSC55" s="13"/>
      <c r="DSD55" s="13"/>
      <c r="DSE55" s="13"/>
      <c r="DSF55" s="13"/>
      <c r="DSG55" s="13"/>
      <c r="DSH55" s="13"/>
      <c r="DSI55" s="13"/>
      <c r="DSJ55" s="13"/>
      <c r="DSK55" s="13"/>
      <c r="DSL55" s="13"/>
      <c r="DSM55" s="13"/>
      <c r="DSN55" s="13"/>
      <c r="DSO55" s="13"/>
      <c r="DSP55" s="13"/>
      <c r="DSQ55" s="13"/>
      <c r="DSR55" s="13"/>
      <c r="DSS55" s="13"/>
      <c r="DST55" s="13"/>
      <c r="DSU55" s="13"/>
      <c r="DSV55" s="13"/>
      <c r="DSW55" s="13"/>
      <c r="DSX55" s="13"/>
      <c r="DSY55" s="13"/>
      <c r="DSZ55" s="13"/>
      <c r="DTA55" s="13"/>
      <c r="DTB55" s="13"/>
      <c r="DTC55" s="13"/>
      <c r="DTD55" s="13"/>
      <c r="DTE55" s="13"/>
      <c r="DTF55" s="13"/>
      <c r="DTG55" s="13"/>
      <c r="DTH55" s="13"/>
      <c r="DTI55" s="13"/>
      <c r="DTJ55" s="13"/>
      <c r="DTK55" s="13"/>
      <c r="DTL55" s="13"/>
      <c r="DTM55" s="13"/>
      <c r="DTN55" s="13"/>
      <c r="DTO55" s="13"/>
      <c r="DTP55" s="13"/>
      <c r="DTQ55" s="13"/>
      <c r="DTR55" s="13"/>
      <c r="DTS55" s="13"/>
      <c r="DTT55" s="13"/>
      <c r="DTU55" s="13"/>
      <c r="DTV55" s="13"/>
      <c r="DTW55" s="13"/>
      <c r="DTX55" s="13"/>
      <c r="DTY55" s="13"/>
      <c r="DTZ55" s="13"/>
      <c r="DUA55" s="13"/>
      <c r="DUB55" s="13"/>
      <c r="DUC55" s="13"/>
      <c r="DUD55" s="13"/>
      <c r="DUE55" s="13"/>
      <c r="DUF55" s="13"/>
      <c r="DUG55" s="13"/>
      <c r="DUH55" s="13"/>
      <c r="DUI55" s="13"/>
      <c r="DUJ55" s="13"/>
      <c r="DUK55" s="13"/>
      <c r="DUL55" s="13"/>
      <c r="DUM55" s="13"/>
      <c r="DUN55" s="13"/>
      <c r="DUO55" s="13"/>
      <c r="DUP55" s="13"/>
      <c r="DUQ55" s="13"/>
      <c r="DUR55" s="13"/>
      <c r="DUS55" s="13"/>
      <c r="DUT55" s="13"/>
      <c r="DUU55" s="13"/>
      <c r="DUV55" s="13"/>
      <c r="DUW55" s="13"/>
      <c r="DUX55" s="13"/>
      <c r="DUY55" s="13"/>
      <c r="DUZ55" s="13"/>
      <c r="DVA55" s="13"/>
      <c r="DVB55" s="13"/>
      <c r="DVC55" s="13"/>
      <c r="DVD55" s="13"/>
      <c r="DVE55" s="13"/>
      <c r="DVF55" s="13"/>
      <c r="DVG55" s="13"/>
      <c r="DVH55" s="13"/>
      <c r="DVI55" s="13"/>
      <c r="DVJ55" s="13"/>
      <c r="DVK55" s="13"/>
      <c r="DVL55" s="13"/>
      <c r="DVM55" s="13"/>
      <c r="DVN55" s="13"/>
      <c r="DVO55" s="13"/>
      <c r="DVP55" s="13"/>
      <c r="DVQ55" s="13"/>
      <c r="DVR55" s="13"/>
      <c r="DVS55" s="13"/>
      <c r="DVT55" s="13"/>
      <c r="DVU55" s="13"/>
      <c r="DVV55" s="13"/>
      <c r="DVW55" s="13"/>
      <c r="DVX55" s="13"/>
      <c r="DVY55" s="13"/>
      <c r="DVZ55" s="13"/>
      <c r="DWA55" s="13"/>
      <c r="DWB55" s="13"/>
      <c r="DWC55" s="13"/>
      <c r="DWD55" s="13"/>
      <c r="DWE55" s="13"/>
      <c r="DWF55" s="13"/>
      <c r="DWG55" s="13"/>
      <c r="DWH55" s="13"/>
      <c r="DWI55" s="13"/>
      <c r="DWJ55" s="13"/>
      <c r="DWK55" s="13"/>
      <c r="DWL55" s="13"/>
      <c r="DWM55" s="13"/>
      <c r="DWN55" s="13"/>
      <c r="DWO55" s="13"/>
      <c r="DWP55" s="13"/>
      <c r="DWQ55" s="13"/>
      <c r="DWR55" s="13"/>
      <c r="DWS55" s="13"/>
      <c r="DWT55" s="13"/>
      <c r="DWU55" s="13"/>
      <c r="DWV55" s="13"/>
      <c r="DWW55" s="13"/>
      <c r="DWX55" s="13"/>
      <c r="DWY55" s="13"/>
      <c r="DWZ55" s="13"/>
      <c r="DXA55" s="13"/>
      <c r="DXB55" s="13"/>
      <c r="DXC55" s="13"/>
      <c r="DXD55" s="13"/>
      <c r="DXE55" s="13"/>
      <c r="DXF55" s="13"/>
      <c r="DXG55" s="13"/>
      <c r="DXH55" s="13"/>
      <c r="DXI55" s="13"/>
      <c r="DXJ55" s="13"/>
      <c r="DXK55" s="13"/>
      <c r="DXL55" s="13"/>
      <c r="DXM55" s="13"/>
      <c r="DXN55" s="13"/>
      <c r="DXO55" s="13"/>
      <c r="DXP55" s="13"/>
      <c r="DXQ55" s="13"/>
      <c r="DXR55" s="13"/>
      <c r="DXS55" s="13"/>
      <c r="DXT55" s="13"/>
      <c r="DXU55" s="13"/>
      <c r="DXV55" s="13"/>
      <c r="DXW55" s="13"/>
      <c r="DXX55" s="13"/>
      <c r="DXY55" s="13"/>
      <c r="DXZ55" s="13"/>
      <c r="DYA55" s="13"/>
      <c r="DYB55" s="13"/>
      <c r="DYC55" s="13"/>
      <c r="DYD55" s="13"/>
      <c r="DYE55" s="13"/>
      <c r="DYF55" s="13"/>
      <c r="DYG55" s="13"/>
      <c r="DYH55" s="13"/>
      <c r="DYI55" s="13"/>
      <c r="DYJ55" s="13"/>
      <c r="DYK55" s="13"/>
      <c r="DYL55" s="13"/>
      <c r="DYM55" s="13"/>
      <c r="DYN55" s="13"/>
      <c r="DYO55" s="13"/>
      <c r="DYP55" s="13"/>
      <c r="DYQ55" s="13"/>
      <c r="DYR55" s="13"/>
      <c r="DYS55" s="13"/>
      <c r="DYT55" s="13"/>
      <c r="DYU55" s="13"/>
      <c r="DYV55" s="13"/>
      <c r="DYW55" s="13"/>
      <c r="DYX55" s="13"/>
      <c r="DYY55" s="13"/>
      <c r="DYZ55" s="13"/>
      <c r="DZA55" s="13"/>
      <c r="DZB55" s="13"/>
      <c r="DZC55" s="13"/>
      <c r="DZD55" s="13"/>
      <c r="DZE55" s="13"/>
      <c r="DZF55" s="13"/>
      <c r="DZG55" s="13"/>
      <c r="DZH55" s="13"/>
      <c r="DZI55" s="13"/>
      <c r="DZJ55" s="13"/>
      <c r="DZK55" s="13"/>
      <c r="DZL55" s="13"/>
      <c r="DZM55" s="13"/>
      <c r="DZN55" s="13"/>
      <c r="DZO55" s="13"/>
      <c r="DZP55" s="13"/>
      <c r="DZQ55" s="13"/>
      <c r="DZR55" s="13"/>
      <c r="DZS55" s="13"/>
      <c r="DZT55" s="13"/>
      <c r="DZU55" s="13"/>
      <c r="DZV55" s="13"/>
      <c r="DZW55" s="13"/>
      <c r="DZX55" s="13"/>
      <c r="DZY55" s="13"/>
      <c r="DZZ55" s="13"/>
      <c r="EAA55" s="13"/>
      <c r="EAB55" s="13"/>
      <c r="EAC55" s="13"/>
      <c r="EAD55" s="13"/>
      <c r="EAE55" s="13"/>
      <c r="EAF55" s="13"/>
      <c r="EAG55" s="13"/>
      <c r="EAH55" s="13"/>
      <c r="EAI55" s="13"/>
      <c r="EAJ55" s="13"/>
      <c r="EAK55" s="13"/>
      <c r="EAL55" s="13"/>
      <c r="EAM55" s="13"/>
      <c r="EAN55" s="13"/>
      <c r="EAO55" s="13"/>
      <c r="EAP55" s="13"/>
      <c r="EAQ55" s="13"/>
      <c r="EAR55" s="13"/>
      <c r="EAS55" s="13"/>
      <c r="EAT55" s="13"/>
      <c r="EAU55" s="13"/>
      <c r="EAV55" s="13"/>
      <c r="EAW55" s="13"/>
      <c r="EAX55" s="13"/>
      <c r="EAY55" s="13"/>
      <c r="EAZ55" s="13"/>
      <c r="EBA55" s="13"/>
      <c r="EBB55" s="13"/>
      <c r="EBC55" s="13"/>
      <c r="EBD55" s="13"/>
      <c r="EBE55" s="13"/>
      <c r="EBF55" s="13"/>
      <c r="EBG55" s="13"/>
      <c r="EBH55" s="13"/>
      <c r="EBI55" s="13"/>
      <c r="EBJ55" s="13"/>
      <c r="EBK55" s="13"/>
      <c r="EBL55" s="13"/>
      <c r="EBM55" s="13"/>
      <c r="EBN55" s="13"/>
      <c r="EBO55" s="13"/>
      <c r="EBP55" s="13"/>
      <c r="EBQ55" s="13"/>
      <c r="EBR55" s="13"/>
      <c r="EBS55" s="13"/>
      <c r="EBT55" s="13"/>
      <c r="EBU55" s="13"/>
      <c r="EBV55" s="13"/>
      <c r="EBW55" s="13"/>
      <c r="EBX55" s="13"/>
      <c r="EBY55" s="13"/>
      <c r="EBZ55" s="13"/>
      <c r="ECA55" s="13"/>
      <c r="ECB55" s="13"/>
      <c r="ECC55" s="13"/>
      <c r="ECD55" s="13"/>
      <c r="ECE55" s="13"/>
      <c r="ECF55" s="13"/>
      <c r="ECG55" s="13"/>
      <c r="ECH55" s="13"/>
      <c r="ECI55" s="13"/>
      <c r="ECJ55" s="13"/>
      <c r="ECK55" s="13"/>
      <c r="ECL55" s="13"/>
      <c r="ECM55" s="13"/>
      <c r="ECN55" s="13"/>
      <c r="ECO55" s="13"/>
      <c r="ECP55" s="13"/>
      <c r="ECQ55" s="13"/>
      <c r="ECR55" s="13"/>
      <c r="ECS55" s="13"/>
      <c r="ECT55" s="13"/>
      <c r="ECU55" s="13"/>
      <c r="ECV55" s="13"/>
      <c r="ECW55" s="13"/>
      <c r="ECX55" s="13"/>
      <c r="ECY55" s="13"/>
      <c r="ECZ55" s="13"/>
      <c r="EDA55" s="13"/>
      <c r="EDB55" s="13"/>
      <c r="EDC55" s="13"/>
      <c r="EDD55" s="13"/>
      <c r="EDE55" s="13"/>
      <c r="EDF55" s="13"/>
      <c r="EDG55" s="13"/>
      <c r="EDH55" s="13"/>
      <c r="EDI55" s="13"/>
      <c r="EDJ55" s="13"/>
      <c r="EDK55" s="13"/>
      <c r="EDL55" s="13"/>
      <c r="EDM55" s="13"/>
      <c r="EDN55" s="13"/>
      <c r="EDO55" s="13"/>
      <c r="EDP55" s="13"/>
      <c r="EDQ55" s="13"/>
      <c r="EDR55" s="13"/>
      <c r="EDS55" s="13"/>
      <c r="EDT55" s="13"/>
      <c r="EDU55" s="13"/>
      <c r="EDV55" s="13"/>
      <c r="EDW55" s="13"/>
      <c r="EDX55" s="13"/>
      <c r="EDY55" s="13"/>
      <c r="EDZ55" s="13"/>
      <c r="EEA55" s="13"/>
      <c r="EEB55" s="13"/>
      <c r="EEC55" s="13"/>
      <c r="EED55" s="13"/>
      <c r="EEE55" s="13"/>
      <c r="EEF55" s="13"/>
      <c r="EEG55" s="13"/>
      <c r="EEH55" s="13"/>
      <c r="EEI55" s="13"/>
      <c r="EEJ55" s="13"/>
      <c r="EEK55" s="13"/>
      <c r="EEL55" s="13"/>
      <c r="EEM55" s="13"/>
      <c r="EEN55" s="13"/>
      <c r="EEO55" s="13"/>
      <c r="EEP55" s="13"/>
      <c r="EEQ55" s="13"/>
      <c r="EER55" s="13"/>
      <c r="EES55" s="13"/>
      <c r="EET55" s="13"/>
      <c r="EEU55" s="13"/>
      <c r="EEV55" s="13"/>
      <c r="EEW55" s="13"/>
      <c r="EEX55" s="13"/>
      <c r="EEY55" s="13"/>
      <c r="EEZ55" s="13"/>
      <c r="EFA55" s="13"/>
      <c r="EFB55" s="13"/>
      <c r="EFC55" s="13"/>
      <c r="EFD55" s="13"/>
      <c r="EFE55" s="13"/>
      <c r="EFF55" s="13"/>
      <c r="EFG55" s="13"/>
      <c r="EFH55" s="13"/>
      <c r="EFI55" s="13"/>
      <c r="EFJ55" s="13"/>
      <c r="EFK55" s="13"/>
      <c r="EFL55" s="13"/>
      <c r="EFM55" s="13"/>
      <c r="EFN55" s="13"/>
      <c r="EFO55" s="13"/>
      <c r="EFP55" s="13"/>
      <c r="EFQ55" s="13"/>
      <c r="EFR55" s="13"/>
      <c r="EFS55" s="13"/>
      <c r="EFT55" s="13"/>
      <c r="EFU55" s="13"/>
      <c r="EFV55" s="13"/>
      <c r="EFW55" s="13"/>
      <c r="EFX55" s="13"/>
      <c r="EFY55" s="13"/>
      <c r="EFZ55" s="13"/>
      <c r="EGA55" s="13"/>
      <c r="EGB55" s="13"/>
      <c r="EGC55" s="13"/>
      <c r="EGD55" s="13"/>
      <c r="EGE55" s="13"/>
      <c r="EGF55" s="13"/>
      <c r="EGG55" s="13"/>
      <c r="EGH55" s="13"/>
      <c r="EGI55" s="13"/>
      <c r="EGJ55" s="13"/>
      <c r="EGK55" s="13"/>
      <c r="EGL55" s="13"/>
      <c r="EGM55" s="13"/>
      <c r="EGN55" s="13"/>
      <c r="EGO55" s="13"/>
      <c r="EGP55" s="13"/>
      <c r="EGQ55" s="13"/>
      <c r="EGR55" s="13"/>
      <c r="EGS55" s="13"/>
      <c r="EGT55" s="13"/>
      <c r="EGU55" s="13"/>
      <c r="EGV55" s="13"/>
      <c r="EGW55" s="13"/>
      <c r="EGX55" s="13"/>
      <c r="EGY55" s="13"/>
      <c r="EGZ55" s="13"/>
      <c r="EHA55" s="13"/>
      <c r="EHB55" s="13"/>
      <c r="EHC55" s="13"/>
      <c r="EHD55" s="13"/>
      <c r="EHE55" s="13"/>
      <c r="EHF55" s="13"/>
      <c r="EHG55" s="13"/>
      <c r="EHH55" s="13"/>
      <c r="EHI55" s="13"/>
      <c r="EHJ55" s="13"/>
      <c r="EHK55" s="13"/>
      <c r="EHL55" s="13"/>
      <c r="EHM55" s="13"/>
      <c r="EHN55" s="13"/>
      <c r="EHO55" s="13"/>
      <c r="EHP55" s="13"/>
      <c r="EHQ55" s="13"/>
      <c r="EHR55" s="13"/>
      <c r="EHS55" s="13"/>
      <c r="EHT55" s="13"/>
      <c r="EHU55" s="13"/>
      <c r="EHV55" s="13"/>
      <c r="EHW55" s="13"/>
      <c r="EHX55" s="13"/>
      <c r="EHY55" s="13"/>
      <c r="EHZ55" s="13"/>
      <c r="EIA55" s="13"/>
      <c r="EIB55" s="13"/>
      <c r="EIC55" s="13"/>
      <c r="EID55" s="13"/>
      <c r="EIE55" s="13"/>
      <c r="EIF55" s="13"/>
      <c r="EIG55" s="13"/>
      <c r="EIH55" s="13"/>
      <c r="EII55" s="13"/>
      <c r="EIJ55" s="13"/>
      <c r="EIK55" s="13"/>
      <c r="EIL55" s="13"/>
      <c r="EIM55" s="13"/>
      <c r="EIN55" s="13"/>
      <c r="EIO55" s="13"/>
      <c r="EIP55" s="13"/>
      <c r="EIQ55" s="13"/>
      <c r="EIR55" s="13"/>
      <c r="EIS55" s="13"/>
      <c r="EIT55" s="13"/>
      <c r="EIU55" s="13"/>
      <c r="EIV55" s="13"/>
      <c r="EIW55" s="13"/>
      <c r="EIX55" s="13"/>
      <c r="EIY55" s="13"/>
      <c r="EIZ55" s="13"/>
      <c r="EJA55" s="13"/>
      <c r="EJB55" s="13"/>
      <c r="EJC55" s="13"/>
      <c r="EJD55" s="13"/>
      <c r="EJE55" s="13"/>
      <c r="EJF55" s="13"/>
      <c r="EJG55" s="13"/>
      <c r="EJH55" s="13"/>
      <c r="EJI55" s="13"/>
      <c r="EJJ55" s="13"/>
      <c r="EJK55" s="13"/>
      <c r="EJL55" s="13"/>
      <c r="EJM55" s="13"/>
      <c r="EJN55" s="13"/>
      <c r="EJO55" s="13"/>
      <c r="EJP55" s="13"/>
      <c r="EJQ55" s="13"/>
      <c r="EJR55" s="13"/>
      <c r="EJS55" s="13"/>
      <c r="EJT55" s="13"/>
      <c r="EJU55" s="13"/>
      <c r="EJV55" s="13"/>
      <c r="EJW55" s="13"/>
      <c r="EJX55" s="13"/>
      <c r="EJY55" s="13"/>
      <c r="EJZ55" s="13"/>
      <c r="EKA55" s="13"/>
      <c r="EKB55" s="13"/>
      <c r="EKC55" s="13"/>
      <c r="EKD55" s="13"/>
      <c r="EKE55" s="13"/>
      <c r="EKF55" s="13"/>
      <c r="EKG55" s="13"/>
      <c r="EKH55" s="13"/>
      <c r="EKI55" s="13"/>
      <c r="EKJ55" s="13"/>
      <c r="EKK55" s="13"/>
      <c r="EKL55" s="13"/>
      <c r="EKM55" s="13"/>
      <c r="EKN55" s="13"/>
      <c r="EKO55" s="13"/>
      <c r="EKP55" s="13"/>
      <c r="EKQ55" s="13"/>
      <c r="EKR55" s="13"/>
      <c r="EKS55" s="13"/>
      <c r="EKT55" s="13"/>
      <c r="EKU55" s="13"/>
      <c r="EKV55" s="13"/>
      <c r="EKW55" s="13"/>
      <c r="EKX55" s="13"/>
      <c r="EKY55" s="13"/>
      <c r="EKZ55" s="13"/>
      <c r="ELA55" s="13"/>
      <c r="ELB55" s="13"/>
      <c r="ELC55" s="13"/>
      <c r="ELD55" s="13"/>
      <c r="ELE55" s="13"/>
      <c r="ELF55" s="13"/>
      <c r="ELG55" s="13"/>
      <c r="ELH55" s="13"/>
      <c r="ELI55" s="13"/>
      <c r="ELJ55" s="13"/>
      <c r="ELK55" s="13"/>
      <c r="ELL55" s="13"/>
      <c r="ELM55" s="13"/>
      <c r="ELN55" s="13"/>
      <c r="ELO55" s="13"/>
      <c r="ELP55" s="13"/>
      <c r="ELQ55" s="13"/>
      <c r="ELR55" s="13"/>
      <c r="ELS55" s="13"/>
      <c r="ELT55" s="13"/>
      <c r="ELU55" s="13"/>
      <c r="ELV55" s="13"/>
      <c r="ELW55" s="13"/>
      <c r="ELX55" s="13"/>
      <c r="ELY55" s="13"/>
      <c r="ELZ55" s="13"/>
      <c r="EMA55" s="13"/>
      <c r="EMB55" s="13"/>
      <c r="EMC55" s="13"/>
      <c r="EMD55" s="13"/>
      <c r="EME55" s="13"/>
      <c r="EMF55" s="13"/>
      <c r="EMG55" s="13"/>
      <c r="EMH55" s="13"/>
      <c r="EMI55" s="13"/>
      <c r="EMJ55" s="13"/>
      <c r="EMK55" s="13"/>
      <c r="EML55" s="13"/>
      <c r="EMM55" s="13"/>
      <c r="EMN55" s="13"/>
      <c r="EMO55" s="13"/>
      <c r="EMP55" s="13"/>
      <c r="EMQ55" s="13"/>
      <c r="EMR55" s="13"/>
      <c r="EMS55" s="13"/>
      <c r="EMT55" s="13"/>
      <c r="EMU55" s="13"/>
      <c r="EMV55" s="13"/>
      <c r="EMW55" s="13"/>
      <c r="EMX55" s="13"/>
      <c r="EMY55" s="13"/>
      <c r="EMZ55" s="13"/>
      <c r="ENA55" s="13"/>
      <c r="ENB55" s="13"/>
      <c r="ENC55" s="13"/>
      <c r="END55" s="13"/>
      <c r="ENE55" s="13"/>
      <c r="ENF55" s="13"/>
      <c r="ENG55" s="13"/>
      <c r="ENH55" s="13"/>
      <c r="ENI55" s="13"/>
      <c r="ENJ55" s="13"/>
      <c r="ENK55" s="13"/>
      <c r="ENL55" s="13"/>
      <c r="ENM55" s="13"/>
      <c r="ENN55" s="13"/>
      <c r="ENO55" s="13"/>
      <c r="ENP55" s="13"/>
      <c r="ENQ55" s="13"/>
      <c r="ENR55" s="13"/>
      <c r="ENS55" s="13"/>
      <c r="ENT55" s="13"/>
      <c r="ENU55" s="13"/>
      <c r="ENV55" s="13"/>
      <c r="ENW55" s="13"/>
      <c r="ENX55" s="13"/>
      <c r="ENY55" s="13"/>
      <c r="ENZ55" s="13"/>
      <c r="EOA55" s="13"/>
      <c r="EOB55" s="13"/>
      <c r="EOC55" s="13"/>
      <c r="EOD55" s="13"/>
      <c r="EOE55" s="13"/>
      <c r="EOF55" s="13"/>
      <c r="EOG55" s="13"/>
      <c r="EOH55" s="13"/>
      <c r="EOI55" s="13"/>
      <c r="EOJ55" s="13"/>
      <c r="EOK55" s="13"/>
      <c r="EOL55" s="13"/>
      <c r="EOM55" s="13"/>
      <c r="EON55" s="13"/>
      <c r="EOO55" s="13"/>
      <c r="EOP55" s="13"/>
      <c r="EOQ55" s="13"/>
      <c r="EOR55" s="13"/>
      <c r="EOS55" s="13"/>
      <c r="EOT55" s="13"/>
      <c r="EOU55" s="13"/>
      <c r="EOV55" s="13"/>
      <c r="EOW55" s="13"/>
      <c r="EOX55" s="13"/>
      <c r="EOY55" s="13"/>
      <c r="EOZ55" s="13"/>
      <c r="EPA55" s="13"/>
      <c r="EPB55" s="13"/>
      <c r="EPC55" s="13"/>
      <c r="EPD55" s="13"/>
      <c r="EPE55" s="13"/>
      <c r="EPF55" s="13"/>
      <c r="EPG55" s="13"/>
      <c r="EPH55" s="13"/>
      <c r="EPI55" s="13"/>
      <c r="EPJ55" s="13"/>
      <c r="EPK55" s="13"/>
      <c r="EPL55" s="13"/>
      <c r="EPM55" s="13"/>
      <c r="EPN55" s="13"/>
      <c r="EPO55" s="13"/>
      <c r="EPP55" s="13"/>
      <c r="EPQ55" s="13"/>
      <c r="EPR55" s="13"/>
      <c r="EPS55" s="13"/>
      <c r="EPT55" s="13"/>
      <c r="EPU55" s="13"/>
      <c r="EPV55" s="13"/>
      <c r="EPW55" s="13"/>
      <c r="EPX55" s="13"/>
      <c r="EPY55" s="13"/>
      <c r="EPZ55" s="13"/>
      <c r="EQA55" s="13"/>
      <c r="EQB55" s="13"/>
      <c r="EQC55" s="13"/>
      <c r="EQD55" s="13"/>
      <c r="EQE55" s="13"/>
      <c r="EQF55" s="13"/>
      <c r="EQG55" s="13"/>
      <c r="EQH55" s="13"/>
      <c r="EQI55" s="13"/>
      <c r="EQJ55" s="13"/>
      <c r="EQK55" s="13"/>
      <c r="EQL55" s="13"/>
      <c r="EQM55" s="13"/>
      <c r="EQN55" s="13"/>
      <c r="EQO55" s="13"/>
      <c r="EQP55" s="13"/>
      <c r="EQQ55" s="13"/>
      <c r="EQR55" s="13"/>
      <c r="EQS55" s="13"/>
      <c r="EQT55" s="13"/>
      <c r="EQU55" s="13"/>
      <c r="EQV55" s="13"/>
      <c r="EQW55" s="13"/>
      <c r="EQX55" s="13"/>
      <c r="EQY55" s="13"/>
      <c r="EQZ55" s="13"/>
      <c r="ERA55" s="13"/>
      <c r="ERB55" s="13"/>
      <c r="ERC55" s="13"/>
      <c r="ERD55" s="13"/>
      <c r="ERE55" s="13"/>
      <c r="ERF55" s="13"/>
      <c r="ERG55" s="13"/>
      <c r="ERH55" s="13"/>
      <c r="ERI55" s="13"/>
      <c r="ERJ55" s="13"/>
      <c r="ERK55" s="13"/>
      <c r="ERL55" s="13"/>
      <c r="ERM55" s="13"/>
      <c r="ERN55" s="13"/>
      <c r="ERO55" s="13"/>
      <c r="ERP55" s="13"/>
      <c r="ERQ55" s="13"/>
      <c r="ERR55" s="13"/>
      <c r="ERS55" s="13"/>
      <c r="ERT55" s="13"/>
      <c r="ERU55" s="13"/>
      <c r="ERV55" s="13"/>
      <c r="ERW55" s="13"/>
      <c r="ERX55" s="13"/>
      <c r="ERY55" s="13"/>
      <c r="ERZ55" s="13"/>
      <c r="ESA55" s="13"/>
      <c r="ESB55" s="13"/>
      <c r="ESC55" s="13"/>
      <c r="ESD55" s="13"/>
      <c r="ESE55" s="13"/>
      <c r="ESF55" s="13"/>
      <c r="ESG55" s="13"/>
      <c r="ESH55" s="13"/>
      <c r="ESI55" s="13"/>
      <c r="ESJ55" s="13"/>
      <c r="ESK55" s="13"/>
      <c r="ESL55" s="13"/>
      <c r="ESM55" s="13"/>
      <c r="ESN55" s="13"/>
      <c r="ESO55" s="13"/>
      <c r="ESP55" s="13"/>
      <c r="ESQ55" s="13"/>
      <c r="ESR55" s="13"/>
      <c r="ESS55" s="13"/>
      <c r="EST55" s="13"/>
      <c r="ESU55" s="13"/>
      <c r="ESV55" s="13"/>
      <c r="ESW55" s="13"/>
      <c r="ESX55" s="13"/>
      <c r="ESY55" s="13"/>
      <c r="ESZ55" s="13"/>
      <c r="ETA55" s="13"/>
      <c r="ETB55" s="13"/>
      <c r="ETC55" s="13"/>
      <c r="ETD55" s="13"/>
      <c r="ETE55" s="13"/>
      <c r="ETF55" s="13"/>
      <c r="ETG55" s="13"/>
      <c r="ETH55" s="13"/>
      <c r="ETI55" s="13"/>
      <c r="ETJ55" s="13"/>
      <c r="ETK55" s="13"/>
      <c r="ETL55" s="13"/>
      <c r="ETM55" s="13"/>
      <c r="ETN55" s="13"/>
      <c r="ETO55" s="13"/>
      <c r="ETP55" s="13"/>
      <c r="ETQ55" s="13"/>
      <c r="ETR55" s="13"/>
      <c r="ETS55" s="13"/>
      <c r="ETT55" s="13"/>
      <c r="ETU55" s="13"/>
      <c r="ETV55" s="13"/>
      <c r="ETW55" s="13"/>
      <c r="ETX55" s="13"/>
      <c r="ETY55" s="13"/>
      <c r="ETZ55" s="13"/>
      <c r="EUA55" s="13"/>
      <c r="EUB55" s="13"/>
      <c r="EUC55" s="13"/>
      <c r="EUD55" s="13"/>
      <c r="EUE55" s="13"/>
      <c r="EUF55" s="13"/>
      <c r="EUG55" s="13"/>
      <c r="EUH55" s="13"/>
      <c r="EUI55" s="13"/>
      <c r="EUJ55" s="13"/>
      <c r="EUK55" s="13"/>
      <c r="EUL55" s="13"/>
      <c r="EUM55" s="13"/>
      <c r="EUN55" s="13"/>
      <c r="EUO55" s="13"/>
      <c r="EUP55" s="13"/>
      <c r="EUQ55" s="13"/>
      <c r="EUR55" s="13"/>
      <c r="EUS55" s="13"/>
      <c r="EUT55" s="13"/>
      <c r="EUU55" s="13"/>
      <c r="EUV55" s="13"/>
      <c r="EUW55" s="13"/>
      <c r="EUX55" s="13"/>
      <c r="EUY55" s="13"/>
      <c r="EUZ55" s="13"/>
      <c r="EVA55" s="13"/>
      <c r="EVB55" s="13"/>
      <c r="EVC55" s="13"/>
      <c r="EVD55" s="13"/>
      <c r="EVE55" s="13"/>
      <c r="EVF55" s="13"/>
      <c r="EVG55" s="13"/>
      <c r="EVH55" s="13"/>
      <c r="EVI55" s="13"/>
      <c r="EVJ55" s="13"/>
      <c r="EVK55" s="13"/>
      <c r="EVL55" s="13"/>
      <c r="EVM55" s="13"/>
      <c r="EVN55" s="13"/>
      <c r="EVO55" s="13"/>
      <c r="EVP55" s="13"/>
      <c r="EVQ55" s="13"/>
      <c r="EVR55" s="13"/>
      <c r="EVS55" s="13"/>
      <c r="EVT55" s="13"/>
      <c r="EVU55" s="13"/>
      <c r="EVV55" s="13"/>
      <c r="EVW55" s="13"/>
      <c r="EVX55" s="13"/>
      <c r="EVY55" s="13"/>
      <c r="EVZ55" s="13"/>
      <c r="EWA55" s="13"/>
      <c r="EWB55" s="13"/>
      <c r="EWC55" s="13"/>
      <c r="EWD55" s="13"/>
      <c r="EWE55" s="13"/>
      <c r="EWF55" s="13"/>
      <c r="EWG55" s="13"/>
      <c r="EWH55" s="13"/>
      <c r="EWI55" s="13"/>
      <c r="EWJ55" s="13"/>
      <c r="EWK55" s="13"/>
      <c r="EWL55" s="13"/>
      <c r="EWM55" s="13"/>
      <c r="EWN55" s="13"/>
      <c r="EWO55" s="13"/>
      <c r="EWP55" s="13"/>
      <c r="EWQ55" s="13"/>
      <c r="EWR55" s="13"/>
      <c r="EWS55" s="13"/>
      <c r="EWT55" s="13"/>
      <c r="EWU55" s="13"/>
      <c r="EWV55" s="13"/>
      <c r="EWW55" s="13"/>
      <c r="EWX55" s="13"/>
      <c r="EWY55" s="13"/>
      <c r="EWZ55" s="13"/>
      <c r="EXA55" s="13"/>
      <c r="EXB55" s="13"/>
      <c r="EXC55" s="13"/>
      <c r="EXD55" s="13"/>
      <c r="EXE55" s="13"/>
      <c r="EXF55" s="13"/>
      <c r="EXG55" s="13"/>
      <c r="EXH55" s="13"/>
      <c r="EXI55" s="13"/>
      <c r="EXJ55" s="13"/>
      <c r="EXK55" s="13"/>
      <c r="EXL55" s="13"/>
      <c r="EXM55" s="13"/>
      <c r="EXN55" s="13"/>
      <c r="EXO55" s="13"/>
      <c r="EXP55" s="13"/>
      <c r="EXQ55" s="13"/>
      <c r="EXR55" s="13"/>
      <c r="EXS55" s="13"/>
      <c r="EXT55" s="13"/>
      <c r="EXU55" s="13"/>
      <c r="EXV55" s="13"/>
      <c r="EXW55" s="13"/>
      <c r="EXX55" s="13"/>
      <c r="EXY55" s="13"/>
      <c r="EXZ55" s="13"/>
      <c r="EYA55" s="13"/>
      <c r="EYB55" s="13"/>
      <c r="EYC55" s="13"/>
      <c r="EYD55" s="13"/>
      <c r="EYE55" s="13"/>
      <c r="EYF55" s="13"/>
      <c r="EYG55" s="13"/>
      <c r="EYH55" s="13"/>
      <c r="EYI55" s="13"/>
      <c r="EYJ55" s="13"/>
      <c r="EYK55" s="13"/>
      <c r="EYL55" s="13"/>
      <c r="EYM55" s="13"/>
      <c r="EYN55" s="13"/>
      <c r="EYO55" s="13"/>
      <c r="EYP55" s="13"/>
      <c r="EYQ55" s="13"/>
      <c r="EYR55" s="13"/>
      <c r="EYS55" s="13"/>
      <c r="EYT55" s="13"/>
      <c r="EYU55" s="13"/>
      <c r="EYV55" s="13"/>
      <c r="EYW55" s="13"/>
      <c r="EYX55" s="13"/>
      <c r="EYY55" s="13"/>
      <c r="EYZ55" s="13"/>
      <c r="EZA55" s="13"/>
      <c r="EZB55" s="13"/>
      <c r="EZC55" s="13"/>
      <c r="EZD55" s="13"/>
      <c r="EZE55" s="13"/>
      <c r="EZF55" s="13"/>
      <c r="EZG55" s="13"/>
      <c r="EZH55" s="13"/>
      <c r="EZI55" s="13"/>
      <c r="EZJ55" s="13"/>
      <c r="EZK55" s="13"/>
      <c r="EZL55" s="13"/>
      <c r="EZM55" s="13"/>
      <c r="EZN55" s="13"/>
      <c r="EZO55" s="13"/>
      <c r="EZP55" s="13"/>
      <c r="EZQ55" s="13"/>
      <c r="EZR55" s="13"/>
      <c r="EZS55" s="13"/>
      <c r="EZT55" s="13"/>
      <c r="EZU55" s="13"/>
      <c r="EZV55" s="13"/>
      <c r="EZW55" s="13"/>
      <c r="EZX55" s="13"/>
      <c r="EZY55" s="13"/>
      <c r="EZZ55" s="13"/>
      <c r="FAA55" s="13"/>
      <c r="FAB55" s="13"/>
      <c r="FAC55" s="13"/>
      <c r="FAD55" s="13"/>
      <c r="FAE55" s="13"/>
      <c r="FAF55" s="13"/>
      <c r="FAG55" s="13"/>
      <c r="FAH55" s="13"/>
      <c r="FAI55" s="13"/>
      <c r="FAJ55" s="13"/>
      <c r="FAK55" s="13"/>
      <c r="FAL55" s="13"/>
      <c r="FAM55" s="13"/>
      <c r="FAN55" s="13"/>
      <c r="FAO55" s="13"/>
      <c r="FAP55" s="13"/>
      <c r="FAQ55" s="13"/>
      <c r="FAR55" s="13"/>
      <c r="FAS55" s="13"/>
      <c r="FAT55" s="13"/>
      <c r="FAU55" s="13"/>
      <c r="FAV55" s="13"/>
      <c r="FAW55" s="13"/>
      <c r="FAX55" s="13"/>
      <c r="FAY55" s="13"/>
      <c r="FAZ55" s="13"/>
      <c r="FBA55" s="13"/>
      <c r="FBB55" s="13"/>
      <c r="FBC55" s="13"/>
      <c r="FBD55" s="13"/>
      <c r="FBE55" s="13"/>
      <c r="FBF55" s="13"/>
      <c r="FBG55" s="13"/>
      <c r="FBH55" s="13"/>
      <c r="FBI55" s="13"/>
      <c r="FBJ55" s="13"/>
      <c r="FBK55" s="13"/>
      <c r="FBL55" s="13"/>
      <c r="FBM55" s="13"/>
      <c r="FBN55" s="13"/>
      <c r="FBO55" s="13"/>
      <c r="FBP55" s="13"/>
      <c r="FBQ55" s="13"/>
      <c r="FBR55" s="13"/>
      <c r="FBS55" s="13"/>
      <c r="FBT55" s="13"/>
      <c r="FBU55" s="13"/>
      <c r="FBV55" s="13"/>
      <c r="FBW55" s="13"/>
      <c r="FBX55" s="13"/>
      <c r="FBY55" s="13"/>
      <c r="FBZ55" s="13"/>
      <c r="FCA55" s="13"/>
      <c r="FCB55" s="13"/>
      <c r="FCC55" s="13"/>
      <c r="FCD55" s="13"/>
      <c r="FCE55" s="13"/>
      <c r="FCF55" s="13"/>
      <c r="FCG55" s="13"/>
      <c r="FCH55" s="13"/>
      <c r="FCI55" s="13"/>
      <c r="FCJ55" s="13"/>
      <c r="FCK55" s="13"/>
      <c r="FCL55" s="13"/>
      <c r="FCM55" s="13"/>
      <c r="FCN55" s="13"/>
      <c r="FCO55" s="13"/>
      <c r="FCP55" s="13"/>
      <c r="FCQ55" s="13"/>
      <c r="FCR55" s="13"/>
      <c r="FCS55" s="13"/>
      <c r="FCT55" s="13"/>
      <c r="FCU55" s="13"/>
      <c r="FCV55" s="13"/>
      <c r="FCW55" s="13"/>
      <c r="FCX55" s="13"/>
      <c r="FCY55" s="13"/>
      <c r="FCZ55" s="13"/>
      <c r="FDA55" s="13"/>
      <c r="FDB55" s="13"/>
      <c r="FDC55" s="13"/>
      <c r="FDD55" s="13"/>
      <c r="FDE55" s="13"/>
      <c r="FDF55" s="13"/>
      <c r="FDG55" s="13"/>
      <c r="FDH55" s="13"/>
      <c r="FDI55" s="13"/>
      <c r="FDJ55" s="13"/>
      <c r="FDK55" s="13"/>
      <c r="FDL55" s="13"/>
      <c r="FDM55" s="13"/>
      <c r="FDN55" s="13"/>
      <c r="FDO55" s="13"/>
      <c r="FDP55" s="13"/>
      <c r="FDQ55" s="13"/>
      <c r="FDR55" s="13"/>
      <c r="FDS55" s="13"/>
      <c r="FDT55" s="13"/>
      <c r="FDU55" s="13"/>
      <c r="FDV55" s="13"/>
      <c r="FDW55" s="13"/>
      <c r="FDX55" s="13"/>
      <c r="FDY55" s="13"/>
      <c r="FDZ55" s="13"/>
      <c r="FEA55" s="13"/>
      <c r="FEB55" s="13"/>
      <c r="FEC55" s="13"/>
      <c r="FED55" s="13"/>
      <c r="FEE55" s="13"/>
      <c r="FEF55" s="13"/>
      <c r="FEG55" s="13"/>
      <c r="FEH55" s="13"/>
      <c r="FEI55" s="13"/>
      <c r="FEJ55" s="13"/>
      <c r="FEK55" s="13"/>
      <c r="FEL55" s="13"/>
      <c r="FEM55" s="13"/>
      <c r="FEN55" s="13"/>
      <c r="FEO55" s="13"/>
      <c r="FEP55" s="13"/>
      <c r="FEQ55" s="13"/>
      <c r="FER55" s="13"/>
      <c r="FES55" s="13"/>
      <c r="FET55" s="13"/>
      <c r="FEU55" s="13"/>
      <c r="FEV55" s="13"/>
      <c r="FEW55" s="13"/>
      <c r="FEX55" s="13"/>
      <c r="FEY55" s="13"/>
      <c r="FEZ55" s="13"/>
      <c r="FFA55" s="13"/>
      <c r="FFB55" s="13"/>
      <c r="FFC55" s="13"/>
      <c r="FFD55" s="13"/>
      <c r="FFE55" s="13"/>
      <c r="FFF55" s="13"/>
      <c r="FFG55" s="13"/>
      <c r="FFH55" s="13"/>
      <c r="FFI55" s="13"/>
      <c r="FFJ55" s="13"/>
      <c r="FFK55" s="13"/>
      <c r="FFL55" s="13"/>
      <c r="FFM55" s="13"/>
      <c r="FFN55" s="13"/>
      <c r="FFO55" s="13"/>
      <c r="FFP55" s="13"/>
      <c r="FFQ55" s="13"/>
      <c r="FFR55" s="13"/>
      <c r="FFS55" s="13"/>
      <c r="FFT55" s="13"/>
      <c r="FFU55" s="13"/>
      <c r="FFV55" s="13"/>
      <c r="FFW55" s="13"/>
      <c r="FFX55" s="13"/>
      <c r="FFY55" s="13"/>
      <c r="FFZ55" s="13"/>
      <c r="FGA55" s="13"/>
      <c r="FGB55" s="13"/>
      <c r="FGC55" s="13"/>
      <c r="FGD55" s="13"/>
      <c r="FGE55" s="13"/>
      <c r="FGF55" s="13"/>
      <c r="FGG55" s="13"/>
      <c r="FGH55" s="13"/>
      <c r="FGI55" s="13"/>
      <c r="FGJ55" s="13"/>
      <c r="FGK55" s="13"/>
      <c r="FGL55" s="13"/>
      <c r="FGM55" s="13"/>
      <c r="FGN55" s="13"/>
      <c r="FGO55" s="13"/>
      <c r="FGP55" s="13"/>
      <c r="FGQ55" s="13"/>
      <c r="FGR55" s="13"/>
      <c r="FGS55" s="13"/>
      <c r="FGT55" s="13"/>
      <c r="FGU55" s="13"/>
      <c r="FGV55" s="13"/>
      <c r="FGW55" s="13"/>
      <c r="FGX55" s="13"/>
      <c r="FGY55" s="13"/>
      <c r="FGZ55" s="13"/>
      <c r="FHA55" s="13"/>
      <c r="FHB55" s="13"/>
      <c r="FHC55" s="13"/>
      <c r="FHD55" s="13"/>
      <c r="FHE55" s="13"/>
      <c r="FHF55" s="13"/>
      <c r="FHG55" s="13"/>
      <c r="FHH55" s="13"/>
      <c r="FHI55" s="13"/>
      <c r="FHJ55" s="13"/>
      <c r="FHK55" s="13"/>
      <c r="FHL55" s="13"/>
      <c r="FHM55" s="13"/>
      <c r="FHN55" s="13"/>
      <c r="FHO55" s="13"/>
      <c r="FHP55" s="13"/>
      <c r="FHQ55" s="13"/>
      <c r="FHR55" s="13"/>
      <c r="FHS55" s="13"/>
      <c r="FHT55" s="13"/>
      <c r="FHU55" s="13"/>
      <c r="FHV55" s="13"/>
      <c r="FHW55" s="13"/>
      <c r="FHX55" s="13"/>
      <c r="FHY55" s="13"/>
      <c r="FHZ55" s="13"/>
      <c r="FIA55" s="13"/>
      <c r="FIB55" s="13"/>
      <c r="FIC55" s="13"/>
      <c r="FID55" s="13"/>
      <c r="FIE55" s="13"/>
      <c r="FIF55" s="13"/>
      <c r="FIG55" s="13"/>
      <c r="FIH55" s="13"/>
      <c r="FII55" s="13"/>
      <c r="FIJ55" s="13"/>
      <c r="FIK55" s="13"/>
      <c r="FIL55" s="13"/>
      <c r="FIM55" s="13"/>
      <c r="FIN55" s="13"/>
      <c r="FIO55" s="13"/>
      <c r="FIP55" s="13"/>
      <c r="FIQ55" s="13"/>
      <c r="FIR55" s="13"/>
      <c r="FIS55" s="13"/>
      <c r="FIT55" s="13"/>
      <c r="FIU55" s="13"/>
      <c r="FIV55" s="13"/>
      <c r="FIW55" s="13"/>
      <c r="FIX55" s="13"/>
      <c r="FIY55" s="13"/>
      <c r="FIZ55" s="13"/>
      <c r="FJA55" s="13"/>
      <c r="FJB55" s="13"/>
      <c r="FJC55" s="13"/>
      <c r="FJD55" s="13"/>
      <c r="FJE55" s="13"/>
      <c r="FJF55" s="13"/>
      <c r="FJG55" s="13"/>
      <c r="FJH55" s="13"/>
      <c r="FJI55" s="13"/>
      <c r="FJJ55" s="13"/>
      <c r="FJK55" s="13"/>
      <c r="FJL55" s="13"/>
      <c r="FJM55" s="13"/>
      <c r="FJN55" s="13"/>
      <c r="FJO55" s="13"/>
      <c r="FJP55" s="13"/>
      <c r="FJQ55" s="13"/>
      <c r="FJR55" s="13"/>
      <c r="FJS55" s="13"/>
      <c r="FJT55" s="13"/>
      <c r="FJU55" s="13"/>
      <c r="FJV55" s="13"/>
      <c r="FJW55" s="13"/>
      <c r="FJX55" s="13"/>
      <c r="FJY55" s="13"/>
      <c r="FJZ55" s="13"/>
      <c r="FKA55" s="13"/>
      <c r="FKB55" s="13"/>
      <c r="FKC55" s="13"/>
      <c r="FKD55" s="13"/>
      <c r="FKE55" s="13"/>
      <c r="FKF55" s="13"/>
      <c r="FKG55" s="13"/>
      <c r="FKH55" s="13"/>
      <c r="FKI55" s="13"/>
      <c r="FKJ55" s="13"/>
      <c r="FKK55" s="13"/>
      <c r="FKL55" s="13"/>
      <c r="FKM55" s="13"/>
      <c r="FKN55" s="13"/>
      <c r="FKO55" s="13"/>
      <c r="FKP55" s="13"/>
      <c r="FKQ55" s="13"/>
      <c r="FKR55" s="13"/>
      <c r="FKS55" s="13"/>
      <c r="FKT55" s="13"/>
      <c r="FKU55" s="13"/>
      <c r="FKV55" s="13"/>
      <c r="FKW55" s="13"/>
      <c r="FKX55" s="13"/>
      <c r="FKY55" s="13"/>
      <c r="FKZ55" s="13"/>
      <c r="FLA55" s="13"/>
      <c r="FLB55" s="13"/>
      <c r="FLC55" s="13"/>
      <c r="FLD55" s="13"/>
      <c r="FLE55" s="13"/>
      <c r="FLF55" s="13"/>
      <c r="FLG55" s="13"/>
      <c r="FLH55" s="13"/>
      <c r="FLI55" s="13"/>
      <c r="FLJ55" s="13"/>
      <c r="FLK55" s="13"/>
      <c r="FLL55" s="13"/>
      <c r="FLM55" s="13"/>
      <c r="FLN55" s="13"/>
      <c r="FLO55" s="13"/>
      <c r="FLP55" s="13"/>
      <c r="FLQ55" s="13"/>
      <c r="FLR55" s="13"/>
      <c r="FLS55" s="13"/>
      <c r="FLT55" s="13"/>
      <c r="FLU55" s="13"/>
      <c r="FLV55" s="13"/>
      <c r="FLW55" s="13"/>
      <c r="FLX55" s="13"/>
      <c r="FLY55" s="13"/>
      <c r="FLZ55" s="13"/>
      <c r="FMA55" s="13"/>
      <c r="FMB55" s="13"/>
      <c r="FMC55" s="13"/>
      <c r="FMD55" s="13"/>
      <c r="FME55" s="13"/>
      <c r="FMF55" s="13"/>
      <c r="FMG55" s="13"/>
      <c r="FMH55" s="13"/>
      <c r="FMI55" s="13"/>
      <c r="FMJ55" s="13"/>
      <c r="FMK55" s="13"/>
      <c r="FML55" s="13"/>
      <c r="FMM55" s="13"/>
      <c r="FMN55" s="13"/>
      <c r="FMO55" s="13"/>
      <c r="FMP55" s="13"/>
      <c r="FMQ55" s="13"/>
      <c r="FMR55" s="13"/>
      <c r="FMS55" s="13"/>
      <c r="FMT55" s="13"/>
      <c r="FMU55" s="13"/>
      <c r="FMV55" s="13"/>
      <c r="FMW55" s="13"/>
      <c r="FMX55" s="13"/>
      <c r="FMY55" s="13"/>
      <c r="FMZ55" s="13"/>
      <c r="FNA55" s="13"/>
      <c r="FNB55" s="13"/>
      <c r="FNC55" s="13"/>
      <c r="FND55" s="13"/>
      <c r="FNE55" s="13"/>
      <c r="FNF55" s="13"/>
      <c r="FNG55" s="13"/>
      <c r="FNH55" s="13"/>
      <c r="FNI55" s="13"/>
      <c r="FNJ55" s="13"/>
      <c r="FNK55" s="13"/>
      <c r="FNL55" s="13"/>
      <c r="FNM55" s="13"/>
      <c r="FNN55" s="13"/>
      <c r="FNO55" s="13"/>
      <c r="FNP55" s="13"/>
      <c r="FNQ55" s="13"/>
      <c r="FNR55" s="13"/>
      <c r="FNS55" s="13"/>
      <c r="FNT55" s="13"/>
      <c r="FNU55" s="13"/>
      <c r="FNV55" s="13"/>
      <c r="FNW55" s="13"/>
      <c r="FNX55" s="13"/>
      <c r="FNY55" s="13"/>
      <c r="FNZ55" s="13"/>
      <c r="FOA55" s="13"/>
      <c r="FOB55" s="13"/>
      <c r="FOC55" s="13"/>
      <c r="FOD55" s="13"/>
      <c r="FOE55" s="13"/>
      <c r="FOF55" s="13"/>
      <c r="FOG55" s="13"/>
      <c r="FOH55" s="13"/>
      <c r="FOI55" s="13"/>
      <c r="FOJ55" s="13"/>
      <c r="FOK55" s="13"/>
      <c r="FOL55" s="13"/>
      <c r="FOM55" s="13"/>
      <c r="FON55" s="13"/>
      <c r="FOO55" s="13"/>
      <c r="FOP55" s="13"/>
      <c r="FOQ55" s="13"/>
      <c r="FOR55" s="13"/>
      <c r="FOS55" s="13"/>
      <c r="FOT55" s="13"/>
      <c r="FOU55" s="13"/>
      <c r="FOV55" s="13"/>
      <c r="FOW55" s="13"/>
      <c r="FOX55" s="13"/>
      <c r="FOY55" s="13"/>
      <c r="FOZ55" s="13"/>
      <c r="FPA55" s="13"/>
      <c r="FPB55" s="13"/>
      <c r="FPC55" s="13"/>
      <c r="FPD55" s="13"/>
      <c r="FPE55" s="13"/>
      <c r="FPF55" s="13"/>
      <c r="FPG55" s="13"/>
      <c r="FPH55" s="13"/>
      <c r="FPI55" s="13"/>
      <c r="FPJ55" s="13"/>
      <c r="FPK55" s="13"/>
      <c r="FPL55" s="13"/>
      <c r="FPM55" s="13"/>
      <c r="FPN55" s="13"/>
      <c r="FPO55" s="13"/>
      <c r="FPP55" s="13"/>
      <c r="FPQ55" s="13"/>
      <c r="FPR55" s="13"/>
      <c r="FPS55" s="13"/>
      <c r="FPT55" s="13"/>
      <c r="FPU55" s="13"/>
      <c r="FPV55" s="13"/>
      <c r="FPW55" s="13"/>
      <c r="FPX55" s="13"/>
      <c r="FPY55" s="13"/>
      <c r="FPZ55" s="13"/>
      <c r="FQA55" s="13"/>
      <c r="FQB55" s="13"/>
      <c r="FQC55" s="13"/>
      <c r="FQD55" s="13"/>
      <c r="FQE55" s="13"/>
      <c r="FQF55" s="13"/>
      <c r="FQG55" s="13"/>
      <c r="FQH55" s="13"/>
      <c r="FQI55" s="13"/>
      <c r="FQJ55" s="13"/>
      <c r="FQK55" s="13"/>
      <c r="FQL55" s="13"/>
      <c r="FQM55" s="13"/>
      <c r="FQN55" s="13"/>
      <c r="FQO55" s="13"/>
      <c r="FQP55" s="13"/>
      <c r="FQQ55" s="13"/>
      <c r="FQR55" s="13"/>
      <c r="FQS55" s="13"/>
      <c r="FQT55" s="13"/>
      <c r="FQU55" s="13"/>
      <c r="FQV55" s="13"/>
      <c r="FQW55" s="13"/>
      <c r="FQX55" s="13"/>
      <c r="FQY55" s="13"/>
      <c r="FQZ55" s="13"/>
      <c r="FRA55" s="13"/>
      <c r="FRB55" s="13"/>
      <c r="FRC55" s="13"/>
      <c r="FRD55" s="13"/>
      <c r="FRE55" s="13"/>
      <c r="FRF55" s="13"/>
      <c r="FRG55" s="13"/>
      <c r="FRH55" s="13"/>
      <c r="FRI55" s="13"/>
      <c r="FRJ55" s="13"/>
      <c r="FRK55" s="13"/>
      <c r="FRL55" s="13"/>
      <c r="FRM55" s="13"/>
      <c r="FRN55" s="13"/>
      <c r="FRO55" s="13"/>
      <c r="FRP55" s="13"/>
      <c r="FRQ55" s="13"/>
      <c r="FRR55" s="13"/>
      <c r="FRS55" s="13"/>
      <c r="FRT55" s="13"/>
      <c r="FRU55" s="13"/>
      <c r="FRV55" s="13"/>
      <c r="FRW55" s="13"/>
      <c r="FRX55" s="13"/>
      <c r="FRY55" s="13"/>
      <c r="FRZ55" s="13"/>
      <c r="FSA55" s="13"/>
      <c r="FSB55" s="13"/>
      <c r="FSC55" s="13"/>
      <c r="FSD55" s="13"/>
      <c r="FSE55" s="13"/>
      <c r="FSF55" s="13"/>
      <c r="FSG55" s="13"/>
      <c r="FSH55" s="13"/>
      <c r="FSI55" s="13"/>
      <c r="FSJ55" s="13"/>
      <c r="FSK55" s="13"/>
      <c r="FSL55" s="13"/>
      <c r="FSM55" s="13"/>
      <c r="FSN55" s="13"/>
      <c r="FSO55" s="13"/>
      <c r="FSP55" s="13"/>
      <c r="FSQ55" s="13"/>
      <c r="FSR55" s="13"/>
      <c r="FSS55" s="13"/>
      <c r="FST55" s="13"/>
      <c r="FSU55" s="13"/>
      <c r="FSV55" s="13"/>
      <c r="FSW55" s="13"/>
      <c r="FSX55" s="13"/>
      <c r="FSY55" s="13"/>
      <c r="FSZ55" s="13"/>
      <c r="FTA55" s="13"/>
      <c r="FTB55" s="13"/>
      <c r="FTC55" s="13"/>
      <c r="FTD55" s="13"/>
      <c r="FTE55" s="13"/>
      <c r="FTF55" s="13"/>
      <c r="FTG55" s="13"/>
      <c r="FTH55" s="13"/>
      <c r="FTI55" s="13"/>
      <c r="FTJ55" s="13"/>
      <c r="FTK55" s="13"/>
      <c r="FTL55" s="13"/>
      <c r="FTM55" s="13"/>
      <c r="FTN55" s="13"/>
      <c r="FTO55" s="13"/>
      <c r="FTP55" s="13"/>
      <c r="FTQ55" s="13"/>
      <c r="FTR55" s="13"/>
      <c r="FTS55" s="13"/>
      <c r="FTT55" s="13"/>
      <c r="FTU55" s="13"/>
      <c r="FTV55" s="13"/>
      <c r="FTW55" s="13"/>
      <c r="FTX55" s="13"/>
      <c r="FTY55" s="13"/>
      <c r="FTZ55" s="13"/>
      <c r="FUA55" s="13"/>
      <c r="FUB55" s="13"/>
      <c r="FUC55" s="13"/>
      <c r="FUD55" s="13"/>
      <c r="FUE55" s="13"/>
      <c r="FUF55" s="13"/>
      <c r="FUG55" s="13"/>
      <c r="FUH55" s="13"/>
      <c r="FUI55" s="13"/>
      <c r="FUJ55" s="13"/>
      <c r="FUK55" s="13"/>
      <c r="FUL55" s="13"/>
      <c r="FUM55" s="13"/>
      <c r="FUN55" s="13"/>
      <c r="FUO55" s="13"/>
      <c r="FUP55" s="13"/>
      <c r="FUQ55" s="13"/>
      <c r="FUR55" s="13"/>
      <c r="FUS55" s="13"/>
      <c r="FUT55" s="13"/>
      <c r="FUU55" s="13"/>
      <c r="FUV55" s="13"/>
      <c r="FUW55" s="13"/>
      <c r="FUX55" s="13"/>
      <c r="FUY55" s="13"/>
      <c r="FUZ55" s="13"/>
      <c r="FVA55" s="13"/>
      <c r="FVB55" s="13"/>
      <c r="FVC55" s="13"/>
      <c r="FVD55" s="13"/>
      <c r="FVE55" s="13"/>
      <c r="FVF55" s="13"/>
      <c r="FVG55" s="13"/>
      <c r="FVH55" s="13"/>
      <c r="FVI55" s="13"/>
      <c r="FVJ55" s="13"/>
      <c r="FVK55" s="13"/>
      <c r="FVL55" s="13"/>
      <c r="FVM55" s="13"/>
      <c r="FVN55" s="13"/>
      <c r="FVO55" s="13"/>
      <c r="FVP55" s="13"/>
      <c r="FVQ55" s="13"/>
      <c r="FVR55" s="13"/>
      <c r="FVS55" s="13"/>
      <c r="FVT55" s="13"/>
      <c r="FVU55" s="13"/>
      <c r="FVV55" s="13"/>
      <c r="FVW55" s="13"/>
      <c r="FVX55" s="13"/>
      <c r="FVY55" s="13"/>
      <c r="FVZ55" s="13"/>
      <c r="FWA55" s="13"/>
      <c r="FWB55" s="13"/>
      <c r="FWC55" s="13"/>
      <c r="FWD55" s="13"/>
      <c r="FWE55" s="13"/>
      <c r="FWF55" s="13"/>
      <c r="FWG55" s="13"/>
      <c r="FWH55" s="13"/>
      <c r="FWI55" s="13"/>
      <c r="FWJ55" s="13"/>
      <c r="FWK55" s="13"/>
      <c r="FWL55" s="13"/>
      <c r="FWM55" s="13"/>
      <c r="FWN55" s="13"/>
      <c r="FWO55" s="13"/>
      <c r="FWP55" s="13"/>
      <c r="FWQ55" s="13"/>
      <c r="FWR55" s="13"/>
      <c r="FWS55" s="13"/>
      <c r="FWT55" s="13"/>
      <c r="FWU55" s="13"/>
      <c r="FWV55" s="13"/>
      <c r="FWW55" s="13"/>
      <c r="FWX55" s="13"/>
      <c r="FWY55" s="13"/>
      <c r="FWZ55" s="13"/>
      <c r="FXA55" s="13"/>
      <c r="FXB55" s="13"/>
      <c r="FXC55" s="13"/>
      <c r="FXD55" s="13"/>
      <c r="FXE55" s="13"/>
      <c r="FXF55" s="13"/>
      <c r="FXG55" s="13"/>
      <c r="FXH55" s="13"/>
      <c r="FXI55" s="13"/>
      <c r="FXJ55" s="13"/>
      <c r="FXK55" s="13"/>
      <c r="FXL55" s="13"/>
      <c r="FXM55" s="13"/>
      <c r="FXN55" s="13"/>
      <c r="FXO55" s="13"/>
      <c r="FXP55" s="13"/>
      <c r="FXQ55" s="13"/>
      <c r="FXR55" s="13"/>
      <c r="FXS55" s="13"/>
      <c r="FXT55" s="13"/>
      <c r="FXU55" s="13"/>
      <c r="FXV55" s="13"/>
      <c r="FXW55" s="13"/>
      <c r="FXX55" s="13"/>
      <c r="FXY55" s="13"/>
      <c r="FXZ55" s="13"/>
      <c r="FYA55" s="13"/>
      <c r="FYB55" s="13"/>
      <c r="FYC55" s="13"/>
      <c r="FYD55" s="13"/>
      <c r="FYE55" s="13"/>
      <c r="FYF55" s="13"/>
      <c r="FYG55" s="13"/>
      <c r="FYH55" s="13"/>
      <c r="FYI55" s="13"/>
      <c r="FYJ55" s="13"/>
      <c r="FYK55" s="13"/>
      <c r="FYL55" s="13"/>
      <c r="FYM55" s="13"/>
      <c r="FYN55" s="13"/>
      <c r="FYO55" s="13"/>
      <c r="FYP55" s="13"/>
      <c r="FYQ55" s="13"/>
      <c r="FYR55" s="13"/>
      <c r="FYS55" s="13"/>
      <c r="FYT55" s="13"/>
      <c r="FYU55" s="13"/>
      <c r="FYV55" s="13"/>
      <c r="FYW55" s="13"/>
      <c r="FYX55" s="13"/>
      <c r="FYY55" s="13"/>
      <c r="FYZ55" s="13"/>
      <c r="FZA55" s="13"/>
      <c r="FZB55" s="13"/>
      <c r="FZC55" s="13"/>
      <c r="FZD55" s="13"/>
      <c r="FZE55" s="13"/>
      <c r="FZF55" s="13"/>
      <c r="FZG55" s="13"/>
      <c r="FZH55" s="13"/>
      <c r="FZI55" s="13"/>
      <c r="FZJ55" s="13"/>
      <c r="FZK55" s="13"/>
      <c r="FZL55" s="13"/>
      <c r="FZM55" s="13"/>
      <c r="FZN55" s="13"/>
      <c r="FZO55" s="13"/>
      <c r="FZP55" s="13"/>
      <c r="FZQ55" s="13"/>
      <c r="FZR55" s="13"/>
      <c r="FZS55" s="13"/>
      <c r="FZT55" s="13"/>
      <c r="FZU55" s="13"/>
      <c r="FZV55" s="13"/>
      <c r="FZW55" s="13"/>
      <c r="FZX55" s="13"/>
      <c r="FZY55" s="13"/>
      <c r="FZZ55" s="13"/>
      <c r="GAA55" s="13"/>
      <c r="GAB55" s="13"/>
      <c r="GAC55" s="13"/>
      <c r="GAD55" s="13"/>
      <c r="GAE55" s="13"/>
      <c r="GAF55" s="13"/>
      <c r="GAG55" s="13"/>
      <c r="GAH55" s="13"/>
      <c r="GAI55" s="13"/>
      <c r="GAJ55" s="13"/>
      <c r="GAK55" s="13"/>
      <c r="GAL55" s="13"/>
      <c r="GAM55" s="13"/>
      <c r="GAN55" s="13"/>
      <c r="GAO55" s="13"/>
      <c r="GAP55" s="13"/>
      <c r="GAQ55" s="13"/>
      <c r="GAR55" s="13"/>
      <c r="GAS55" s="13"/>
      <c r="GAT55" s="13"/>
      <c r="GAU55" s="13"/>
      <c r="GAV55" s="13"/>
      <c r="GAW55" s="13"/>
      <c r="GAX55" s="13"/>
      <c r="GAY55" s="13"/>
      <c r="GAZ55" s="13"/>
      <c r="GBA55" s="13"/>
      <c r="GBB55" s="13"/>
      <c r="GBC55" s="13"/>
      <c r="GBD55" s="13"/>
      <c r="GBE55" s="13"/>
      <c r="GBF55" s="13"/>
      <c r="GBG55" s="13"/>
      <c r="GBH55" s="13"/>
      <c r="GBI55" s="13"/>
      <c r="GBJ55" s="13"/>
      <c r="GBK55" s="13"/>
      <c r="GBL55" s="13"/>
      <c r="GBM55" s="13"/>
      <c r="GBN55" s="13"/>
      <c r="GBO55" s="13"/>
      <c r="GBP55" s="13"/>
      <c r="GBQ55" s="13"/>
      <c r="GBR55" s="13"/>
      <c r="GBS55" s="13"/>
      <c r="GBT55" s="13"/>
      <c r="GBU55" s="13"/>
      <c r="GBV55" s="13"/>
      <c r="GBW55" s="13"/>
      <c r="GBX55" s="13"/>
      <c r="GBY55" s="13"/>
      <c r="GBZ55" s="13"/>
      <c r="GCA55" s="13"/>
      <c r="GCB55" s="13"/>
      <c r="GCC55" s="13"/>
      <c r="GCD55" s="13"/>
      <c r="GCE55" s="13"/>
      <c r="GCF55" s="13"/>
      <c r="GCG55" s="13"/>
      <c r="GCH55" s="13"/>
      <c r="GCI55" s="13"/>
      <c r="GCJ55" s="13"/>
      <c r="GCK55" s="13"/>
      <c r="GCL55" s="13"/>
      <c r="GCM55" s="13"/>
      <c r="GCN55" s="13"/>
      <c r="GCO55" s="13"/>
      <c r="GCP55" s="13"/>
      <c r="GCQ55" s="13"/>
      <c r="GCR55" s="13"/>
      <c r="GCS55" s="13"/>
      <c r="GCT55" s="13"/>
      <c r="GCU55" s="13"/>
      <c r="GCV55" s="13"/>
      <c r="GCW55" s="13"/>
      <c r="GCX55" s="13"/>
      <c r="GCY55" s="13"/>
      <c r="GCZ55" s="13"/>
      <c r="GDA55" s="13"/>
      <c r="GDB55" s="13"/>
      <c r="GDC55" s="13"/>
      <c r="GDD55" s="13"/>
      <c r="GDE55" s="13"/>
      <c r="GDF55" s="13"/>
      <c r="GDG55" s="13"/>
      <c r="GDH55" s="13"/>
      <c r="GDI55" s="13"/>
      <c r="GDJ55" s="13"/>
      <c r="GDK55" s="13"/>
      <c r="GDL55" s="13"/>
      <c r="GDM55" s="13"/>
      <c r="GDN55" s="13"/>
      <c r="GDO55" s="13"/>
      <c r="GDP55" s="13"/>
      <c r="GDQ55" s="13"/>
      <c r="GDR55" s="13"/>
      <c r="GDS55" s="13"/>
      <c r="GDT55" s="13"/>
      <c r="GDU55" s="13"/>
      <c r="GDV55" s="13"/>
      <c r="GDW55" s="13"/>
      <c r="GDX55" s="13"/>
      <c r="GDY55" s="13"/>
      <c r="GDZ55" s="13"/>
      <c r="GEA55" s="13"/>
      <c r="GEB55" s="13"/>
      <c r="GEC55" s="13"/>
      <c r="GED55" s="13"/>
      <c r="GEE55" s="13"/>
      <c r="GEF55" s="13"/>
      <c r="GEG55" s="13"/>
      <c r="GEH55" s="13"/>
      <c r="GEI55" s="13"/>
      <c r="GEJ55" s="13"/>
      <c r="GEK55" s="13"/>
      <c r="GEL55" s="13"/>
      <c r="GEM55" s="13"/>
      <c r="GEN55" s="13"/>
      <c r="GEO55" s="13"/>
      <c r="GEP55" s="13"/>
      <c r="GEQ55" s="13"/>
      <c r="GER55" s="13"/>
      <c r="GES55" s="13"/>
      <c r="GET55" s="13"/>
      <c r="GEU55" s="13"/>
      <c r="GEV55" s="13"/>
      <c r="GEW55" s="13"/>
      <c r="GEX55" s="13"/>
      <c r="GEY55" s="13"/>
      <c r="GEZ55" s="13"/>
      <c r="GFA55" s="13"/>
      <c r="GFB55" s="13"/>
      <c r="GFC55" s="13"/>
      <c r="GFD55" s="13"/>
      <c r="GFE55" s="13"/>
      <c r="GFF55" s="13"/>
      <c r="GFG55" s="13"/>
      <c r="GFH55" s="13"/>
      <c r="GFI55" s="13"/>
      <c r="GFJ55" s="13"/>
      <c r="GFK55" s="13"/>
      <c r="GFL55" s="13"/>
      <c r="GFM55" s="13"/>
      <c r="GFN55" s="13"/>
      <c r="GFO55" s="13"/>
      <c r="GFP55" s="13"/>
      <c r="GFQ55" s="13"/>
      <c r="GFR55" s="13"/>
      <c r="GFS55" s="13"/>
      <c r="GFT55" s="13"/>
      <c r="GFU55" s="13"/>
      <c r="GFV55" s="13"/>
      <c r="GFW55" s="13"/>
      <c r="GFX55" s="13"/>
      <c r="GFY55" s="13"/>
      <c r="GFZ55" s="13"/>
      <c r="GGA55" s="13"/>
      <c r="GGB55" s="13"/>
      <c r="GGC55" s="13"/>
      <c r="GGD55" s="13"/>
      <c r="GGE55" s="13"/>
      <c r="GGF55" s="13"/>
      <c r="GGG55" s="13"/>
      <c r="GGH55" s="13"/>
      <c r="GGI55" s="13"/>
      <c r="GGJ55" s="13"/>
      <c r="GGK55" s="13"/>
      <c r="GGL55" s="13"/>
      <c r="GGM55" s="13"/>
      <c r="GGN55" s="13"/>
      <c r="GGO55" s="13"/>
      <c r="GGP55" s="13"/>
      <c r="GGQ55" s="13"/>
      <c r="GGR55" s="13"/>
      <c r="GGS55" s="13"/>
      <c r="GGT55" s="13"/>
      <c r="GGU55" s="13"/>
      <c r="GGV55" s="13"/>
      <c r="GGW55" s="13"/>
      <c r="GGX55" s="13"/>
      <c r="GGY55" s="13"/>
      <c r="GGZ55" s="13"/>
      <c r="GHA55" s="13"/>
      <c r="GHB55" s="13"/>
      <c r="GHC55" s="13"/>
      <c r="GHD55" s="13"/>
      <c r="GHE55" s="13"/>
      <c r="GHF55" s="13"/>
      <c r="GHG55" s="13"/>
      <c r="GHH55" s="13"/>
      <c r="GHI55" s="13"/>
      <c r="GHJ55" s="13"/>
      <c r="GHK55" s="13"/>
      <c r="GHL55" s="13"/>
      <c r="GHM55" s="13"/>
      <c r="GHN55" s="13"/>
      <c r="GHO55" s="13"/>
      <c r="GHP55" s="13"/>
      <c r="GHQ55" s="13"/>
      <c r="GHR55" s="13"/>
      <c r="GHS55" s="13"/>
      <c r="GHT55" s="13"/>
      <c r="GHU55" s="13"/>
      <c r="GHV55" s="13"/>
      <c r="GHW55" s="13"/>
      <c r="GHX55" s="13"/>
      <c r="GHY55" s="13"/>
      <c r="GHZ55" s="13"/>
      <c r="GIA55" s="13"/>
      <c r="GIB55" s="13"/>
      <c r="GIC55" s="13"/>
      <c r="GID55" s="13"/>
      <c r="GIE55" s="13"/>
      <c r="GIF55" s="13"/>
      <c r="GIG55" s="13"/>
      <c r="GIH55" s="13"/>
      <c r="GII55" s="13"/>
      <c r="GIJ55" s="13"/>
      <c r="GIK55" s="13"/>
      <c r="GIL55" s="13"/>
      <c r="GIM55" s="13"/>
      <c r="GIN55" s="13"/>
      <c r="GIO55" s="13"/>
      <c r="GIP55" s="13"/>
      <c r="GIQ55" s="13"/>
      <c r="GIR55" s="13"/>
      <c r="GIS55" s="13"/>
      <c r="GIT55" s="13"/>
      <c r="GIU55" s="13"/>
      <c r="GIV55" s="13"/>
      <c r="GIW55" s="13"/>
      <c r="GIX55" s="13"/>
      <c r="GIY55" s="13"/>
      <c r="GIZ55" s="13"/>
      <c r="GJA55" s="13"/>
      <c r="GJB55" s="13"/>
      <c r="GJC55" s="13"/>
      <c r="GJD55" s="13"/>
      <c r="GJE55" s="13"/>
      <c r="GJF55" s="13"/>
      <c r="GJG55" s="13"/>
      <c r="GJH55" s="13"/>
      <c r="GJI55" s="13"/>
      <c r="GJJ55" s="13"/>
      <c r="GJK55" s="13"/>
      <c r="GJL55" s="13"/>
      <c r="GJM55" s="13"/>
      <c r="GJN55" s="13"/>
      <c r="GJO55" s="13"/>
      <c r="GJP55" s="13"/>
      <c r="GJQ55" s="13"/>
      <c r="GJR55" s="13"/>
      <c r="GJS55" s="13"/>
      <c r="GJT55" s="13"/>
      <c r="GJU55" s="13"/>
      <c r="GJV55" s="13"/>
      <c r="GJW55" s="13"/>
      <c r="GJX55" s="13"/>
      <c r="GJY55" s="13"/>
      <c r="GJZ55" s="13"/>
      <c r="GKA55" s="13"/>
      <c r="GKB55" s="13"/>
      <c r="GKC55" s="13"/>
      <c r="GKD55" s="13"/>
      <c r="GKE55" s="13"/>
      <c r="GKF55" s="13"/>
      <c r="GKG55" s="13"/>
      <c r="GKH55" s="13"/>
      <c r="GKI55" s="13"/>
      <c r="GKJ55" s="13"/>
      <c r="GKK55" s="13"/>
      <c r="GKL55" s="13"/>
      <c r="GKM55" s="13"/>
      <c r="GKN55" s="13"/>
      <c r="GKO55" s="13"/>
      <c r="GKP55" s="13"/>
      <c r="GKQ55" s="13"/>
      <c r="GKR55" s="13"/>
      <c r="GKS55" s="13"/>
      <c r="GKT55" s="13"/>
      <c r="GKU55" s="13"/>
      <c r="GKV55" s="13"/>
      <c r="GKW55" s="13"/>
      <c r="GKX55" s="13"/>
      <c r="GKY55" s="13"/>
      <c r="GKZ55" s="13"/>
      <c r="GLA55" s="13"/>
      <c r="GLB55" s="13"/>
      <c r="GLC55" s="13"/>
      <c r="GLD55" s="13"/>
      <c r="GLE55" s="13"/>
      <c r="GLF55" s="13"/>
      <c r="GLG55" s="13"/>
      <c r="GLH55" s="13"/>
      <c r="GLI55" s="13"/>
      <c r="GLJ55" s="13"/>
      <c r="GLK55" s="13"/>
      <c r="GLL55" s="13"/>
      <c r="GLM55" s="13"/>
      <c r="GLN55" s="13"/>
      <c r="GLO55" s="13"/>
      <c r="GLP55" s="13"/>
      <c r="GLQ55" s="13"/>
      <c r="GLR55" s="13"/>
      <c r="GLS55" s="13"/>
      <c r="GLT55" s="13"/>
      <c r="GLU55" s="13"/>
      <c r="GLV55" s="13"/>
      <c r="GLW55" s="13"/>
      <c r="GLX55" s="13"/>
      <c r="GLY55" s="13"/>
      <c r="GLZ55" s="13"/>
      <c r="GMA55" s="13"/>
      <c r="GMB55" s="13"/>
      <c r="GMC55" s="13"/>
      <c r="GMD55" s="13"/>
      <c r="GME55" s="13"/>
      <c r="GMF55" s="13"/>
      <c r="GMG55" s="13"/>
      <c r="GMH55" s="13"/>
      <c r="GMI55" s="13"/>
      <c r="GMJ55" s="13"/>
      <c r="GMK55" s="13"/>
      <c r="GML55" s="13"/>
      <c r="GMM55" s="13"/>
      <c r="GMN55" s="13"/>
      <c r="GMO55" s="13"/>
      <c r="GMP55" s="13"/>
      <c r="GMQ55" s="13"/>
      <c r="GMR55" s="13"/>
      <c r="GMS55" s="13"/>
      <c r="GMT55" s="13"/>
      <c r="GMU55" s="13"/>
      <c r="GMV55" s="13"/>
      <c r="GMW55" s="13"/>
      <c r="GMX55" s="13"/>
      <c r="GMY55" s="13"/>
      <c r="GMZ55" s="13"/>
      <c r="GNA55" s="13"/>
      <c r="GNB55" s="13"/>
      <c r="GNC55" s="13"/>
      <c r="GND55" s="13"/>
      <c r="GNE55" s="13"/>
      <c r="GNF55" s="13"/>
      <c r="GNG55" s="13"/>
      <c r="GNH55" s="13"/>
      <c r="GNI55" s="13"/>
      <c r="GNJ55" s="13"/>
      <c r="GNK55" s="13"/>
      <c r="GNL55" s="13"/>
      <c r="GNM55" s="13"/>
      <c r="GNN55" s="13"/>
      <c r="GNO55" s="13"/>
      <c r="GNP55" s="13"/>
      <c r="GNQ55" s="13"/>
      <c r="GNR55" s="13"/>
      <c r="GNS55" s="13"/>
      <c r="GNT55" s="13"/>
      <c r="GNU55" s="13"/>
      <c r="GNV55" s="13"/>
      <c r="GNW55" s="13"/>
      <c r="GNX55" s="13"/>
      <c r="GNY55" s="13"/>
      <c r="GNZ55" s="13"/>
      <c r="GOA55" s="13"/>
      <c r="GOB55" s="13"/>
      <c r="GOC55" s="13"/>
      <c r="GOD55" s="13"/>
      <c r="GOE55" s="13"/>
      <c r="GOF55" s="13"/>
      <c r="GOG55" s="13"/>
      <c r="GOH55" s="13"/>
      <c r="GOI55" s="13"/>
      <c r="GOJ55" s="13"/>
      <c r="GOK55" s="13"/>
      <c r="GOL55" s="13"/>
      <c r="GOM55" s="13"/>
      <c r="GON55" s="13"/>
      <c r="GOO55" s="13"/>
      <c r="GOP55" s="13"/>
      <c r="GOQ55" s="13"/>
      <c r="GOR55" s="13"/>
      <c r="GOS55" s="13"/>
      <c r="GOT55" s="13"/>
      <c r="GOU55" s="13"/>
      <c r="GOV55" s="13"/>
      <c r="GOW55" s="13"/>
      <c r="GOX55" s="13"/>
      <c r="GOY55" s="13"/>
      <c r="GOZ55" s="13"/>
      <c r="GPA55" s="13"/>
      <c r="GPB55" s="13"/>
      <c r="GPC55" s="13"/>
      <c r="GPD55" s="13"/>
      <c r="GPE55" s="13"/>
      <c r="GPF55" s="13"/>
      <c r="GPG55" s="13"/>
      <c r="GPH55" s="13"/>
      <c r="GPI55" s="13"/>
      <c r="GPJ55" s="13"/>
      <c r="GPK55" s="13"/>
      <c r="GPL55" s="13"/>
      <c r="GPM55" s="13"/>
      <c r="GPN55" s="13"/>
      <c r="GPO55" s="13"/>
      <c r="GPP55" s="13"/>
      <c r="GPQ55" s="13"/>
      <c r="GPR55" s="13"/>
      <c r="GPS55" s="13"/>
      <c r="GPT55" s="13"/>
      <c r="GPU55" s="13"/>
      <c r="GPV55" s="13"/>
      <c r="GPW55" s="13"/>
      <c r="GPX55" s="13"/>
      <c r="GPY55" s="13"/>
      <c r="GPZ55" s="13"/>
      <c r="GQA55" s="13"/>
      <c r="GQB55" s="13"/>
      <c r="GQC55" s="13"/>
      <c r="GQD55" s="13"/>
      <c r="GQE55" s="13"/>
      <c r="GQF55" s="13"/>
      <c r="GQG55" s="13"/>
      <c r="GQH55" s="13"/>
      <c r="GQI55" s="13"/>
      <c r="GQJ55" s="13"/>
      <c r="GQK55" s="13"/>
      <c r="GQL55" s="13"/>
      <c r="GQM55" s="13"/>
      <c r="GQN55" s="13"/>
      <c r="GQO55" s="13"/>
      <c r="GQP55" s="13"/>
      <c r="GQQ55" s="13"/>
      <c r="GQR55" s="13"/>
      <c r="GQS55" s="13"/>
      <c r="GQT55" s="13"/>
      <c r="GQU55" s="13"/>
      <c r="GQV55" s="13"/>
      <c r="GQW55" s="13"/>
      <c r="GQX55" s="13"/>
      <c r="GQY55" s="13"/>
      <c r="GQZ55" s="13"/>
      <c r="GRA55" s="13"/>
      <c r="GRB55" s="13"/>
      <c r="GRC55" s="13"/>
      <c r="GRD55" s="13"/>
      <c r="GRE55" s="13"/>
      <c r="GRF55" s="13"/>
      <c r="GRG55" s="13"/>
      <c r="GRH55" s="13"/>
      <c r="GRI55" s="13"/>
      <c r="GRJ55" s="13"/>
      <c r="GRK55" s="13"/>
      <c r="GRL55" s="13"/>
      <c r="GRM55" s="13"/>
      <c r="GRN55" s="13"/>
      <c r="GRO55" s="13"/>
      <c r="GRP55" s="13"/>
      <c r="GRQ55" s="13"/>
      <c r="GRR55" s="13"/>
      <c r="GRS55" s="13"/>
      <c r="GRT55" s="13"/>
      <c r="GRU55" s="13"/>
      <c r="GRV55" s="13"/>
      <c r="GRW55" s="13"/>
      <c r="GRX55" s="13"/>
      <c r="GRY55" s="13"/>
      <c r="GRZ55" s="13"/>
      <c r="GSA55" s="13"/>
      <c r="GSB55" s="13"/>
      <c r="GSC55" s="13"/>
      <c r="GSD55" s="13"/>
      <c r="GSE55" s="13"/>
      <c r="GSF55" s="13"/>
      <c r="GSG55" s="13"/>
      <c r="GSH55" s="13"/>
      <c r="GSI55" s="13"/>
      <c r="GSJ55" s="13"/>
      <c r="GSK55" s="13"/>
      <c r="GSL55" s="13"/>
      <c r="GSM55" s="13"/>
      <c r="GSN55" s="13"/>
      <c r="GSO55" s="13"/>
      <c r="GSP55" s="13"/>
      <c r="GSQ55" s="13"/>
      <c r="GSR55" s="13"/>
      <c r="GSS55" s="13"/>
      <c r="GST55" s="13"/>
      <c r="GSU55" s="13"/>
      <c r="GSV55" s="13"/>
      <c r="GSW55" s="13"/>
      <c r="GSX55" s="13"/>
      <c r="GSY55" s="13"/>
      <c r="GSZ55" s="13"/>
      <c r="GTA55" s="13"/>
      <c r="GTB55" s="13"/>
      <c r="GTC55" s="13"/>
      <c r="GTD55" s="13"/>
      <c r="GTE55" s="13"/>
      <c r="GTF55" s="13"/>
      <c r="GTG55" s="13"/>
      <c r="GTH55" s="13"/>
      <c r="GTI55" s="13"/>
      <c r="GTJ55" s="13"/>
      <c r="GTK55" s="13"/>
      <c r="GTL55" s="13"/>
      <c r="GTM55" s="13"/>
      <c r="GTN55" s="13"/>
      <c r="GTO55" s="13"/>
      <c r="GTP55" s="13"/>
      <c r="GTQ55" s="13"/>
      <c r="GTR55" s="13"/>
      <c r="GTS55" s="13"/>
      <c r="GTT55" s="13"/>
      <c r="GTU55" s="13"/>
      <c r="GTV55" s="13"/>
      <c r="GTW55" s="13"/>
      <c r="GTX55" s="13"/>
      <c r="GTY55" s="13"/>
      <c r="GTZ55" s="13"/>
      <c r="GUA55" s="13"/>
      <c r="GUB55" s="13"/>
      <c r="GUC55" s="13"/>
      <c r="GUD55" s="13"/>
      <c r="GUE55" s="13"/>
      <c r="GUF55" s="13"/>
      <c r="GUG55" s="13"/>
      <c r="GUH55" s="13"/>
      <c r="GUI55" s="13"/>
      <c r="GUJ55" s="13"/>
      <c r="GUK55" s="13"/>
      <c r="GUL55" s="13"/>
      <c r="GUM55" s="13"/>
      <c r="GUN55" s="13"/>
      <c r="GUO55" s="13"/>
      <c r="GUP55" s="13"/>
      <c r="GUQ55" s="13"/>
      <c r="GUR55" s="13"/>
      <c r="GUS55" s="13"/>
      <c r="GUT55" s="13"/>
      <c r="GUU55" s="13"/>
      <c r="GUV55" s="13"/>
      <c r="GUW55" s="13"/>
      <c r="GUX55" s="13"/>
      <c r="GUY55" s="13"/>
      <c r="GUZ55" s="13"/>
      <c r="GVA55" s="13"/>
      <c r="GVB55" s="13"/>
      <c r="GVC55" s="13"/>
      <c r="GVD55" s="13"/>
      <c r="GVE55" s="13"/>
      <c r="GVF55" s="13"/>
      <c r="GVG55" s="13"/>
      <c r="GVH55" s="13"/>
      <c r="GVI55" s="13"/>
      <c r="GVJ55" s="13"/>
      <c r="GVK55" s="13"/>
      <c r="GVL55" s="13"/>
      <c r="GVM55" s="13"/>
      <c r="GVN55" s="13"/>
      <c r="GVO55" s="13"/>
      <c r="GVP55" s="13"/>
      <c r="GVQ55" s="13"/>
      <c r="GVR55" s="13"/>
      <c r="GVS55" s="13"/>
      <c r="GVT55" s="13"/>
      <c r="GVU55" s="13"/>
      <c r="GVV55" s="13"/>
      <c r="GVW55" s="13"/>
      <c r="GVX55" s="13"/>
      <c r="GVY55" s="13"/>
      <c r="GVZ55" s="13"/>
      <c r="GWA55" s="13"/>
      <c r="GWB55" s="13"/>
      <c r="GWC55" s="13"/>
      <c r="GWD55" s="13"/>
      <c r="GWE55" s="13"/>
      <c r="GWF55" s="13"/>
      <c r="GWG55" s="13"/>
      <c r="GWH55" s="13"/>
      <c r="GWI55" s="13"/>
      <c r="GWJ55" s="13"/>
      <c r="GWK55" s="13"/>
      <c r="GWL55" s="13"/>
      <c r="GWM55" s="13"/>
      <c r="GWN55" s="13"/>
      <c r="GWO55" s="13"/>
      <c r="GWP55" s="13"/>
      <c r="GWQ55" s="13"/>
      <c r="GWR55" s="13"/>
      <c r="GWS55" s="13"/>
      <c r="GWT55" s="13"/>
      <c r="GWU55" s="13"/>
      <c r="GWV55" s="13"/>
      <c r="GWW55" s="13"/>
      <c r="GWX55" s="13"/>
      <c r="GWY55" s="13"/>
      <c r="GWZ55" s="13"/>
      <c r="GXA55" s="13"/>
      <c r="GXB55" s="13"/>
      <c r="GXC55" s="13"/>
      <c r="GXD55" s="13"/>
      <c r="GXE55" s="13"/>
      <c r="GXF55" s="13"/>
      <c r="GXG55" s="13"/>
      <c r="GXH55" s="13"/>
      <c r="GXI55" s="13"/>
      <c r="GXJ55" s="13"/>
      <c r="GXK55" s="13"/>
      <c r="GXL55" s="13"/>
      <c r="GXM55" s="13"/>
      <c r="GXN55" s="13"/>
      <c r="GXO55" s="13"/>
      <c r="GXP55" s="13"/>
      <c r="GXQ55" s="13"/>
      <c r="GXR55" s="13"/>
      <c r="GXS55" s="13"/>
      <c r="GXT55" s="13"/>
      <c r="GXU55" s="13"/>
      <c r="GXV55" s="13"/>
      <c r="GXW55" s="13"/>
      <c r="GXX55" s="13"/>
      <c r="GXY55" s="13"/>
      <c r="GXZ55" s="13"/>
      <c r="GYA55" s="13"/>
      <c r="GYB55" s="13"/>
      <c r="GYC55" s="13"/>
      <c r="GYD55" s="13"/>
      <c r="GYE55" s="13"/>
      <c r="GYF55" s="13"/>
      <c r="GYG55" s="13"/>
      <c r="GYH55" s="13"/>
      <c r="GYI55" s="13"/>
      <c r="GYJ55" s="13"/>
      <c r="GYK55" s="13"/>
      <c r="GYL55" s="13"/>
      <c r="GYM55" s="13"/>
      <c r="GYN55" s="13"/>
      <c r="GYO55" s="13"/>
      <c r="GYP55" s="13"/>
      <c r="GYQ55" s="13"/>
      <c r="GYR55" s="13"/>
      <c r="GYS55" s="13"/>
      <c r="GYT55" s="13"/>
      <c r="GYU55" s="13"/>
      <c r="GYV55" s="13"/>
      <c r="GYW55" s="13"/>
      <c r="GYX55" s="13"/>
      <c r="GYY55" s="13"/>
      <c r="GYZ55" s="13"/>
      <c r="GZA55" s="13"/>
      <c r="GZB55" s="13"/>
      <c r="GZC55" s="13"/>
      <c r="GZD55" s="13"/>
      <c r="GZE55" s="13"/>
      <c r="GZF55" s="13"/>
      <c r="GZG55" s="13"/>
      <c r="GZH55" s="13"/>
      <c r="GZI55" s="13"/>
      <c r="GZJ55" s="13"/>
      <c r="GZK55" s="13"/>
      <c r="GZL55" s="13"/>
      <c r="GZM55" s="13"/>
      <c r="GZN55" s="13"/>
      <c r="GZO55" s="13"/>
      <c r="GZP55" s="13"/>
      <c r="GZQ55" s="13"/>
      <c r="GZR55" s="13"/>
      <c r="GZS55" s="13"/>
      <c r="GZT55" s="13"/>
      <c r="GZU55" s="13"/>
      <c r="GZV55" s="13"/>
      <c r="GZW55" s="13"/>
      <c r="GZX55" s="13"/>
      <c r="GZY55" s="13"/>
      <c r="GZZ55" s="13"/>
      <c r="HAA55" s="13"/>
      <c r="HAB55" s="13"/>
      <c r="HAC55" s="13"/>
      <c r="HAD55" s="13"/>
      <c r="HAE55" s="13"/>
      <c r="HAF55" s="13"/>
      <c r="HAG55" s="13"/>
      <c r="HAH55" s="13"/>
      <c r="HAI55" s="13"/>
      <c r="HAJ55" s="13"/>
      <c r="HAK55" s="13"/>
      <c r="HAL55" s="13"/>
      <c r="HAM55" s="13"/>
      <c r="HAN55" s="13"/>
      <c r="HAO55" s="13"/>
      <c r="HAP55" s="13"/>
      <c r="HAQ55" s="13"/>
      <c r="HAR55" s="13"/>
      <c r="HAS55" s="13"/>
      <c r="HAT55" s="13"/>
      <c r="HAU55" s="13"/>
      <c r="HAV55" s="13"/>
      <c r="HAW55" s="13"/>
      <c r="HAX55" s="13"/>
      <c r="HAY55" s="13"/>
      <c r="HAZ55" s="13"/>
      <c r="HBA55" s="13"/>
      <c r="HBB55" s="13"/>
      <c r="HBC55" s="13"/>
      <c r="HBD55" s="13"/>
      <c r="HBE55" s="13"/>
      <c r="HBF55" s="13"/>
      <c r="HBG55" s="13"/>
      <c r="HBH55" s="13"/>
      <c r="HBI55" s="13"/>
      <c r="HBJ55" s="13"/>
      <c r="HBK55" s="13"/>
      <c r="HBL55" s="13"/>
      <c r="HBM55" s="13"/>
      <c r="HBN55" s="13"/>
      <c r="HBO55" s="13"/>
      <c r="HBP55" s="13"/>
      <c r="HBQ55" s="13"/>
      <c r="HBR55" s="13"/>
      <c r="HBS55" s="13"/>
      <c r="HBT55" s="13"/>
      <c r="HBU55" s="13"/>
      <c r="HBV55" s="13"/>
      <c r="HBW55" s="13"/>
      <c r="HBX55" s="13"/>
      <c r="HBY55" s="13"/>
      <c r="HBZ55" s="13"/>
      <c r="HCA55" s="13"/>
      <c r="HCB55" s="13"/>
      <c r="HCC55" s="13"/>
      <c r="HCD55" s="13"/>
      <c r="HCE55" s="13"/>
      <c r="HCF55" s="13"/>
      <c r="HCG55" s="13"/>
      <c r="HCH55" s="13"/>
      <c r="HCI55" s="13"/>
      <c r="HCJ55" s="13"/>
      <c r="HCK55" s="13"/>
      <c r="HCL55" s="13"/>
      <c r="HCM55" s="13"/>
      <c r="HCN55" s="13"/>
      <c r="HCO55" s="13"/>
      <c r="HCP55" s="13"/>
      <c r="HCQ55" s="13"/>
      <c r="HCR55" s="13"/>
      <c r="HCS55" s="13"/>
      <c r="HCT55" s="13"/>
      <c r="HCU55" s="13"/>
      <c r="HCV55" s="13"/>
      <c r="HCW55" s="13"/>
      <c r="HCX55" s="13"/>
      <c r="HCY55" s="13"/>
      <c r="HCZ55" s="13"/>
      <c r="HDA55" s="13"/>
      <c r="HDB55" s="13"/>
      <c r="HDC55" s="13"/>
      <c r="HDD55" s="13"/>
      <c r="HDE55" s="13"/>
      <c r="HDF55" s="13"/>
      <c r="HDG55" s="13"/>
      <c r="HDH55" s="13"/>
      <c r="HDI55" s="13"/>
      <c r="HDJ55" s="13"/>
      <c r="HDK55" s="13"/>
      <c r="HDL55" s="13"/>
      <c r="HDM55" s="13"/>
      <c r="HDN55" s="13"/>
      <c r="HDO55" s="13"/>
      <c r="HDP55" s="13"/>
      <c r="HDQ55" s="13"/>
      <c r="HDR55" s="13"/>
      <c r="HDS55" s="13"/>
      <c r="HDT55" s="13"/>
      <c r="HDU55" s="13"/>
      <c r="HDV55" s="13"/>
      <c r="HDW55" s="13"/>
      <c r="HDX55" s="13"/>
      <c r="HDY55" s="13"/>
      <c r="HDZ55" s="13"/>
      <c r="HEA55" s="13"/>
      <c r="HEB55" s="13"/>
      <c r="HEC55" s="13"/>
      <c r="HED55" s="13"/>
      <c r="HEE55" s="13"/>
      <c r="HEF55" s="13"/>
      <c r="HEG55" s="13"/>
      <c r="HEH55" s="13"/>
      <c r="HEI55" s="13"/>
      <c r="HEJ55" s="13"/>
      <c r="HEK55" s="13"/>
      <c r="HEL55" s="13"/>
      <c r="HEM55" s="13"/>
      <c r="HEN55" s="13"/>
      <c r="HEO55" s="13"/>
      <c r="HEP55" s="13"/>
      <c r="HEQ55" s="13"/>
      <c r="HER55" s="13"/>
      <c r="HES55" s="13"/>
      <c r="HET55" s="13"/>
      <c r="HEU55" s="13"/>
      <c r="HEV55" s="13"/>
      <c r="HEW55" s="13"/>
      <c r="HEX55" s="13"/>
      <c r="HEY55" s="13"/>
      <c r="HEZ55" s="13"/>
      <c r="HFA55" s="13"/>
      <c r="HFB55" s="13"/>
      <c r="HFC55" s="13"/>
      <c r="HFD55" s="13"/>
      <c r="HFE55" s="13"/>
      <c r="HFF55" s="13"/>
      <c r="HFG55" s="13"/>
      <c r="HFH55" s="13"/>
      <c r="HFI55" s="13"/>
      <c r="HFJ55" s="13"/>
      <c r="HFK55" s="13"/>
      <c r="HFL55" s="13"/>
      <c r="HFM55" s="13"/>
      <c r="HFN55" s="13"/>
      <c r="HFO55" s="13"/>
      <c r="HFP55" s="13"/>
      <c r="HFQ55" s="13"/>
      <c r="HFR55" s="13"/>
      <c r="HFS55" s="13"/>
      <c r="HFT55" s="13"/>
      <c r="HFU55" s="13"/>
      <c r="HFV55" s="13"/>
      <c r="HFW55" s="13"/>
      <c r="HFX55" s="13"/>
      <c r="HFY55" s="13"/>
      <c r="HFZ55" s="13"/>
      <c r="HGA55" s="13"/>
      <c r="HGB55" s="13"/>
      <c r="HGC55" s="13"/>
      <c r="HGD55" s="13"/>
      <c r="HGE55" s="13"/>
      <c r="HGF55" s="13"/>
      <c r="HGG55" s="13"/>
      <c r="HGH55" s="13"/>
      <c r="HGI55" s="13"/>
      <c r="HGJ55" s="13"/>
      <c r="HGK55" s="13"/>
      <c r="HGL55" s="13"/>
      <c r="HGM55" s="13"/>
      <c r="HGN55" s="13"/>
      <c r="HGO55" s="13"/>
      <c r="HGP55" s="13"/>
      <c r="HGQ55" s="13"/>
      <c r="HGR55" s="13"/>
      <c r="HGS55" s="13"/>
      <c r="HGT55" s="13"/>
      <c r="HGU55" s="13"/>
      <c r="HGV55" s="13"/>
      <c r="HGW55" s="13"/>
      <c r="HGX55" s="13"/>
      <c r="HGY55" s="13"/>
      <c r="HGZ55" s="13"/>
      <c r="HHA55" s="13"/>
      <c r="HHB55" s="13"/>
      <c r="HHC55" s="13"/>
      <c r="HHD55" s="13"/>
      <c r="HHE55" s="13"/>
      <c r="HHF55" s="13"/>
      <c r="HHG55" s="13"/>
      <c r="HHH55" s="13"/>
      <c r="HHI55" s="13"/>
      <c r="HHJ55" s="13"/>
      <c r="HHK55" s="13"/>
      <c r="HHL55" s="13"/>
      <c r="HHM55" s="13"/>
      <c r="HHN55" s="13"/>
      <c r="HHO55" s="13"/>
      <c r="HHP55" s="13"/>
      <c r="HHQ55" s="13"/>
      <c r="HHR55" s="13"/>
      <c r="HHS55" s="13"/>
      <c r="HHT55" s="13"/>
      <c r="HHU55" s="13"/>
      <c r="HHV55" s="13"/>
      <c r="HHW55" s="13"/>
      <c r="HHX55" s="13"/>
      <c r="HHY55" s="13"/>
      <c r="HHZ55" s="13"/>
      <c r="HIA55" s="13"/>
      <c r="HIB55" s="13"/>
      <c r="HIC55" s="13"/>
      <c r="HID55" s="13"/>
      <c r="HIE55" s="13"/>
      <c r="HIF55" s="13"/>
      <c r="HIG55" s="13"/>
      <c r="HIH55" s="13"/>
      <c r="HII55" s="13"/>
      <c r="HIJ55" s="13"/>
      <c r="HIK55" s="13"/>
      <c r="HIL55" s="13"/>
      <c r="HIM55" s="13"/>
      <c r="HIN55" s="13"/>
      <c r="HIO55" s="13"/>
      <c r="HIP55" s="13"/>
      <c r="HIQ55" s="13"/>
      <c r="HIR55" s="13"/>
      <c r="HIS55" s="13"/>
      <c r="HIT55" s="13"/>
      <c r="HIU55" s="13"/>
      <c r="HIV55" s="13"/>
      <c r="HIW55" s="13"/>
      <c r="HIX55" s="13"/>
      <c r="HIY55" s="13"/>
      <c r="HIZ55" s="13"/>
      <c r="HJA55" s="13"/>
      <c r="HJB55" s="13"/>
      <c r="HJC55" s="13"/>
      <c r="HJD55" s="13"/>
      <c r="HJE55" s="13"/>
      <c r="HJF55" s="13"/>
      <c r="HJG55" s="13"/>
      <c r="HJH55" s="13"/>
      <c r="HJI55" s="13"/>
      <c r="HJJ55" s="13"/>
      <c r="HJK55" s="13"/>
      <c r="HJL55" s="13"/>
      <c r="HJM55" s="13"/>
      <c r="HJN55" s="13"/>
      <c r="HJO55" s="13"/>
      <c r="HJP55" s="13"/>
      <c r="HJQ55" s="13"/>
      <c r="HJR55" s="13"/>
      <c r="HJS55" s="13"/>
      <c r="HJT55" s="13"/>
      <c r="HJU55" s="13"/>
      <c r="HJV55" s="13"/>
      <c r="HJW55" s="13"/>
      <c r="HJX55" s="13"/>
      <c r="HJY55" s="13"/>
      <c r="HJZ55" s="13"/>
      <c r="HKA55" s="13"/>
      <c r="HKB55" s="13"/>
      <c r="HKC55" s="13"/>
      <c r="HKD55" s="13"/>
      <c r="HKE55" s="13"/>
      <c r="HKF55" s="13"/>
      <c r="HKG55" s="13"/>
      <c r="HKH55" s="13"/>
      <c r="HKI55" s="13"/>
      <c r="HKJ55" s="13"/>
      <c r="HKK55" s="13"/>
      <c r="HKL55" s="13"/>
      <c r="HKM55" s="13"/>
      <c r="HKN55" s="13"/>
      <c r="HKO55" s="13"/>
      <c r="HKP55" s="13"/>
      <c r="HKQ55" s="13"/>
      <c r="HKR55" s="13"/>
      <c r="HKS55" s="13"/>
      <c r="HKT55" s="13"/>
      <c r="HKU55" s="13"/>
      <c r="HKV55" s="13"/>
      <c r="HKW55" s="13"/>
      <c r="HKX55" s="13"/>
      <c r="HKY55" s="13"/>
      <c r="HKZ55" s="13"/>
      <c r="HLA55" s="13"/>
      <c r="HLB55" s="13"/>
      <c r="HLC55" s="13"/>
      <c r="HLD55" s="13"/>
      <c r="HLE55" s="13"/>
      <c r="HLF55" s="13"/>
      <c r="HLG55" s="13"/>
      <c r="HLH55" s="13"/>
      <c r="HLI55" s="13"/>
      <c r="HLJ55" s="13"/>
      <c r="HLK55" s="13"/>
      <c r="HLL55" s="13"/>
      <c r="HLM55" s="13"/>
      <c r="HLN55" s="13"/>
      <c r="HLO55" s="13"/>
      <c r="HLP55" s="13"/>
      <c r="HLQ55" s="13"/>
      <c r="HLR55" s="13"/>
      <c r="HLS55" s="13"/>
      <c r="HLT55" s="13"/>
      <c r="HLU55" s="13"/>
      <c r="HLV55" s="13"/>
      <c r="HLW55" s="13"/>
      <c r="HLX55" s="13"/>
      <c r="HLY55" s="13"/>
      <c r="HLZ55" s="13"/>
      <c r="HMA55" s="13"/>
      <c r="HMB55" s="13"/>
      <c r="HMC55" s="13"/>
      <c r="HMD55" s="13"/>
      <c r="HME55" s="13"/>
      <c r="HMF55" s="13"/>
      <c r="HMG55" s="13"/>
      <c r="HMH55" s="13"/>
      <c r="HMI55" s="13"/>
      <c r="HMJ55" s="13"/>
      <c r="HMK55" s="13"/>
      <c r="HML55" s="13"/>
      <c r="HMM55" s="13"/>
      <c r="HMN55" s="13"/>
      <c r="HMO55" s="13"/>
      <c r="HMP55" s="13"/>
      <c r="HMQ55" s="13"/>
      <c r="HMR55" s="13"/>
      <c r="HMS55" s="13"/>
      <c r="HMT55" s="13"/>
      <c r="HMU55" s="13"/>
      <c r="HMV55" s="13"/>
      <c r="HMW55" s="13"/>
      <c r="HMX55" s="13"/>
      <c r="HMY55" s="13"/>
      <c r="HMZ55" s="13"/>
      <c r="HNA55" s="13"/>
      <c r="HNB55" s="13"/>
      <c r="HNC55" s="13"/>
      <c r="HND55" s="13"/>
      <c r="HNE55" s="13"/>
      <c r="HNF55" s="13"/>
      <c r="HNG55" s="13"/>
      <c r="HNH55" s="13"/>
      <c r="HNI55" s="13"/>
      <c r="HNJ55" s="13"/>
      <c r="HNK55" s="13"/>
      <c r="HNL55" s="13"/>
      <c r="HNM55" s="13"/>
      <c r="HNN55" s="13"/>
      <c r="HNO55" s="13"/>
      <c r="HNP55" s="13"/>
      <c r="HNQ55" s="13"/>
      <c r="HNR55" s="13"/>
      <c r="HNS55" s="13"/>
      <c r="HNT55" s="13"/>
      <c r="HNU55" s="13"/>
      <c r="HNV55" s="13"/>
      <c r="HNW55" s="13"/>
      <c r="HNX55" s="13"/>
      <c r="HNY55" s="13"/>
      <c r="HNZ55" s="13"/>
      <c r="HOA55" s="13"/>
      <c r="HOB55" s="13"/>
      <c r="HOC55" s="13"/>
      <c r="HOD55" s="13"/>
      <c r="HOE55" s="13"/>
      <c r="HOF55" s="13"/>
      <c r="HOG55" s="13"/>
      <c r="HOH55" s="13"/>
      <c r="HOI55" s="13"/>
      <c r="HOJ55" s="13"/>
      <c r="HOK55" s="13"/>
      <c r="HOL55" s="13"/>
      <c r="HOM55" s="13"/>
      <c r="HON55" s="13"/>
      <c r="HOO55" s="13"/>
      <c r="HOP55" s="13"/>
      <c r="HOQ55" s="13"/>
      <c r="HOR55" s="13"/>
      <c r="HOS55" s="13"/>
      <c r="HOT55" s="13"/>
      <c r="HOU55" s="13"/>
      <c r="HOV55" s="13"/>
      <c r="HOW55" s="13"/>
      <c r="HOX55" s="13"/>
      <c r="HOY55" s="13"/>
      <c r="HOZ55" s="13"/>
      <c r="HPA55" s="13"/>
      <c r="HPB55" s="13"/>
      <c r="HPC55" s="13"/>
      <c r="HPD55" s="13"/>
      <c r="HPE55" s="13"/>
      <c r="HPF55" s="13"/>
      <c r="HPG55" s="13"/>
      <c r="HPH55" s="13"/>
      <c r="HPI55" s="13"/>
      <c r="HPJ55" s="13"/>
      <c r="HPK55" s="13"/>
      <c r="HPL55" s="13"/>
      <c r="HPM55" s="13"/>
      <c r="HPN55" s="13"/>
      <c r="HPO55" s="13"/>
      <c r="HPP55" s="13"/>
      <c r="HPQ55" s="13"/>
      <c r="HPR55" s="13"/>
      <c r="HPS55" s="13"/>
      <c r="HPT55" s="13"/>
      <c r="HPU55" s="13"/>
      <c r="HPV55" s="13"/>
      <c r="HPW55" s="13"/>
      <c r="HPX55" s="13"/>
      <c r="HPY55" s="13"/>
      <c r="HPZ55" s="13"/>
      <c r="HQA55" s="13"/>
      <c r="HQB55" s="13"/>
      <c r="HQC55" s="13"/>
      <c r="HQD55" s="13"/>
      <c r="HQE55" s="13"/>
      <c r="HQF55" s="13"/>
      <c r="HQG55" s="13"/>
      <c r="HQH55" s="13"/>
      <c r="HQI55" s="13"/>
      <c r="HQJ55" s="13"/>
      <c r="HQK55" s="13"/>
      <c r="HQL55" s="13"/>
      <c r="HQM55" s="13"/>
      <c r="HQN55" s="13"/>
      <c r="HQO55" s="13"/>
      <c r="HQP55" s="13"/>
      <c r="HQQ55" s="13"/>
      <c r="HQR55" s="13"/>
      <c r="HQS55" s="13"/>
      <c r="HQT55" s="13"/>
      <c r="HQU55" s="13"/>
      <c r="HQV55" s="13"/>
      <c r="HQW55" s="13"/>
      <c r="HQX55" s="13"/>
      <c r="HQY55" s="13"/>
      <c r="HQZ55" s="13"/>
      <c r="HRA55" s="13"/>
      <c r="HRB55" s="13"/>
      <c r="HRC55" s="13"/>
      <c r="HRD55" s="13"/>
      <c r="HRE55" s="13"/>
      <c r="HRF55" s="13"/>
      <c r="HRG55" s="13"/>
      <c r="HRH55" s="13"/>
      <c r="HRI55" s="13"/>
      <c r="HRJ55" s="13"/>
      <c r="HRK55" s="13"/>
      <c r="HRL55" s="13"/>
      <c r="HRM55" s="13"/>
      <c r="HRN55" s="13"/>
      <c r="HRO55" s="13"/>
      <c r="HRP55" s="13"/>
      <c r="HRQ55" s="13"/>
      <c r="HRR55" s="13"/>
      <c r="HRS55" s="13"/>
      <c r="HRT55" s="13"/>
      <c r="HRU55" s="13"/>
      <c r="HRV55" s="13"/>
      <c r="HRW55" s="13"/>
      <c r="HRX55" s="13"/>
      <c r="HRY55" s="13"/>
      <c r="HRZ55" s="13"/>
      <c r="HSA55" s="13"/>
      <c r="HSB55" s="13"/>
      <c r="HSC55" s="13"/>
      <c r="HSD55" s="13"/>
      <c r="HSE55" s="13"/>
      <c r="HSF55" s="13"/>
      <c r="HSG55" s="13"/>
      <c r="HSH55" s="13"/>
      <c r="HSI55" s="13"/>
      <c r="HSJ55" s="13"/>
      <c r="HSK55" s="13"/>
      <c r="HSL55" s="13"/>
      <c r="HSM55" s="13"/>
      <c r="HSN55" s="13"/>
      <c r="HSO55" s="13"/>
      <c r="HSP55" s="13"/>
      <c r="HSQ55" s="13"/>
      <c r="HSR55" s="13"/>
      <c r="HSS55" s="13"/>
      <c r="HST55" s="13"/>
      <c r="HSU55" s="13"/>
      <c r="HSV55" s="13"/>
      <c r="HSW55" s="13"/>
      <c r="HSX55" s="13"/>
      <c r="HSY55" s="13"/>
      <c r="HSZ55" s="13"/>
      <c r="HTA55" s="13"/>
      <c r="HTB55" s="13"/>
      <c r="HTC55" s="13"/>
      <c r="HTD55" s="13"/>
      <c r="HTE55" s="13"/>
      <c r="HTF55" s="13"/>
      <c r="HTG55" s="13"/>
      <c r="HTH55" s="13"/>
      <c r="HTI55" s="13"/>
      <c r="HTJ55" s="13"/>
      <c r="HTK55" s="13"/>
      <c r="HTL55" s="13"/>
      <c r="HTM55" s="13"/>
      <c r="HTN55" s="13"/>
      <c r="HTO55" s="13"/>
      <c r="HTP55" s="13"/>
      <c r="HTQ55" s="13"/>
      <c r="HTR55" s="13"/>
      <c r="HTS55" s="13"/>
      <c r="HTT55" s="13"/>
      <c r="HTU55" s="13"/>
      <c r="HTV55" s="13"/>
      <c r="HTW55" s="13"/>
      <c r="HTX55" s="13"/>
      <c r="HTY55" s="13"/>
      <c r="HTZ55" s="13"/>
      <c r="HUA55" s="13"/>
      <c r="HUB55" s="13"/>
      <c r="HUC55" s="13"/>
      <c r="HUD55" s="13"/>
      <c r="HUE55" s="13"/>
      <c r="HUF55" s="13"/>
      <c r="HUG55" s="13"/>
      <c r="HUH55" s="13"/>
      <c r="HUI55" s="13"/>
      <c r="HUJ55" s="13"/>
      <c r="HUK55" s="13"/>
      <c r="HUL55" s="13"/>
      <c r="HUM55" s="13"/>
      <c r="HUN55" s="13"/>
      <c r="HUO55" s="13"/>
      <c r="HUP55" s="13"/>
      <c r="HUQ55" s="13"/>
      <c r="HUR55" s="13"/>
      <c r="HUS55" s="13"/>
      <c r="HUT55" s="13"/>
      <c r="HUU55" s="13"/>
      <c r="HUV55" s="13"/>
      <c r="HUW55" s="13"/>
      <c r="HUX55" s="13"/>
      <c r="HUY55" s="13"/>
      <c r="HUZ55" s="13"/>
      <c r="HVA55" s="13"/>
      <c r="HVB55" s="13"/>
      <c r="HVC55" s="13"/>
      <c r="HVD55" s="13"/>
      <c r="HVE55" s="13"/>
      <c r="HVF55" s="13"/>
      <c r="HVG55" s="13"/>
      <c r="HVH55" s="13"/>
      <c r="HVI55" s="13"/>
      <c r="HVJ55" s="13"/>
      <c r="HVK55" s="13"/>
      <c r="HVL55" s="13"/>
      <c r="HVM55" s="13"/>
      <c r="HVN55" s="13"/>
      <c r="HVO55" s="13"/>
      <c r="HVP55" s="13"/>
      <c r="HVQ55" s="13"/>
      <c r="HVR55" s="13"/>
      <c r="HVS55" s="13"/>
      <c r="HVT55" s="13"/>
      <c r="HVU55" s="13"/>
      <c r="HVV55" s="13"/>
      <c r="HVW55" s="13"/>
      <c r="HVX55" s="13"/>
      <c r="HVY55" s="13"/>
      <c r="HVZ55" s="13"/>
      <c r="HWA55" s="13"/>
      <c r="HWB55" s="13"/>
      <c r="HWC55" s="13"/>
      <c r="HWD55" s="13"/>
      <c r="HWE55" s="13"/>
      <c r="HWF55" s="13"/>
      <c r="HWG55" s="13"/>
      <c r="HWH55" s="13"/>
      <c r="HWI55" s="13"/>
      <c r="HWJ55" s="13"/>
      <c r="HWK55" s="13"/>
      <c r="HWL55" s="13"/>
      <c r="HWM55" s="13"/>
      <c r="HWN55" s="13"/>
      <c r="HWO55" s="13"/>
      <c r="HWP55" s="13"/>
      <c r="HWQ55" s="13"/>
      <c r="HWR55" s="13"/>
      <c r="HWS55" s="13"/>
      <c r="HWT55" s="13"/>
      <c r="HWU55" s="13"/>
      <c r="HWV55" s="13"/>
      <c r="HWW55" s="13"/>
      <c r="HWX55" s="13"/>
      <c r="HWY55" s="13"/>
      <c r="HWZ55" s="13"/>
      <c r="HXA55" s="13"/>
      <c r="HXB55" s="13"/>
      <c r="HXC55" s="13"/>
      <c r="HXD55" s="13"/>
      <c r="HXE55" s="13"/>
      <c r="HXF55" s="13"/>
      <c r="HXG55" s="13"/>
      <c r="HXH55" s="13"/>
      <c r="HXI55" s="13"/>
      <c r="HXJ55" s="13"/>
      <c r="HXK55" s="13"/>
      <c r="HXL55" s="13"/>
      <c r="HXM55" s="13"/>
      <c r="HXN55" s="13"/>
      <c r="HXO55" s="13"/>
      <c r="HXP55" s="13"/>
      <c r="HXQ55" s="13"/>
      <c r="HXR55" s="13"/>
      <c r="HXS55" s="13"/>
      <c r="HXT55" s="13"/>
      <c r="HXU55" s="13"/>
      <c r="HXV55" s="13"/>
      <c r="HXW55" s="13"/>
      <c r="HXX55" s="13"/>
      <c r="HXY55" s="13"/>
      <c r="HXZ55" s="13"/>
      <c r="HYA55" s="13"/>
      <c r="HYB55" s="13"/>
      <c r="HYC55" s="13"/>
      <c r="HYD55" s="13"/>
      <c r="HYE55" s="13"/>
      <c r="HYF55" s="13"/>
      <c r="HYG55" s="13"/>
      <c r="HYH55" s="13"/>
      <c r="HYI55" s="13"/>
      <c r="HYJ55" s="13"/>
      <c r="HYK55" s="13"/>
      <c r="HYL55" s="13"/>
      <c r="HYM55" s="13"/>
      <c r="HYN55" s="13"/>
      <c r="HYO55" s="13"/>
      <c r="HYP55" s="13"/>
      <c r="HYQ55" s="13"/>
      <c r="HYR55" s="13"/>
      <c r="HYS55" s="13"/>
      <c r="HYT55" s="13"/>
      <c r="HYU55" s="13"/>
      <c r="HYV55" s="13"/>
      <c r="HYW55" s="13"/>
      <c r="HYX55" s="13"/>
      <c r="HYY55" s="13"/>
      <c r="HYZ55" s="13"/>
      <c r="HZA55" s="13"/>
      <c r="HZB55" s="13"/>
      <c r="HZC55" s="13"/>
      <c r="HZD55" s="13"/>
      <c r="HZE55" s="13"/>
      <c r="HZF55" s="13"/>
      <c r="HZG55" s="13"/>
      <c r="HZH55" s="13"/>
      <c r="HZI55" s="13"/>
      <c r="HZJ55" s="13"/>
      <c r="HZK55" s="13"/>
      <c r="HZL55" s="13"/>
      <c r="HZM55" s="13"/>
      <c r="HZN55" s="13"/>
      <c r="HZO55" s="13"/>
      <c r="HZP55" s="13"/>
      <c r="HZQ55" s="13"/>
      <c r="HZR55" s="13"/>
      <c r="HZS55" s="13"/>
      <c r="HZT55" s="13"/>
      <c r="HZU55" s="13"/>
      <c r="HZV55" s="13"/>
      <c r="HZW55" s="13"/>
      <c r="HZX55" s="13"/>
      <c r="HZY55" s="13"/>
      <c r="HZZ55" s="13"/>
      <c r="IAA55" s="13"/>
      <c r="IAB55" s="13"/>
      <c r="IAC55" s="13"/>
      <c r="IAD55" s="13"/>
      <c r="IAE55" s="13"/>
      <c r="IAF55" s="13"/>
      <c r="IAG55" s="13"/>
      <c r="IAH55" s="13"/>
      <c r="IAI55" s="13"/>
      <c r="IAJ55" s="13"/>
      <c r="IAK55" s="13"/>
      <c r="IAL55" s="13"/>
      <c r="IAM55" s="13"/>
      <c r="IAN55" s="13"/>
      <c r="IAO55" s="13"/>
      <c r="IAP55" s="13"/>
      <c r="IAQ55" s="13"/>
      <c r="IAR55" s="13"/>
      <c r="IAS55" s="13"/>
      <c r="IAT55" s="13"/>
      <c r="IAU55" s="13"/>
      <c r="IAV55" s="13"/>
      <c r="IAW55" s="13"/>
      <c r="IAX55" s="13"/>
      <c r="IAY55" s="13"/>
      <c r="IAZ55" s="13"/>
      <c r="IBA55" s="13"/>
      <c r="IBB55" s="13"/>
      <c r="IBC55" s="13"/>
      <c r="IBD55" s="13"/>
      <c r="IBE55" s="13"/>
      <c r="IBF55" s="13"/>
      <c r="IBG55" s="13"/>
      <c r="IBH55" s="13"/>
      <c r="IBI55" s="13"/>
      <c r="IBJ55" s="13"/>
      <c r="IBK55" s="13"/>
      <c r="IBL55" s="13"/>
      <c r="IBM55" s="13"/>
      <c r="IBN55" s="13"/>
      <c r="IBO55" s="13"/>
      <c r="IBP55" s="13"/>
      <c r="IBQ55" s="13"/>
      <c r="IBR55" s="13"/>
      <c r="IBS55" s="13"/>
      <c r="IBT55" s="13"/>
      <c r="IBU55" s="13"/>
      <c r="IBV55" s="13"/>
      <c r="IBW55" s="13"/>
      <c r="IBX55" s="13"/>
      <c r="IBY55" s="13"/>
      <c r="IBZ55" s="13"/>
      <c r="ICA55" s="13"/>
      <c r="ICB55" s="13"/>
      <c r="ICC55" s="13"/>
      <c r="ICD55" s="13"/>
      <c r="ICE55" s="13"/>
      <c r="ICF55" s="13"/>
      <c r="ICG55" s="13"/>
      <c r="ICH55" s="13"/>
      <c r="ICI55" s="13"/>
      <c r="ICJ55" s="13"/>
      <c r="ICK55" s="13"/>
      <c r="ICL55" s="13"/>
      <c r="ICM55" s="13"/>
      <c r="ICN55" s="13"/>
      <c r="ICO55" s="13"/>
      <c r="ICP55" s="13"/>
      <c r="ICQ55" s="13"/>
      <c r="ICR55" s="13"/>
      <c r="ICS55" s="13"/>
      <c r="ICT55" s="13"/>
      <c r="ICU55" s="13"/>
      <c r="ICV55" s="13"/>
      <c r="ICW55" s="13"/>
      <c r="ICX55" s="13"/>
      <c r="ICY55" s="13"/>
      <c r="ICZ55" s="13"/>
      <c r="IDA55" s="13"/>
      <c r="IDB55" s="13"/>
      <c r="IDC55" s="13"/>
      <c r="IDD55" s="13"/>
      <c r="IDE55" s="13"/>
      <c r="IDF55" s="13"/>
      <c r="IDG55" s="13"/>
      <c r="IDH55" s="13"/>
      <c r="IDI55" s="13"/>
      <c r="IDJ55" s="13"/>
      <c r="IDK55" s="13"/>
      <c r="IDL55" s="13"/>
      <c r="IDM55" s="13"/>
      <c r="IDN55" s="13"/>
      <c r="IDO55" s="13"/>
      <c r="IDP55" s="13"/>
      <c r="IDQ55" s="13"/>
      <c r="IDR55" s="13"/>
      <c r="IDS55" s="13"/>
      <c r="IDT55" s="13"/>
      <c r="IDU55" s="13"/>
      <c r="IDV55" s="13"/>
      <c r="IDW55" s="13"/>
      <c r="IDX55" s="13"/>
      <c r="IDY55" s="13"/>
      <c r="IDZ55" s="13"/>
      <c r="IEA55" s="13"/>
      <c r="IEB55" s="13"/>
      <c r="IEC55" s="13"/>
      <c r="IED55" s="13"/>
      <c r="IEE55" s="13"/>
      <c r="IEF55" s="13"/>
      <c r="IEG55" s="13"/>
      <c r="IEH55" s="13"/>
      <c r="IEI55" s="13"/>
      <c r="IEJ55" s="13"/>
      <c r="IEK55" s="13"/>
      <c r="IEL55" s="13"/>
      <c r="IEM55" s="13"/>
      <c r="IEN55" s="13"/>
      <c r="IEO55" s="13"/>
      <c r="IEP55" s="13"/>
      <c r="IEQ55" s="13"/>
      <c r="IER55" s="13"/>
      <c r="IES55" s="13"/>
      <c r="IET55" s="13"/>
      <c r="IEU55" s="13"/>
      <c r="IEV55" s="13"/>
      <c r="IEW55" s="13"/>
      <c r="IEX55" s="13"/>
      <c r="IEY55" s="13"/>
      <c r="IEZ55" s="13"/>
      <c r="IFA55" s="13"/>
      <c r="IFB55" s="13"/>
      <c r="IFC55" s="13"/>
      <c r="IFD55" s="13"/>
      <c r="IFE55" s="13"/>
      <c r="IFF55" s="13"/>
      <c r="IFG55" s="13"/>
      <c r="IFH55" s="13"/>
      <c r="IFI55" s="13"/>
      <c r="IFJ55" s="13"/>
      <c r="IFK55" s="13"/>
      <c r="IFL55" s="13"/>
      <c r="IFM55" s="13"/>
      <c r="IFN55" s="13"/>
      <c r="IFO55" s="13"/>
      <c r="IFP55" s="13"/>
      <c r="IFQ55" s="13"/>
      <c r="IFR55" s="13"/>
      <c r="IFS55" s="13"/>
      <c r="IFT55" s="13"/>
      <c r="IFU55" s="13"/>
      <c r="IFV55" s="13"/>
      <c r="IFW55" s="13"/>
      <c r="IFX55" s="13"/>
      <c r="IFY55" s="13"/>
      <c r="IFZ55" s="13"/>
      <c r="IGA55" s="13"/>
      <c r="IGB55" s="13"/>
      <c r="IGC55" s="13"/>
      <c r="IGD55" s="13"/>
      <c r="IGE55" s="13"/>
      <c r="IGF55" s="13"/>
      <c r="IGG55" s="13"/>
      <c r="IGH55" s="13"/>
      <c r="IGI55" s="13"/>
      <c r="IGJ55" s="13"/>
      <c r="IGK55" s="13"/>
      <c r="IGL55" s="13"/>
      <c r="IGM55" s="13"/>
      <c r="IGN55" s="13"/>
      <c r="IGO55" s="13"/>
      <c r="IGP55" s="13"/>
      <c r="IGQ55" s="13"/>
      <c r="IGR55" s="13"/>
      <c r="IGS55" s="13"/>
      <c r="IGT55" s="13"/>
      <c r="IGU55" s="13"/>
      <c r="IGV55" s="13"/>
      <c r="IGW55" s="13"/>
      <c r="IGX55" s="13"/>
      <c r="IGY55" s="13"/>
      <c r="IGZ55" s="13"/>
      <c r="IHA55" s="13"/>
      <c r="IHB55" s="13"/>
      <c r="IHC55" s="13"/>
      <c r="IHD55" s="13"/>
      <c r="IHE55" s="13"/>
      <c r="IHF55" s="13"/>
      <c r="IHG55" s="13"/>
      <c r="IHH55" s="13"/>
      <c r="IHI55" s="13"/>
      <c r="IHJ55" s="13"/>
      <c r="IHK55" s="13"/>
      <c r="IHL55" s="13"/>
      <c r="IHM55" s="13"/>
      <c r="IHN55" s="13"/>
      <c r="IHO55" s="13"/>
      <c r="IHP55" s="13"/>
      <c r="IHQ55" s="13"/>
      <c r="IHR55" s="13"/>
      <c r="IHS55" s="13"/>
      <c r="IHT55" s="13"/>
      <c r="IHU55" s="13"/>
      <c r="IHV55" s="13"/>
      <c r="IHW55" s="13"/>
      <c r="IHX55" s="13"/>
      <c r="IHY55" s="13"/>
      <c r="IHZ55" s="13"/>
      <c r="IIA55" s="13"/>
      <c r="IIB55" s="13"/>
      <c r="IIC55" s="13"/>
      <c r="IID55" s="13"/>
      <c r="IIE55" s="13"/>
      <c r="IIF55" s="13"/>
      <c r="IIG55" s="13"/>
      <c r="IIH55" s="13"/>
      <c r="III55" s="13"/>
      <c r="IIJ55" s="13"/>
      <c r="IIK55" s="13"/>
      <c r="IIL55" s="13"/>
      <c r="IIM55" s="13"/>
      <c r="IIN55" s="13"/>
      <c r="IIO55" s="13"/>
      <c r="IIP55" s="13"/>
      <c r="IIQ55" s="13"/>
      <c r="IIR55" s="13"/>
      <c r="IIS55" s="13"/>
      <c r="IIT55" s="13"/>
      <c r="IIU55" s="13"/>
      <c r="IIV55" s="13"/>
      <c r="IIW55" s="13"/>
      <c r="IIX55" s="13"/>
      <c r="IIY55" s="13"/>
      <c r="IIZ55" s="13"/>
      <c r="IJA55" s="13"/>
      <c r="IJB55" s="13"/>
      <c r="IJC55" s="13"/>
      <c r="IJD55" s="13"/>
      <c r="IJE55" s="13"/>
      <c r="IJF55" s="13"/>
      <c r="IJG55" s="13"/>
      <c r="IJH55" s="13"/>
      <c r="IJI55" s="13"/>
      <c r="IJJ55" s="13"/>
      <c r="IJK55" s="13"/>
      <c r="IJL55" s="13"/>
      <c r="IJM55" s="13"/>
      <c r="IJN55" s="13"/>
      <c r="IJO55" s="13"/>
      <c r="IJP55" s="13"/>
      <c r="IJQ55" s="13"/>
      <c r="IJR55" s="13"/>
      <c r="IJS55" s="13"/>
      <c r="IJT55" s="13"/>
      <c r="IJU55" s="13"/>
      <c r="IJV55" s="13"/>
      <c r="IJW55" s="13"/>
      <c r="IJX55" s="13"/>
      <c r="IJY55" s="13"/>
      <c r="IJZ55" s="13"/>
      <c r="IKA55" s="13"/>
      <c r="IKB55" s="13"/>
      <c r="IKC55" s="13"/>
      <c r="IKD55" s="13"/>
      <c r="IKE55" s="13"/>
      <c r="IKF55" s="13"/>
      <c r="IKG55" s="13"/>
      <c r="IKH55" s="13"/>
      <c r="IKI55" s="13"/>
      <c r="IKJ55" s="13"/>
      <c r="IKK55" s="13"/>
      <c r="IKL55" s="13"/>
      <c r="IKM55" s="13"/>
      <c r="IKN55" s="13"/>
      <c r="IKO55" s="13"/>
      <c r="IKP55" s="13"/>
      <c r="IKQ55" s="13"/>
      <c r="IKR55" s="13"/>
      <c r="IKS55" s="13"/>
      <c r="IKT55" s="13"/>
      <c r="IKU55" s="13"/>
      <c r="IKV55" s="13"/>
      <c r="IKW55" s="13"/>
      <c r="IKX55" s="13"/>
      <c r="IKY55" s="13"/>
      <c r="IKZ55" s="13"/>
      <c r="ILA55" s="13"/>
      <c r="ILB55" s="13"/>
      <c r="ILC55" s="13"/>
      <c r="ILD55" s="13"/>
      <c r="ILE55" s="13"/>
      <c r="ILF55" s="13"/>
      <c r="ILG55" s="13"/>
      <c r="ILH55" s="13"/>
      <c r="ILI55" s="13"/>
      <c r="ILJ55" s="13"/>
      <c r="ILK55" s="13"/>
      <c r="ILL55" s="13"/>
      <c r="ILM55" s="13"/>
      <c r="ILN55" s="13"/>
      <c r="ILO55" s="13"/>
      <c r="ILP55" s="13"/>
      <c r="ILQ55" s="13"/>
      <c r="ILR55" s="13"/>
      <c r="ILS55" s="13"/>
      <c r="ILT55" s="13"/>
      <c r="ILU55" s="13"/>
      <c r="ILV55" s="13"/>
      <c r="ILW55" s="13"/>
      <c r="ILX55" s="13"/>
      <c r="ILY55" s="13"/>
      <c r="ILZ55" s="13"/>
      <c r="IMA55" s="13"/>
      <c r="IMB55" s="13"/>
      <c r="IMC55" s="13"/>
      <c r="IMD55" s="13"/>
      <c r="IME55" s="13"/>
      <c r="IMF55" s="13"/>
      <c r="IMG55" s="13"/>
      <c r="IMH55" s="13"/>
      <c r="IMI55" s="13"/>
      <c r="IMJ55" s="13"/>
      <c r="IMK55" s="13"/>
      <c r="IML55" s="13"/>
      <c r="IMM55" s="13"/>
      <c r="IMN55" s="13"/>
      <c r="IMO55" s="13"/>
      <c r="IMP55" s="13"/>
      <c r="IMQ55" s="13"/>
      <c r="IMR55" s="13"/>
      <c r="IMS55" s="13"/>
      <c r="IMT55" s="13"/>
      <c r="IMU55" s="13"/>
      <c r="IMV55" s="13"/>
      <c r="IMW55" s="13"/>
      <c r="IMX55" s="13"/>
      <c r="IMY55" s="13"/>
      <c r="IMZ55" s="13"/>
      <c r="INA55" s="13"/>
      <c r="INB55" s="13"/>
      <c r="INC55" s="13"/>
      <c r="IND55" s="13"/>
      <c r="INE55" s="13"/>
      <c r="INF55" s="13"/>
      <c r="ING55" s="13"/>
      <c r="INH55" s="13"/>
      <c r="INI55" s="13"/>
      <c r="INJ55" s="13"/>
      <c r="INK55" s="13"/>
      <c r="INL55" s="13"/>
      <c r="INM55" s="13"/>
      <c r="INN55" s="13"/>
      <c r="INO55" s="13"/>
      <c r="INP55" s="13"/>
      <c r="INQ55" s="13"/>
      <c r="INR55" s="13"/>
      <c r="INS55" s="13"/>
      <c r="INT55" s="13"/>
      <c r="INU55" s="13"/>
      <c r="INV55" s="13"/>
      <c r="INW55" s="13"/>
      <c r="INX55" s="13"/>
      <c r="INY55" s="13"/>
      <c r="INZ55" s="13"/>
      <c r="IOA55" s="13"/>
      <c r="IOB55" s="13"/>
      <c r="IOC55" s="13"/>
      <c r="IOD55" s="13"/>
      <c r="IOE55" s="13"/>
      <c r="IOF55" s="13"/>
      <c r="IOG55" s="13"/>
      <c r="IOH55" s="13"/>
      <c r="IOI55" s="13"/>
      <c r="IOJ55" s="13"/>
      <c r="IOK55" s="13"/>
      <c r="IOL55" s="13"/>
      <c r="IOM55" s="13"/>
      <c r="ION55" s="13"/>
      <c r="IOO55" s="13"/>
      <c r="IOP55" s="13"/>
      <c r="IOQ55" s="13"/>
      <c r="IOR55" s="13"/>
      <c r="IOS55" s="13"/>
      <c r="IOT55" s="13"/>
      <c r="IOU55" s="13"/>
      <c r="IOV55" s="13"/>
      <c r="IOW55" s="13"/>
      <c r="IOX55" s="13"/>
      <c r="IOY55" s="13"/>
      <c r="IOZ55" s="13"/>
      <c r="IPA55" s="13"/>
      <c r="IPB55" s="13"/>
      <c r="IPC55" s="13"/>
      <c r="IPD55" s="13"/>
      <c r="IPE55" s="13"/>
      <c r="IPF55" s="13"/>
      <c r="IPG55" s="13"/>
      <c r="IPH55" s="13"/>
      <c r="IPI55" s="13"/>
      <c r="IPJ55" s="13"/>
      <c r="IPK55" s="13"/>
      <c r="IPL55" s="13"/>
      <c r="IPM55" s="13"/>
      <c r="IPN55" s="13"/>
      <c r="IPO55" s="13"/>
      <c r="IPP55" s="13"/>
      <c r="IPQ55" s="13"/>
      <c r="IPR55" s="13"/>
      <c r="IPS55" s="13"/>
      <c r="IPT55" s="13"/>
      <c r="IPU55" s="13"/>
      <c r="IPV55" s="13"/>
      <c r="IPW55" s="13"/>
      <c r="IPX55" s="13"/>
      <c r="IPY55" s="13"/>
      <c r="IPZ55" s="13"/>
      <c r="IQA55" s="13"/>
      <c r="IQB55" s="13"/>
      <c r="IQC55" s="13"/>
      <c r="IQD55" s="13"/>
      <c r="IQE55" s="13"/>
      <c r="IQF55" s="13"/>
      <c r="IQG55" s="13"/>
      <c r="IQH55" s="13"/>
      <c r="IQI55" s="13"/>
      <c r="IQJ55" s="13"/>
      <c r="IQK55" s="13"/>
      <c r="IQL55" s="13"/>
      <c r="IQM55" s="13"/>
      <c r="IQN55" s="13"/>
      <c r="IQO55" s="13"/>
      <c r="IQP55" s="13"/>
      <c r="IQQ55" s="13"/>
      <c r="IQR55" s="13"/>
      <c r="IQS55" s="13"/>
      <c r="IQT55" s="13"/>
      <c r="IQU55" s="13"/>
      <c r="IQV55" s="13"/>
      <c r="IQW55" s="13"/>
      <c r="IQX55" s="13"/>
      <c r="IQY55" s="13"/>
      <c r="IQZ55" s="13"/>
      <c r="IRA55" s="13"/>
      <c r="IRB55" s="13"/>
      <c r="IRC55" s="13"/>
      <c r="IRD55" s="13"/>
      <c r="IRE55" s="13"/>
      <c r="IRF55" s="13"/>
      <c r="IRG55" s="13"/>
      <c r="IRH55" s="13"/>
      <c r="IRI55" s="13"/>
      <c r="IRJ55" s="13"/>
      <c r="IRK55" s="13"/>
      <c r="IRL55" s="13"/>
      <c r="IRM55" s="13"/>
      <c r="IRN55" s="13"/>
      <c r="IRO55" s="13"/>
      <c r="IRP55" s="13"/>
      <c r="IRQ55" s="13"/>
      <c r="IRR55" s="13"/>
      <c r="IRS55" s="13"/>
      <c r="IRT55" s="13"/>
      <c r="IRU55" s="13"/>
      <c r="IRV55" s="13"/>
      <c r="IRW55" s="13"/>
      <c r="IRX55" s="13"/>
      <c r="IRY55" s="13"/>
      <c r="IRZ55" s="13"/>
      <c r="ISA55" s="13"/>
      <c r="ISB55" s="13"/>
      <c r="ISC55" s="13"/>
      <c r="ISD55" s="13"/>
      <c r="ISE55" s="13"/>
      <c r="ISF55" s="13"/>
      <c r="ISG55" s="13"/>
      <c r="ISH55" s="13"/>
      <c r="ISI55" s="13"/>
      <c r="ISJ55" s="13"/>
      <c r="ISK55" s="13"/>
      <c r="ISL55" s="13"/>
      <c r="ISM55" s="13"/>
      <c r="ISN55" s="13"/>
      <c r="ISO55" s="13"/>
      <c r="ISP55" s="13"/>
      <c r="ISQ55" s="13"/>
      <c r="ISR55" s="13"/>
      <c r="ISS55" s="13"/>
      <c r="IST55" s="13"/>
      <c r="ISU55" s="13"/>
      <c r="ISV55" s="13"/>
      <c r="ISW55" s="13"/>
      <c r="ISX55" s="13"/>
      <c r="ISY55" s="13"/>
      <c r="ISZ55" s="13"/>
      <c r="ITA55" s="13"/>
      <c r="ITB55" s="13"/>
      <c r="ITC55" s="13"/>
      <c r="ITD55" s="13"/>
      <c r="ITE55" s="13"/>
      <c r="ITF55" s="13"/>
      <c r="ITG55" s="13"/>
      <c r="ITH55" s="13"/>
      <c r="ITI55" s="13"/>
      <c r="ITJ55" s="13"/>
      <c r="ITK55" s="13"/>
      <c r="ITL55" s="13"/>
      <c r="ITM55" s="13"/>
      <c r="ITN55" s="13"/>
      <c r="ITO55" s="13"/>
      <c r="ITP55" s="13"/>
      <c r="ITQ55" s="13"/>
      <c r="ITR55" s="13"/>
      <c r="ITS55" s="13"/>
      <c r="ITT55" s="13"/>
      <c r="ITU55" s="13"/>
      <c r="ITV55" s="13"/>
      <c r="ITW55" s="13"/>
      <c r="ITX55" s="13"/>
      <c r="ITY55" s="13"/>
      <c r="ITZ55" s="13"/>
      <c r="IUA55" s="13"/>
      <c r="IUB55" s="13"/>
      <c r="IUC55" s="13"/>
      <c r="IUD55" s="13"/>
      <c r="IUE55" s="13"/>
      <c r="IUF55" s="13"/>
      <c r="IUG55" s="13"/>
      <c r="IUH55" s="13"/>
      <c r="IUI55" s="13"/>
      <c r="IUJ55" s="13"/>
      <c r="IUK55" s="13"/>
      <c r="IUL55" s="13"/>
      <c r="IUM55" s="13"/>
      <c r="IUN55" s="13"/>
      <c r="IUO55" s="13"/>
      <c r="IUP55" s="13"/>
      <c r="IUQ55" s="13"/>
      <c r="IUR55" s="13"/>
      <c r="IUS55" s="13"/>
      <c r="IUT55" s="13"/>
      <c r="IUU55" s="13"/>
      <c r="IUV55" s="13"/>
      <c r="IUW55" s="13"/>
      <c r="IUX55" s="13"/>
      <c r="IUY55" s="13"/>
      <c r="IUZ55" s="13"/>
      <c r="IVA55" s="13"/>
      <c r="IVB55" s="13"/>
      <c r="IVC55" s="13"/>
      <c r="IVD55" s="13"/>
      <c r="IVE55" s="13"/>
      <c r="IVF55" s="13"/>
      <c r="IVG55" s="13"/>
      <c r="IVH55" s="13"/>
      <c r="IVI55" s="13"/>
      <c r="IVJ55" s="13"/>
      <c r="IVK55" s="13"/>
      <c r="IVL55" s="13"/>
      <c r="IVM55" s="13"/>
      <c r="IVN55" s="13"/>
      <c r="IVO55" s="13"/>
      <c r="IVP55" s="13"/>
      <c r="IVQ55" s="13"/>
      <c r="IVR55" s="13"/>
      <c r="IVS55" s="13"/>
      <c r="IVT55" s="13"/>
      <c r="IVU55" s="13"/>
      <c r="IVV55" s="13"/>
      <c r="IVW55" s="13"/>
      <c r="IVX55" s="13"/>
      <c r="IVY55" s="13"/>
      <c r="IVZ55" s="13"/>
      <c r="IWA55" s="13"/>
      <c r="IWB55" s="13"/>
      <c r="IWC55" s="13"/>
      <c r="IWD55" s="13"/>
      <c r="IWE55" s="13"/>
      <c r="IWF55" s="13"/>
      <c r="IWG55" s="13"/>
      <c r="IWH55" s="13"/>
      <c r="IWI55" s="13"/>
      <c r="IWJ55" s="13"/>
      <c r="IWK55" s="13"/>
      <c r="IWL55" s="13"/>
      <c r="IWM55" s="13"/>
      <c r="IWN55" s="13"/>
      <c r="IWO55" s="13"/>
      <c r="IWP55" s="13"/>
      <c r="IWQ55" s="13"/>
      <c r="IWR55" s="13"/>
      <c r="IWS55" s="13"/>
      <c r="IWT55" s="13"/>
      <c r="IWU55" s="13"/>
      <c r="IWV55" s="13"/>
      <c r="IWW55" s="13"/>
      <c r="IWX55" s="13"/>
      <c r="IWY55" s="13"/>
      <c r="IWZ55" s="13"/>
      <c r="IXA55" s="13"/>
      <c r="IXB55" s="13"/>
      <c r="IXC55" s="13"/>
      <c r="IXD55" s="13"/>
      <c r="IXE55" s="13"/>
      <c r="IXF55" s="13"/>
      <c r="IXG55" s="13"/>
      <c r="IXH55" s="13"/>
      <c r="IXI55" s="13"/>
      <c r="IXJ55" s="13"/>
      <c r="IXK55" s="13"/>
      <c r="IXL55" s="13"/>
      <c r="IXM55" s="13"/>
      <c r="IXN55" s="13"/>
      <c r="IXO55" s="13"/>
      <c r="IXP55" s="13"/>
      <c r="IXQ55" s="13"/>
      <c r="IXR55" s="13"/>
      <c r="IXS55" s="13"/>
      <c r="IXT55" s="13"/>
      <c r="IXU55" s="13"/>
      <c r="IXV55" s="13"/>
      <c r="IXW55" s="13"/>
      <c r="IXX55" s="13"/>
      <c r="IXY55" s="13"/>
      <c r="IXZ55" s="13"/>
      <c r="IYA55" s="13"/>
      <c r="IYB55" s="13"/>
      <c r="IYC55" s="13"/>
      <c r="IYD55" s="13"/>
      <c r="IYE55" s="13"/>
      <c r="IYF55" s="13"/>
      <c r="IYG55" s="13"/>
      <c r="IYH55" s="13"/>
      <c r="IYI55" s="13"/>
      <c r="IYJ55" s="13"/>
      <c r="IYK55" s="13"/>
      <c r="IYL55" s="13"/>
      <c r="IYM55" s="13"/>
      <c r="IYN55" s="13"/>
      <c r="IYO55" s="13"/>
      <c r="IYP55" s="13"/>
      <c r="IYQ55" s="13"/>
      <c r="IYR55" s="13"/>
      <c r="IYS55" s="13"/>
      <c r="IYT55" s="13"/>
      <c r="IYU55" s="13"/>
      <c r="IYV55" s="13"/>
      <c r="IYW55" s="13"/>
      <c r="IYX55" s="13"/>
      <c r="IYY55" s="13"/>
      <c r="IYZ55" s="13"/>
      <c r="IZA55" s="13"/>
      <c r="IZB55" s="13"/>
      <c r="IZC55" s="13"/>
      <c r="IZD55" s="13"/>
      <c r="IZE55" s="13"/>
      <c r="IZF55" s="13"/>
      <c r="IZG55" s="13"/>
      <c r="IZH55" s="13"/>
      <c r="IZI55" s="13"/>
      <c r="IZJ55" s="13"/>
      <c r="IZK55" s="13"/>
      <c r="IZL55" s="13"/>
      <c r="IZM55" s="13"/>
      <c r="IZN55" s="13"/>
      <c r="IZO55" s="13"/>
      <c r="IZP55" s="13"/>
      <c r="IZQ55" s="13"/>
      <c r="IZR55" s="13"/>
      <c r="IZS55" s="13"/>
      <c r="IZT55" s="13"/>
      <c r="IZU55" s="13"/>
      <c r="IZV55" s="13"/>
      <c r="IZW55" s="13"/>
      <c r="IZX55" s="13"/>
      <c r="IZY55" s="13"/>
      <c r="IZZ55" s="13"/>
      <c r="JAA55" s="13"/>
      <c r="JAB55" s="13"/>
      <c r="JAC55" s="13"/>
      <c r="JAD55" s="13"/>
      <c r="JAE55" s="13"/>
      <c r="JAF55" s="13"/>
      <c r="JAG55" s="13"/>
      <c r="JAH55" s="13"/>
      <c r="JAI55" s="13"/>
      <c r="JAJ55" s="13"/>
      <c r="JAK55" s="13"/>
      <c r="JAL55" s="13"/>
      <c r="JAM55" s="13"/>
      <c r="JAN55" s="13"/>
      <c r="JAO55" s="13"/>
      <c r="JAP55" s="13"/>
      <c r="JAQ55" s="13"/>
      <c r="JAR55" s="13"/>
      <c r="JAS55" s="13"/>
      <c r="JAT55" s="13"/>
      <c r="JAU55" s="13"/>
      <c r="JAV55" s="13"/>
      <c r="JAW55" s="13"/>
      <c r="JAX55" s="13"/>
      <c r="JAY55" s="13"/>
      <c r="JAZ55" s="13"/>
      <c r="JBA55" s="13"/>
      <c r="JBB55" s="13"/>
      <c r="JBC55" s="13"/>
      <c r="JBD55" s="13"/>
      <c r="JBE55" s="13"/>
      <c r="JBF55" s="13"/>
      <c r="JBG55" s="13"/>
      <c r="JBH55" s="13"/>
      <c r="JBI55" s="13"/>
      <c r="JBJ55" s="13"/>
      <c r="JBK55" s="13"/>
      <c r="JBL55" s="13"/>
      <c r="JBM55" s="13"/>
      <c r="JBN55" s="13"/>
      <c r="JBO55" s="13"/>
      <c r="JBP55" s="13"/>
      <c r="JBQ55" s="13"/>
      <c r="JBR55" s="13"/>
      <c r="JBS55" s="13"/>
      <c r="JBT55" s="13"/>
      <c r="JBU55" s="13"/>
      <c r="JBV55" s="13"/>
      <c r="JBW55" s="13"/>
      <c r="JBX55" s="13"/>
      <c r="JBY55" s="13"/>
      <c r="JBZ55" s="13"/>
      <c r="JCA55" s="13"/>
      <c r="JCB55" s="13"/>
      <c r="JCC55" s="13"/>
      <c r="JCD55" s="13"/>
      <c r="JCE55" s="13"/>
      <c r="JCF55" s="13"/>
      <c r="JCG55" s="13"/>
      <c r="JCH55" s="13"/>
      <c r="JCI55" s="13"/>
      <c r="JCJ55" s="13"/>
      <c r="JCK55" s="13"/>
      <c r="JCL55" s="13"/>
      <c r="JCM55" s="13"/>
      <c r="JCN55" s="13"/>
      <c r="JCO55" s="13"/>
      <c r="JCP55" s="13"/>
      <c r="JCQ55" s="13"/>
      <c r="JCR55" s="13"/>
      <c r="JCS55" s="13"/>
      <c r="JCT55" s="13"/>
      <c r="JCU55" s="13"/>
      <c r="JCV55" s="13"/>
      <c r="JCW55" s="13"/>
      <c r="JCX55" s="13"/>
      <c r="JCY55" s="13"/>
      <c r="JCZ55" s="13"/>
      <c r="JDA55" s="13"/>
      <c r="JDB55" s="13"/>
      <c r="JDC55" s="13"/>
      <c r="JDD55" s="13"/>
      <c r="JDE55" s="13"/>
      <c r="JDF55" s="13"/>
      <c r="JDG55" s="13"/>
      <c r="JDH55" s="13"/>
      <c r="JDI55" s="13"/>
      <c r="JDJ55" s="13"/>
      <c r="JDK55" s="13"/>
      <c r="JDL55" s="13"/>
      <c r="JDM55" s="13"/>
      <c r="JDN55" s="13"/>
      <c r="JDO55" s="13"/>
      <c r="JDP55" s="13"/>
      <c r="JDQ55" s="13"/>
      <c r="JDR55" s="13"/>
      <c r="JDS55" s="13"/>
      <c r="JDT55" s="13"/>
      <c r="JDU55" s="13"/>
      <c r="JDV55" s="13"/>
      <c r="JDW55" s="13"/>
      <c r="JDX55" s="13"/>
      <c r="JDY55" s="13"/>
      <c r="JDZ55" s="13"/>
      <c r="JEA55" s="13"/>
      <c r="JEB55" s="13"/>
      <c r="JEC55" s="13"/>
      <c r="JED55" s="13"/>
      <c r="JEE55" s="13"/>
      <c r="JEF55" s="13"/>
      <c r="JEG55" s="13"/>
      <c r="JEH55" s="13"/>
      <c r="JEI55" s="13"/>
      <c r="JEJ55" s="13"/>
      <c r="JEK55" s="13"/>
      <c r="JEL55" s="13"/>
      <c r="JEM55" s="13"/>
      <c r="JEN55" s="13"/>
      <c r="JEO55" s="13"/>
      <c r="JEP55" s="13"/>
      <c r="JEQ55" s="13"/>
      <c r="JER55" s="13"/>
      <c r="JES55" s="13"/>
      <c r="JET55" s="13"/>
      <c r="JEU55" s="13"/>
      <c r="JEV55" s="13"/>
      <c r="JEW55" s="13"/>
      <c r="JEX55" s="13"/>
      <c r="JEY55" s="13"/>
      <c r="JEZ55" s="13"/>
      <c r="JFA55" s="13"/>
      <c r="JFB55" s="13"/>
      <c r="JFC55" s="13"/>
      <c r="JFD55" s="13"/>
      <c r="JFE55" s="13"/>
      <c r="JFF55" s="13"/>
      <c r="JFG55" s="13"/>
      <c r="JFH55" s="13"/>
      <c r="JFI55" s="13"/>
      <c r="JFJ55" s="13"/>
      <c r="JFK55" s="13"/>
      <c r="JFL55" s="13"/>
      <c r="JFM55" s="13"/>
      <c r="JFN55" s="13"/>
      <c r="JFO55" s="13"/>
      <c r="JFP55" s="13"/>
      <c r="JFQ55" s="13"/>
      <c r="JFR55" s="13"/>
      <c r="JFS55" s="13"/>
      <c r="JFT55" s="13"/>
      <c r="JFU55" s="13"/>
      <c r="JFV55" s="13"/>
      <c r="JFW55" s="13"/>
      <c r="JFX55" s="13"/>
      <c r="JFY55" s="13"/>
      <c r="JFZ55" s="13"/>
      <c r="JGA55" s="13"/>
      <c r="JGB55" s="13"/>
      <c r="JGC55" s="13"/>
      <c r="JGD55" s="13"/>
      <c r="JGE55" s="13"/>
      <c r="JGF55" s="13"/>
      <c r="JGG55" s="13"/>
      <c r="JGH55" s="13"/>
      <c r="JGI55" s="13"/>
      <c r="JGJ55" s="13"/>
      <c r="JGK55" s="13"/>
      <c r="JGL55" s="13"/>
      <c r="JGM55" s="13"/>
      <c r="JGN55" s="13"/>
      <c r="JGO55" s="13"/>
      <c r="JGP55" s="13"/>
      <c r="JGQ55" s="13"/>
      <c r="JGR55" s="13"/>
      <c r="JGS55" s="13"/>
      <c r="JGT55" s="13"/>
      <c r="JGU55" s="13"/>
      <c r="JGV55" s="13"/>
      <c r="JGW55" s="13"/>
      <c r="JGX55" s="13"/>
      <c r="JGY55" s="13"/>
      <c r="JGZ55" s="13"/>
      <c r="JHA55" s="13"/>
      <c r="JHB55" s="13"/>
      <c r="JHC55" s="13"/>
      <c r="JHD55" s="13"/>
      <c r="JHE55" s="13"/>
      <c r="JHF55" s="13"/>
      <c r="JHG55" s="13"/>
      <c r="JHH55" s="13"/>
      <c r="JHI55" s="13"/>
      <c r="JHJ55" s="13"/>
      <c r="JHK55" s="13"/>
      <c r="JHL55" s="13"/>
      <c r="JHM55" s="13"/>
      <c r="JHN55" s="13"/>
      <c r="JHO55" s="13"/>
      <c r="JHP55" s="13"/>
      <c r="JHQ55" s="13"/>
      <c r="JHR55" s="13"/>
      <c r="JHS55" s="13"/>
      <c r="JHT55" s="13"/>
      <c r="JHU55" s="13"/>
      <c r="JHV55" s="13"/>
      <c r="JHW55" s="13"/>
      <c r="JHX55" s="13"/>
      <c r="JHY55" s="13"/>
      <c r="JHZ55" s="13"/>
      <c r="JIA55" s="13"/>
      <c r="JIB55" s="13"/>
      <c r="JIC55" s="13"/>
      <c r="JID55" s="13"/>
      <c r="JIE55" s="13"/>
      <c r="JIF55" s="13"/>
      <c r="JIG55" s="13"/>
      <c r="JIH55" s="13"/>
      <c r="JII55" s="13"/>
      <c r="JIJ55" s="13"/>
      <c r="JIK55" s="13"/>
      <c r="JIL55" s="13"/>
      <c r="JIM55" s="13"/>
      <c r="JIN55" s="13"/>
      <c r="JIO55" s="13"/>
      <c r="JIP55" s="13"/>
      <c r="JIQ55" s="13"/>
      <c r="JIR55" s="13"/>
      <c r="JIS55" s="13"/>
      <c r="JIT55" s="13"/>
      <c r="JIU55" s="13"/>
      <c r="JIV55" s="13"/>
      <c r="JIW55" s="13"/>
      <c r="JIX55" s="13"/>
      <c r="JIY55" s="13"/>
      <c r="JIZ55" s="13"/>
      <c r="JJA55" s="13"/>
      <c r="JJB55" s="13"/>
      <c r="JJC55" s="13"/>
      <c r="JJD55" s="13"/>
      <c r="JJE55" s="13"/>
      <c r="JJF55" s="13"/>
      <c r="JJG55" s="13"/>
      <c r="JJH55" s="13"/>
      <c r="JJI55" s="13"/>
      <c r="JJJ55" s="13"/>
      <c r="JJK55" s="13"/>
      <c r="JJL55" s="13"/>
      <c r="JJM55" s="13"/>
      <c r="JJN55" s="13"/>
      <c r="JJO55" s="13"/>
      <c r="JJP55" s="13"/>
      <c r="JJQ55" s="13"/>
      <c r="JJR55" s="13"/>
      <c r="JJS55" s="13"/>
      <c r="JJT55" s="13"/>
      <c r="JJU55" s="13"/>
      <c r="JJV55" s="13"/>
      <c r="JJW55" s="13"/>
      <c r="JJX55" s="13"/>
      <c r="JJY55" s="13"/>
      <c r="JJZ55" s="13"/>
      <c r="JKA55" s="13"/>
      <c r="JKB55" s="13"/>
      <c r="JKC55" s="13"/>
      <c r="JKD55" s="13"/>
      <c r="JKE55" s="13"/>
      <c r="JKF55" s="13"/>
      <c r="JKG55" s="13"/>
      <c r="JKH55" s="13"/>
      <c r="JKI55" s="13"/>
      <c r="JKJ55" s="13"/>
      <c r="JKK55" s="13"/>
      <c r="JKL55" s="13"/>
      <c r="JKM55" s="13"/>
      <c r="JKN55" s="13"/>
      <c r="JKO55" s="13"/>
      <c r="JKP55" s="13"/>
      <c r="JKQ55" s="13"/>
      <c r="JKR55" s="13"/>
      <c r="JKS55" s="13"/>
      <c r="JKT55" s="13"/>
      <c r="JKU55" s="13"/>
      <c r="JKV55" s="13"/>
      <c r="JKW55" s="13"/>
      <c r="JKX55" s="13"/>
      <c r="JKY55" s="13"/>
      <c r="JKZ55" s="13"/>
      <c r="JLA55" s="13"/>
      <c r="JLB55" s="13"/>
      <c r="JLC55" s="13"/>
      <c r="JLD55" s="13"/>
      <c r="JLE55" s="13"/>
      <c r="JLF55" s="13"/>
      <c r="JLG55" s="13"/>
      <c r="JLH55" s="13"/>
      <c r="JLI55" s="13"/>
      <c r="JLJ55" s="13"/>
      <c r="JLK55" s="13"/>
      <c r="JLL55" s="13"/>
      <c r="JLM55" s="13"/>
      <c r="JLN55" s="13"/>
      <c r="JLO55" s="13"/>
      <c r="JLP55" s="13"/>
      <c r="JLQ55" s="13"/>
      <c r="JLR55" s="13"/>
      <c r="JLS55" s="13"/>
      <c r="JLT55" s="13"/>
      <c r="JLU55" s="13"/>
      <c r="JLV55" s="13"/>
      <c r="JLW55" s="13"/>
      <c r="JLX55" s="13"/>
      <c r="JLY55" s="13"/>
      <c r="JLZ55" s="13"/>
      <c r="JMA55" s="13"/>
      <c r="JMB55" s="13"/>
      <c r="JMC55" s="13"/>
      <c r="JMD55" s="13"/>
      <c r="JME55" s="13"/>
      <c r="JMF55" s="13"/>
      <c r="JMG55" s="13"/>
      <c r="JMH55" s="13"/>
      <c r="JMI55" s="13"/>
      <c r="JMJ55" s="13"/>
      <c r="JMK55" s="13"/>
      <c r="JML55" s="13"/>
      <c r="JMM55" s="13"/>
      <c r="JMN55" s="13"/>
      <c r="JMO55" s="13"/>
      <c r="JMP55" s="13"/>
      <c r="JMQ55" s="13"/>
      <c r="JMR55" s="13"/>
      <c r="JMS55" s="13"/>
      <c r="JMT55" s="13"/>
      <c r="JMU55" s="13"/>
      <c r="JMV55" s="13"/>
      <c r="JMW55" s="13"/>
      <c r="JMX55" s="13"/>
      <c r="JMY55" s="13"/>
      <c r="JMZ55" s="13"/>
      <c r="JNA55" s="13"/>
      <c r="JNB55" s="13"/>
      <c r="JNC55" s="13"/>
      <c r="JND55" s="13"/>
      <c r="JNE55" s="13"/>
      <c r="JNF55" s="13"/>
      <c r="JNG55" s="13"/>
      <c r="JNH55" s="13"/>
      <c r="JNI55" s="13"/>
      <c r="JNJ55" s="13"/>
      <c r="JNK55" s="13"/>
      <c r="JNL55" s="13"/>
      <c r="JNM55" s="13"/>
      <c r="JNN55" s="13"/>
      <c r="JNO55" s="13"/>
      <c r="JNP55" s="13"/>
      <c r="JNQ55" s="13"/>
      <c r="JNR55" s="13"/>
      <c r="JNS55" s="13"/>
      <c r="JNT55" s="13"/>
      <c r="JNU55" s="13"/>
      <c r="JNV55" s="13"/>
      <c r="JNW55" s="13"/>
      <c r="JNX55" s="13"/>
      <c r="JNY55" s="13"/>
      <c r="JNZ55" s="13"/>
      <c r="JOA55" s="13"/>
      <c r="JOB55" s="13"/>
      <c r="JOC55" s="13"/>
      <c r="JOD55" s="13"/>
      <c r="JOE55" s="13"/>
      <c r="JOF55" s="13"/>
      <c r="JOG55" s="13"/>
      <c r="JOH55" s="13"/>
      <c r="JOI55" s="13"/>
      <c r="JOJ55" s="13"/>
      <c r="JOK55" s="13"/>
      <c r="JOL55" s="13"/>
      <c r="JOM55" s="13"/>
      <c r="JON55" s="13"/>
      <c r="JOO55" s="13"/>
      <c r="JOP55" s="13"/>
      <c r="JOQ55" s="13"/>
      <c r="JOR55" s="13"/>
      <c r="JOS55" s="13"/>
      <c r="JOT55" s="13"/>
      <c r="JOU55" s="13"/>
      <c r="JOV55" s="13"/>
      <c r="JOW55" s="13"/>
      <c r="JOX55" s="13"/>
      <c r="JOY55" s="13"/>
      <c r="JOZ55" s="13"/>
      <c r="JPA55" s="13"/>
      <c r="JPB55" s="13"/>
      <c r="JPC55" s="13"/>
      <c r="JPD55" s="13"/>
      <c r="JPE55" s="13"/>
      <c r="JPF55" s="13"/>
      <c r="JPG55" s="13"/>
      <c r="JPH55" s="13"/>
      <c r="JPI55" s="13"/>
      <c r="JPJ55" s="13"/>
      <c r="JPK55" s="13"/>
      <c r="JPL55" s="13"/>
      <c r="JPM55" s="13"/>
      <c r="JPN55" s="13"/>
      <c r="JPO55" s="13"/>
      <c r="JPP55" s="13"/>
      <c r="JPQ55" s="13"/>
      <c r="JPR55" s="13"/>
      <c r="JPS55" s="13"/>
      <c r="JPT55" s="13"/>
      <c r="JPU55" s="13"/>
      <c r="JPV55" s="13"/>
      <c r="JPW55" s="13"/>
      <c r="JPX55" s="13"/>
      <c r="JPY55" s="13"/>
      <c r="JPZ55" s="13"/>
      <c r="JQA55" s="13"/>
      <c r="JQB55" s="13"/>
      <c r="JQC55" s="13"/>
      <c r="JQD55" s="13"/>
      <c r="JQE55" s="13"/>
      <c r="JQF55" s="13"/>
      <c r="JQG55" s="13"/>
      <c r="JQH55" s="13"/>
      <c r="JQI55" s="13"/>
      <c r="JQJ55" s="13"/>
      <c r="JQK55" s="13"/>
      <c r="JQL55" s="13"/>
      <c r="JQM55" s="13"/>
      <c r="JQN55" s="13"/>
      <c r="JQO55" s="13"/>
      <c r="JQP55" s="13"/>
      <c r="JQQ55" s="13"/>
      <c r="JQR55" s="13"/>
      <c r="JQS55" s="13"/>
      <c r="JQT55" s="13"/>
      <c r="JQU55" s="13"/>
      <c r="JQV55" s="13"/>
      <c r="JQW55" s="13"/>
      <c r="JQX55" s="13"/>
      <c r="JQY55" s="13"/>
      <c r="JQZ55" s="13"/>
      <c r="JRA55" s="13"/>
      <c r="JRB55" s="13"/>
      <c r="JRC55" s="13"/>
      <c r="JRD55" s="13"/>
      <c r="JRE55" s="13"/>
      <c r="JRF55" s="13"/>
      <c r="JRG55" s="13"/>
      <c r="JRH55" s="13"/>
      <c r="JRI55" s="13"/>
      <c r="JRJ55" s="13"/>
      <c r="JRK55" s="13"/>
      <c r="JRL55" s="13"/>
      <c r="JRM55" s="13"/>
      <c r="JRN55" s="13"/>
      <c r="JRO55" s="13"/>
      <c r="JRP55" s="13"/>
      <c r="JRQ55" s="13"/>
      <c r="JRR55" s="13"/>
      <c r="JRS55" s="13"/>
      <c r="JRT55" s="13"/>
      <c r="JRU55" s="13"/>
      <c r="JRV55" s="13"/>
      <c r="JRW55" s="13"/>
      <c r="JRX55" s="13"/>
      <c r="JRY55" s="13"/>
      <c r="JRZ55" s="13"/>
      <c r="JSA55" s="13"/>
      <c r="JSB55" s="13"/>
      <c r="JSC55" s="13"/>
      <c r="JSD55" s="13"/>
      <c r="JSE55" s="13"/>
      <c r="JSF55" s="13"/>
      <c r="JSG55" s="13"/>
      <c r="JSH55" s="13"/>
      <c r="JSI55" s="13"/>
      <c r="JSJ55" s="13"/>
      <c r="JSK55" s="13"/>
      <c r="JSL55" s="13"/>
      <c r="JSM55" s="13"/>
      <c r="JSN55" s="13"/>
      <c r="JSO55" s="13"/>
      <c r="JSP55" s="13"/>
      <c r="JSQ55" s="13"/>
      <c r="JSR55" s="13"/>
      <c r="JSS55" s="13"/>
      <c r="JST55" s="13"/>
      <c r="JSU55" s="13"/>
      <c r="JSV55" s="13"/>
      <c r="JSW55" s="13"/>
      <c r="JSX55" s="13"/>
      <c r="JSY55" s="13"/>
      <c r="JSZ55" s="13"/>
      <c r="JTA55" s="13"/>
      <c r="JTB55" s="13"/>
      <c r="JTC55" s="13"/>
      <c r="JTD55" s="13"/>
      <c r="JTE55" s="13"/>
      <c r="JTF55" s="13"/>
      <c r="JTG55" s="13"/>
      <c r="JTH55" s="13"/>
      <c r="JTI55" s="13"/>
      <c r="JTJ55" s="13"/>
      <c r="JTK55" s="13"/>
      <c r="JTL55" s="13"/>
      <c r="JTM55" s="13"/>
      <c r="JTN55" s="13"/>
      <c r="JTO55" s="13"/>
      <c r="JTP55" s="13"/>
      <c r="JTQ55" s="13"/>
      <c r="JTR55" s="13"/>
      <c r="JTS55" s="13"/>
      <c r="JTT55" s="13"/>
      <c r="JTU55" s="13"/>
      <c r="JTV55" s="13"/>
      <c r="JTW55" s="13"/>
      <c r="JTX55" s="13"/>
      <c r="JTY55" s="13"/>
      <c r="JTZ55" s="13"/>
      <c r="JUA55" s="13"/>
      <c r="JUB55" s="13"/>
      <c r="JUC55" s="13"/>
      <c r="JUD55" s="13"/>
      <c r="JUE55" s="13"/>
      <c r="JUF55" s="13"/>
      <c r="JUG55" s="13"/>
      <c r="JUH55" s="13"/>
      <c r="JUI55" s="13"/>
      <c r="JUJ55" s="13"/>
      <c r="JUK55" s="13"/>
      <c r="JUL55" s="13"/>
      <c r="JUM55" s="13"/>
      <c r="JUN55" s="13"/>
      <c r="JUO55" s="13"/>
      <c r="JUP55" s="13"/>
      <c r="JUQ55" s="13"/>
      <c r="JUR55" s="13"/>
      <c r="JUS55" s="13"/>
      <c r="JUT55" s="13"/>
      <c r="JUU55" s="13"/>
      <c r="JUV55" s="13"/>
      <c r="JUW55" s="13"/>
      <c r="JUX55" s="13"/>
      <c r="JUY55" s="13"/>
      <c r="JUZ55" s="13"/>
      <c r="JVA55" s="13"/>
      <c r="JVB55" s="13"/>
      <c r="JVC55" s="13"/>
      <c r="JVD55" s="13"/>
      <c r="JVE55" s="13"/>
      <c r="JVF55" s="13"/>
      <c r="JVG55" s="13"/>
      <c r="JVH55" s="13"/>
      <c r="JVI55" s="13"/>
      <c r="JVJ55" s="13"/>
      <c r="JVK55" s="13"/>
      <c r="JVL55" s="13"/>
      <c r="JVM55" s="13"/>
      <c r="JVN55" s="13"/>
      <c r="JVO55" s="13"/>
      <c r="JVP55" s="13"/>
      <c r="JVQ55" s="13"/>
      <c r="JVR55" s="13"/>
      <c r="JVS55" s="13"/>
      <c r="JVT55" s="13"/>
      <c r="JVU55" s="13"/>
      <c r="JVV55" s="13"/>
      <c r="JVW55" s="13"/>
      <c r="JVX55" s="13"/>
      <c r="JVY55" s="13"/>
      <c r="JVZ55" s="13"/>
      <c r="JWA55" s="13"/>
      <c r="JWB55" s="13"/>
      <c r="JWC55" s="13"/>
      <c r="JWD55" s="13"/>
      <c r="JWE55" s="13"/>
      <c r="JWF55" s="13"/>
      <c r="JWG55" s="13"/>
      <c r="JWH55" s="13"/>
      <c r="JWI55" s="13"/>
      <c r="JWJ55" s="13"/>
      <c r="JWK55" s="13"/>
      <c r="JWL55" s="13"/>
      <c r="JWM55" s="13"/>
      <c r="JWN55" s="13"/>
      <c r="JWO55" s="13"/>
      <c r="JWP55" s="13"/>
      <c r="JWQ55" s="13"/>
      <c r="JWR55" s="13"/>
      <c r="JWS55" s="13"/>
      <c r="JWT55" s="13"/>
      <c r="JWU55" s="13"/>
      <c r="JWV55" s="13"/>
      <c r="JWW55" s="13"/>
      <c r="JWX55" s="13"/>
      <c r="JWY55" s="13"/>
      <c r="JWZ55" s="13"/>
      <c r="JXA55" s="13"/>
      <c r="JXB55" s="13"/>
      <c r="JXC55" s="13"/>
      <c r="JXD55" s="13"/>
      <c r="JXE55" s="13"/>
      <c r="JXF55" s="13"/>
      <c r="JXG55" s="13"/>
      <c r="JXH55" s="13"/>
      <c r="JXI55" s="13"/>
      <c r="JXJ55" s="13"/>
      <c r="JXK55" s="13"/>
      <c r="JXL55" s="13"/>
      <c r="JXM55" s="13"/>
      <c r="JXN55" s="13"/>
      <c r="JXO55" s="13"/>
      <c r="JXP55" s="13"/>
      <c r="JXQ55" s="13"/>
      <c r="JXR55" s="13"/>
      <c r="JXS55" s="13"/>
      <c r="JXT55" s="13"/>
      <c r="JXU55" s="13"/>
      <c r="JXV55" s="13"/>
      <c r="JXW55" s="13"/>
      <c r="JXX55" s="13"/>
      <c r="JXY55" s="13"/>
      <c r="JXZ55" s="13"/>
      <c r="JYA55" s="13"/>
      <c r="JYB55" s="13"/>
      <c r="JYC55" s="13"/>
      <c r="JYD55" s="13"/>
      <c r="JYE55" s="13"/>
      <c r="JYF55" s="13"/>
      <c r="JYG55" s="13"/>
      <c r="JYH55" s="13"/>
      <c r="JYI55" s="13"/>
      <c r="JYJ55" s="13"/>
      <c r="JYK55" s="13"/>
      <c r="JYL55" s="13"/>
      <c r="JYM55" s="13"/>
      <c r="JYN55" s="13"/>
      <c r="JYO55" s="13"/>
      <c r="JYP55" s="13"/>
      <c r="JYQ55" s="13"/>
      <c r="JYR55" s="13"/>
      <c r="JYS55" s="13"/>
      <c r="JYT55" s="13"/>
      <c r="JYU55" s="13"/>
      <c r="JYV55" s="13"/>
      <c r="JYW55" s="13"/>
      <c r="JYX55" s="13"/>
      <c r="JYY55" s="13"/>
      <c r="JYZ55" s="13"/>
      <c r="JZA55" s="13"/>
      <c r="JZB55" s="13"/>
      <c r="JZC55" s="13"/>
      <c r="JZD55" s="13"/>
      <c r="JZE55" s="13"/>
      <c r="JZF55" s="13"/>
      <c r="JZG55" s="13"/>
      <c r="JZH55" s="13"/>
      <c r="JZI55" s="13"/>
      <c r="JZJ55" s="13"/>
      <c r="JZK55" s="13"/>
      <c r="JZL55" s="13"/>
      <c r="JZM55" s="13"/>
      <c r="JZN55" s="13"/>
      <c r="JZO55" s="13"/>
      <c r="JZP55" s="13"/>
      <c r="JZQ55" s="13"/>
      <c r="JZR55" s="13"/>
      <c r="JZS55" s="13"/>
      <c r="JZT55" s="13"/>
      <c r="JZU55" s="13"/>
      <c r="JZV55" s="13"/>
      <c r="JZW55" s="13"/>
      <c r="JZX55" s="13"/>
      <c r="JZY55" s="13"/>
      <c r="JZZ55" s="13"/>
      <c r="KAA55" s="13"/>
      <c r="KAB55" s="13"/>
      <c r="KAC55" s="13"/>
      <c r="KAD55" s="13"/>
      <c r="KAE55" s="13"/>
      <c r="KAF55" s="13"/>
      <c r="KAG55" s="13"/>
      <c r="KAH55" s="13"/>
      <c r="KAI55" s="13"/>
      <c r="KAJ55" s="13"/>
      <c r="KAK55" s="13"/>
      <c r="KAL55" s="13"/>
      <c r="KAM55" s="13"/>
      <c r="KAN55" s="13"/>
      <c r="KAO55" s="13"/>
      <c r="KAP55" s="13"/>
      <c r="KAQ55" s="13"/>
      <c r="KAR55" s="13"/>
      <c r="KAS55" s="13"/>
      <c r="KAT55" s="13"/>
      <c r="KAU55" s="13"/>
      <c r="KAV55" s="13"/>
      <c r="KAW55" s="13"/>
      <c r="KAX55" s="13"/>
      <c r="KAY55" s="13"/>
      <c r="KAZ55" s="13"/>
      <c r="KBA55" s="13"/>
      <c r="KBB55" s="13"/>
      <c r="KBC55" s="13"/>
      <c r="KBD55" s="13"/>
      <c r="KBE55" s="13"/>
      <c r="KBF55" s="13"/>
      <c r="KBG55" s="13"/>
      <c r="KBH55" s="13"/>
      <c r="KBI55" s="13"/>
      <c r="KBJ55" s="13"/>
      <c r="KBK55" s="13"/>
      <c r="KBL55" s="13"/>
      <c r="KBM55" s="13"/>
      <c r="KBN55" s="13"/>
      <c r="KBO55" s="13"/>
      <c r="KBP55" s="13"/>
      <c r="KBQ55" s="13"/>
      <c r="KBR55" s="13"/>
      <c r="KBS55" s="13"/>
      <c r="KBT55" s="13"/>
      <c r="KBU55" s="13"/>
      <c r="KBV55" s="13"/>
      <c r="KBW55" s="13"/>
      <c r="KBX55" s="13"/>
      <c r="KBY55" s="13"/>
      <c r="KBZ55" s="13"/>
      <c r="KCA55" s="13"/>
      <c r="KCB55" s="13"/>
      <c r="KCC55" s="13"/>
      <c r="KCD55" s="13"/>
      <c r="KCE55" s="13"/>
      <c r="KCF55" s="13"/>
      <c r="KCG55" s="13"/>
      <c r="KCH55" s="13"/>
      <c r="KCI55" s="13"/>
      <c r="KCJ55" s="13"/>
      <c r="KCK55" s="13"/>
      <c r="KCL55" s="13"/>
      <c r="KCM55" s="13"/>
      <c r="KCN55" s="13"/>
      <c r="KCO55" s="13"/>
      <c r="KCP55" s="13"/>
      <c r="KCQ55" s="13"/>
      <c r="KCR55" s="13"/>
      <c r="KCS55" s="13"/>
      <c r="KCT55" s="13"/>
      <c r="KCU55" s="13"/>
      <c r="KCV55" s="13"/>
      <c r="KCW55" s="13"/>
      <c r="KCX55" s="13"/>
      <c r="KCY55" s="13"/>
      <c r="KCZ55" s="13"/>
      <c r="KDA55" s="13"/>
      <c r="KDB55" s="13"/>
      <c r="KDC55" s="13"/>
      <c r="KDD55" s="13"/>
      <c r="KDE55" s="13"/>
      <c r="KDF55" s="13"/>
      <c r="KDG55" s="13"/>
      <c r="KDH55" s="13"/>
      <c r="KDI55" s="13"/>
      <c r="KDJ55" s="13"/>
      <c r="KDK55" s="13"/>
      <c r="KDL55" s="13"/>
      <c r="KDM55" s="13"/>
      <c r="KDN55" s="13"/>
      <c r="KDO55" s="13"/>
      <c r="KDP55" s="13"/>
      <c r="KDQ55" s="13"/>
      <c r="KDR55" s="13"/>
      <c r="KDS55" s="13"/>
      <c r="KDT55" s="13"/>
      <c r="KDU55" s="13"/>
      <c r="KDV55" s="13"/>
      <c r="KDW55" s="13"/>
      <c r="KDX55" s="13"/>
      <c r="KDY55" s="13"/>
      <c r="KDZ55" s="13"/>
      <c r="KEA55" s="13"/>
      <c r="KEB55" s="13"/>
      <c r="KEC55" s="13"/>
      <c r="KED55" s="13"/>
      <c r="KEE55" s="13"/>
      <c r="KEF55" s="13"/>
      <c r="KEG55" s="13"/>
      <c r="KEH55" s="13"/>
      <c r="KEI55" s="13"/>
      <c r="KEJ55" s="13"/>
      <c r="KEK55" s="13"/>
      <c r="KEL55" s="13"/>
      <c r="KEM55" s="13"/>
      <c r="KEN55" s="13"/>
      <c r="KEO55" s="13"/>
      <c r="KEP55" s="13"/>
      <c r="KEQ55" s="13"/>
      <c r="KER55" s="13"/>
      <c r="KES55" s="13"/>
      <c r="KET55" s="13"/>
      <c r="KEU55" s="13"/>
      <c r="KEV55" s="13"/>
      <c r="KEW55" s="13"/>
      <c r="KEX55" s="13"/>
      <c r="KEY55" s="13"/>
      <c r="KEZ55" s="13"/>
      <c r="KFA55" s="13"/>
      <c r="KFB55" s="13"/>
      <c r="KFC55" s="13"/>
      <c r="KFD55" s="13"/>
      <c r="KFE55" s="13"/>
      <c r="KFF55" s="13"/>
      <c r="KFG55" s="13"/>
      <c r="KFH55" s="13"/>
      <c r="KFI55" s="13"/>
      <c r="KFJ55" s="13"/>
      <c r="KFK55" s="13"/>
      <c r="KFL55" s="13"/>
      <c r="KFM55" s="13"/>
      <c r="KFN55" s="13"/>
      <c r="KFO55" s="13"/>
      <c r="KFP55" s="13"/>
      <c r="KFQ55" s="13"/>
      <c r="KFR55" s="13"/>
      <c r="KFS55" s="13"/>
      <c r="KFT55" s="13"/>
      <c r="KFU55" s="13"/>
      <c r="KFV55" s="13"/>
      <c r="KFW55" s="13"/>
      <c r="KFX55" s="13"/>
      <c r="KFY55" s="13"/>
      <c r="KFZ55" s="13"/>
      <c r="KGA55" s="13"/>
      <c r="KGB55" s="13"/>
      <c r="KGC55" s="13"/>
      <c r="KGD55" s="13"/>
      <c r="KGE55" s="13"/>
      <c r="KGF55" s="13"/>
      <c r="KGG55" s="13"/>
      <c r="KGH55" s="13"/>
      <c r="KGI55" s="13"/>
      <c r="KGJ55" s="13"/>
      <c r="KGK55" s="13"/>
      <c r="KGL55" s="13"/>
      <c r="KGM55" s="13"/>
      <c r="KGN55" s="13"/>
      <c r="KGO55" s="13"/>
      <c r="KGP55" s="13"/>
      <c r="KGQ55" s="13"/>
      <c r="KGR55" s="13"/>
      <c r="KGS55" s="13"/>
      <c r="KGT55" s="13"/>
      <c r="KGU55" s="13"/>
      <c r="KGV55" s="13"/>
      <c r="KGW55" s="13"/>
      <c r="KGX55" s="13"/>
      <c r="KGY55" s="13"/>
      <c r="KGZ55" s="13"/>
      <c r="KHA55" s="13"/>
      <c r="KHB55" s="13"/>
      <c r="KHC55" s="13"/>
      <c r="KHD55" s="13"/>
      <c r="KHE55" s="13"/>
      <c r="KHF55" s="13"/>
      <c r="KHG55" s="13"/>
      <c r="KHH55" s="13"/>
      <c r="KHI55" s="13"/>
      <c r="KHJ55" s="13"/>
      <c r="KHK55" s="13"/>
      <c r="KHL55" s="13"/>
      <c r="KHM55" s="13"/>
      <c r="KHN55" s="13"/>
      <c r="KHO55" s="13"/>
      <c r="KHP55" s="13"/>
      <c r="KHQ55" s="13"/>
      <c r="KHR55" s="13"/>
      <c r="KHS55" s="13"/>
      <c r="KHT55" s="13"/>
      <c r="KHU55" s="13"/>
      <c r="KHV55" s="13"/>
      <c r="KHW55" s="13"/>
      <c r="KHX55" s="13"/>
      <c r="KHY55" s="13"/>
      <c r="KHZ55" s="13"/>
      <c r="KIA55" s="13"/>
      <c r="KIB55" s="13"/>
      <c r="KIC55" s="13"/>
      <c r="KID55" s="13"/>
      <c r="KIE55" s="13"/>
      <c r="KIF55" s="13"/>
      <c r="KIG55" s="13"/>
      <c r="KIH55" s="13"/>
      <c r="KII55" s="13"/>
      <c r="KIJ55" s="13"/>
      <c r="KIK55" s="13"/>
      <c r="KIL55" s="13"/>
      <c r="KIM55" s="13"/>
      <c r="KIN55" s="13"/>
      <c r="KIO55" s="13"/>
      <c r="KIP55" s="13"/>
      <c r="KIQ55" s="13"/>
      <c r="KIR55" s="13"/>
      <c r="KIS55" s="13"/>
      <c r="KIT55" s="13"/>
      <c r="KIU55" s="13"/>
      <c r="KIV55" s="13"/>
      <c r="KIW55" s="13"/>
      <c r="KIX55" s="13"/>
      <c r="KIY55" s="13"/>
      <c r="KIZ55" s="13"/>
      <c r="KJA55" s="13"/>
      <c r="KJB55" s="13"/>
      <c r="KJC55" s="13"/>
      <c r="KJD55" s="13"/>
      <c r="KJE55" s="13"/>
      <c r="KJF55" s="13"/>
      <c r="KJG55" s="13"/>
      <c r="KJH55" s="13"/>
      <c r="KJI55" s="13"/>
      <c r="KJJ55" s="13"/>
      <c r="KJK55" s="13"/>
      <c r="KJL55" s="13"/>
      <c r="KJM55" s="13"/>
      <c r="KJN55" s="13"/>
      <c r="KJO55" s="13"/>
      <c r="KJP55" s="13"/>
      <c r="KJQ55" s="13"/>
      <c r="KJR55" s="13"/>
      <c r="KJS55" s="13"/>
      <c r="KJT55" s="13"/>
      <c r="KJU55" s="13"/>
      <c r="KJV55" s="13"/>
      <c r="KJW55" s="13"/>
      <c r="KJX55" s="13"/>
      <c r="KJY55" s="13"/>
      <c r="KJZ55" s="13"/>
      <c r="KKA55" s="13"/>
      <c r="KKB55" s="13"/>
      <c r="KKC55" s="13"/>
      <c r="KKD55" s="13"/>
      <c r="KKE55" s="13"/>
      <c r="KKF55" s="13"/>
      <c r="KKG55" s="13"/>
      <c r="KKH55" s="13"/>
      <c r="KKI55" s="13"/>
      <c r="KKJ55" s="13"/>
      <c r="KKK55" s="13"/>
      <c r="KKL55" s="13"/>
      <c r="KKM55" s="13"/>
      <c r="KKN55" s="13"/>
      <c r="KKO55" s="13"/>
      <c r="KKP55" s="13"/>
      <c r="KKQ55" s="13"/>
      <c r="KKR55" s="13"/>
      <c r="KKS55" s="13"/>
      <c r="KKT55" s="13"/>
      <c r="KKU55" s="13"/>
      <c r="KKV55" s="13"/>
      <c r="KKW55" s="13"/>
      <c r="KKX55" s="13"/>
      <c r="KKY55" s="13"/>
      <c r="KKZ55" s="13"/>
      <c r="KLA55" s="13"/>
      <c r="KLB55" s="13"/>
      <c r="KLC55" s="13"/>
      <c r="KLD55" s="13"/>
      <c r="KLE55" s="13"/>
      <c r="KLF55" s="13"/>
      <c r="KLG55" s="13"/>
      <c r="KLH55" s="13"/>
      <c r="KLI55" s="13"/>
      <c r="KLJ55" s="13"/>
      <c r="KLK55" s="13"/>
      <c r="KLL55" s="13"/>
      <c r="KLM55" s="13"/>
      <c r="KLN55" s="13"/>
      <c r="KLO55" s="13"/>
      <c r="KLP55" s="13"/>
      <c r="KLQ55" s="13"/>
      <c r="KLR55" s="13"/>
      <c r="KLS55" s="13"/>
      <c r="KLT55" s="13"/>
      <c r="KLU55" s="13"/>
      <c r="KLV55" s="13"/>
      <c r="KLW55" s="13"/>
      <c r="KLX55" s="13"/>
      <c r="KLY55" s="13"/>
      <c r="KLZ55" s="13"/>
      <c r="KMA55" s="13"/>
      <c r="KMB55" s="13"/>
      <c r="KMC55" s="13"/>
      <c r="KMD55" s="13"/>
      <c r="KME55" s="13"/>
      <c r="KMF55" s="13"/>
      <c r="KMG55" s="13"/>
      <c r="KMH55" s="13"/>
      <c r="KMI55" s="13"/>
      <c r="KMJ55" s="13"/>
      <c r="KMK55" s="13"/>
      <c r="KML55" s="13"/>
      <c r="KMM55" s="13"/>
      <c r="KMN55" s="13"/>
      <c r="KMO55" s="13"/>
      <c r="KMP55" s="13"/>
      <c r="KMQ55" s="13"/>
      <c r="KMR55" s="13"/>
      <c r="KMS55" s="13"/>
      <c r="KMT55" s="13"/>
      <c r="KMU55" s="13"/>
      <c r="KMV55" s="13"/>
      <c r="KMW55" s="13"/>
      <c r="KMX55" s="13"/>
      <c r="KMY55" s="13"/>
      <c r="KMZ55" s="13"/>
      <c r="KNA55" s="13"/>
      <c r="KNB55" s="13"/>
      <c r="KNC55" s="13"/>
      <c r="KND55" s="13"/>
      <c r="KNE55" s="13"/>
      <c r="KNF55" s="13"/>
      <c r="KNG55" s="13"/>
      <c r="KNH55" s="13"/>
      <c r="KNI55" s="13"/>
      <c r="KNJ55" s="13"/>
      <c r="KNK55" s="13"/>
      <c r="KNL55" s="13"/>
      <c r="KNM55" s="13"/>
      <c r="KNN55" s="13"/>
      <c r="KNO55" s="13"/>
      <c r="KNP55" s="13"/>
      <c r="KNQ55" s="13"/>
      <c r="KNR55" s="13"/>
      <c r="KNS55" s="13"/>
      <c r="KNT55" s="13"/>
      <c r="KNU55" s="13"/>
      <c r="KNV55" s="13"/>
      <c r="KNW55" s="13"/>
      <c r="KNX55" s="13"/>
      <c r="KNY55" s="13"/>
      <c r="KNZ55" s="13"/>
      <c r="KOA55" s="13"/>
      <c r="KOB55" s="13"/>
      <c r="KOC55" s="13"/>
      <c r="KOD55" s="13"/>
      <c r="KOE55" s="13"/>
      <c r="KOF55" s="13"/>
      <c r="KOG55" s="13"/>
      <c r="KOH55" s="13"/>
      <c r="KOI55" s="13"/>
      <c r="KOJ55" s="13"/>
      <c r="KOK55" s="13"/>
      <c r="KOL55" s="13"/>
      <c r="KOM55" s="13"/>
      <c r="KON55" s="13"/>
      <c r="KOO55" s="13"/>
      <c r="KOP55" s="13"/>
      <c r="KOQ55" s="13"/>
      <c r="KOR55" s="13"/>
      <c r="KOS55" s="13"/>
      <c r="KOT55" s="13"/>
      <c r="KOU55" s="13"/>
      <c r="KOV55" s="13"/>
      <c r="KOW55" s="13"/>
      <c r="KOX55" s="13"/>
      <c r="KOY55" s="13"/>
      <c r="KOZ55" s="13"/>
      <c r="KPA55" s="13"/>
      <c r="KPB55" s="13"/>
      <c r="KPC55" s="13"/>
      <c r="KPD55" s="13"/>
      <c r="KPE55" s="13"/>
      <c r="KPF55" s="13"/>
      <c r="KPG55" s="13"/>
      <c r="KPH55" s="13"/>
      <c r="KPI55" s="13"/>
      <c r="KPJ55" s="13"/>
      <c r="KPK55" s="13"/>
      <c r="KPL55" s="13"/>
      <c r="KPM55" s="13"/>
      <c r="KPN55" s="13"/>
      <c r="KPO55" s="13"/>
      <c r="KPP55" s="13"/>
      <c r="KPQ55" s="13"/>
      <c r="KPR55" s="13"/>
      <c r="KPS55" s="13"/>
      <c r="KPT55" s="13"/>
      <c r="KPU55" s="13"/>
      <c r="KPV55" s="13"/>
      <c r="KPW55" s="13"/>
      <c r="KPX55" s="13"/>
      <c r="KPY55" s="13"/>
      <c r="KPZ55" s="13"/>
      <c r="KQA55" s="13"/>
      <c r="KQB55" s="13"/>
      <c r="KQC55" s="13"/>
      <c r="KQD55" s="13"/>
      <c r="KQE55" s="13"/>
      <c r="KQF55" s="13"/>
      <c r="KQG55" s="13"/>
      <c r="KQH55" s="13"/>
      <c r="KQI55" s="13"/>
      <c r="KQJ55" s="13"/>
      <c r="KQK55" s="13"/>
      <c r="KQL55" s="13"/>
      <c r="KQM55" s="13"/>
      <c r="KQN55" s="13"/>
      <c r="KQO55" s="13"/>
      <c r="KQP55" s="13"/>
      <c r="KQQ55" s="13"/>
      <c r="KQR55" s="13"/>
      <c r="KQS55" s="13"/>
      <c r="KQT55" s="13"/>
      <c r="KQU55" s="13"/>
      <c r="KQV55" s="13"/>
      <c r="KQW55" s="13"/>
      <c r="KQX55" s="13"/>
      <c r="KQY55" s="13"/>
      <c r="KQZ55" s="13"/>
      <c r="KRA55" s="13"/>
      <c r="KRB55" s="13"/>
      <c r="KRC55" s="13"/>
      <c r="KRD55" s="13"/>
      <c r="KRE55" s="13"/>
      <c r="KRF55" s="13"/>
      <c r="KRG55" s="13"/>
      <c r="KRH55" s="13"/>
      <c r="KRI55" s="13"/>
      <c r="KRJ55" s="13"/>
      <c r="KRK55" s="13"/>
      <c r="KRL55" s="13"/>
      <c r="KRM55" s="13"/>
      <c r="KRN55" s="13"/>
      <c r="KRO55" s="13"/>
      <c r="KRP55" s="13"/>
      <c r="KRQ55" s="13"/>
      <c r="KRR55" s="13"/>
      <c r="KRS55" s="13"/>
      <c r="KRT55" s="13"/>
      <c r="KRU55" s="13"/>
      <c r="KRV55" s="13"/>
      <c r="KRW55" s="13"/>
      <c r="KRX55" s="13"/>
      <c r="KRY55" s="13"/>
      <c r="KRZ55" s="13"/>
      <c r="KSA55" s="13"/>
      <c r="KSB55" s="13"/>
      <c r="KSC55" s="13"/>
      <c r="KSD55" s="13"/>
      <c r="KSE55" s="13"/>
      <c r="KSF55" s="13"/>
      <c r="KSG55" s="13"/>
      <c r="KSH55" s="13"/>
      <c r="KSI55" s="13"/>
      <c r="KSJ55" s="13"/>
      <c r="KSK55" s="13"/>
      <c r="KSL55" s="13"/>
      <c r="KSM55" s="13"/>
      <c r="KSN55" s="13"/>
      <c r="KSO55" s="13"/>
      <c r="KSP55" s="13"/>
      <c r="KSQ55" s="13"/>
      <c r="KSR55" s="13"/>
      <c r="KSS55" s="13"/>
      <c r="KST55" s="13"/>
      <c r="KSU55" s="13"/>
      <c r="KSV55" s="13"/>
      <c r="KSW55" s="13"/>
      <c r="KSX55" s="13"/>
      <c r="KSY55" s="13"/>
      <c r="KSZ55" s="13"/>
      <c r="KTA55" s="13"/>
      <c r="KTB55" s="13"/>
      <c r="KTC55" s="13"/>
      <c r="KTD55" s="13"/>
      <c r="KTE55" s="13"/>
      <c r="KTF55" s="13"/>
      <c r="KTG55" s="13"/>
      <c r="KTH55" s="13"/>
      <c r="KTI55" s="13"/>
      <c r="KTJ55" s="13"/>
      <c r="KTK55" s="13"/>
      <c r="KTL55" s="13"/>
      <c r="KTM55" s="13"/>
      <c r="KTN55" s="13"/>
      <c r="KTO55" s="13"/>
      <c r="KTP55" s="13"/>
      <c r="KTQ55" s="13"/>
      <c r="KTR55" s="13"/>
      <c r="KTS55" s="13"/>
      <c r="KTT55" s="13"/>
      <c r="KTU55" s="13"/>
      <c r="KTV55" s="13"/>
      <c r="KTW55" s="13"/>
      <c r="KTX55" s="13"/>
      <c r="KTY55" s="13"/>
      <c r="KTZ55" s="13"/>
      <c r="KUA55" s="13"/>
      <c r="KUB55" s="13"/>
      <c r="KUC55" s="13"/>
      <c r="KUD55" s="13"/>
      <c r="KUE55" s="13"/>
      <c r="KUF55" s="13"/>
      <c r="KUG55" s="13"/>
      <c r="KUH55" s="13"/>
      <c r="KUI55" s="13"/>
      <c r="KUJ55" s="13"/>
      <c r="KUK55" s="13"/>
      <c r="KUL55" s="13"/>
      <c r="KUM55" s="13"/>
      <c r="KUN55" s="13"/>
      <c r="KUO55" s="13"/>
      <c r="KUP55" s="13"/>
      <c r="KUQ55" s="13"/>
      <c r="KUR55" s="13"/>
      <c r="KUS55" s="13"/>
      <c r="KUT55" s="13"/>
      <c r="KUU55" s="13"/>
      <c r="KUV55" s="13"/>
      <c r="KUW55" s="13"/>
      <c r="KUX55" s="13"/>
      <c r="KUY55" s="13"/>
      <c r="KUZ55" s="13"/>
      <c r="KVA55" s="13"/>
      <c r="KVB55" s="13"/>
      <c r="KVC55" s="13"/>
      <c r="KVD55" s="13"/>
      <c r="KVE55" s="13"/>
      <c r="KVF55" s="13"/>
      <c r="KVG55" s="13"/>
      <c r="KVH55" s="13"/>
      <c r="KVI55" s="13"/>
      <c r="KVJ55" s="13"/>
      <c r="KVK55" s="13"/>
      <c r="KVL55" s="13"/>
      <c r="KVM55" s="13"/>
      <c r="KVN55" s="13"/>
      <c r="KVO55" s="13"/>
      <c r="KVP55" s="13"/>
      <c r="KVQ55" s="13"/>
      <c r="KVR55" s="13"/>
      <c r="KVS55" s="13"/>
      <c r="KVT55" s="13"/>
      <c r="KVU55" s="13"/>
      <c r="KVV55" s="13"/>
      <c r="KVW55" s="13"/>
      <c r="KVX55" s="13"/>
      <c r="KVY55" s="13"/>
      <c r="KVZ55" s="13"/>
      <c r="KWA55" s="13"/>
      <c r="KWB55" s="13"/>
      <c r="KWC55" s="13"/>
      <c r="KWD55" s="13"/>
      <c r="KWE55" s="13"/>
      <c r="KWF55" s="13"/>
      <c r="KWG55" s="13"/>
      <c r="KWH55" s="13"/>
      <c r="KWI55" s="13"/>
      <c r="KWJ55" s="13"/>
      <c r="KWK55" s="13"/>
      <c r="KWL55" s="13"/>
      <c r="KWM55" s="13"/>
      <c r="KWN55" s="13"/>
      <c r="KWO55" s="13"/>
      <c r="KWP55" s="13"/>
      <c r="KWQ55" s="13"/>
      <c r="KWR55" s="13"/>
      <c r="KWS55" s="13"/>
      <c r="KWT55" s="13"/>
      <c r="KWU55" s="13"/>
      <c r="KWV55" s="13"/>
      <c r="KWW55" s="13"/>
      <c r="KWX55" s="13"/>
      <c r="KWY55" s="13"/>
      <c r="KWZ55" s="13"/>
      <c r="KXA55" s="13"/>
      <c r="KXB55" s="13"/>
      <c r="KXC55" s="13"/>
      <c r="KXD55" s="13"/>
      <c r="KXE55" s="13"/>
      <c r="KXF55" s="13"/>
      <c r="KXG55" s="13"/>
      <c r="KXH55" s="13"/>
      <c r="KXI55" s="13"/>
      <c r="KXJ55" s="13"/>
      <c r="KXK55" s="13"/>
      <c r="KXL55" s="13"/>
      <c r="KXM55" s="13"/>
      <c r="KXN55" s="13"/>
      <c r="KXO55" s="13"/>
      <c r="KXP55" s="13"/>
      <c r="KXQ55" s="13"/>
      <c r="KXR55" s="13"/>
      <c r="KXS55" s="13"/>
      <c r="KXT55" s="13"/>
      <c r="KXU55" s="13"/>
      <c r="KXV55" s="13"/>
      <c r="KXW55" s="13"/>
      <c r="KXX55" s="13"/>
      <c r="KXY55" s="13"/>
      <c r="KXZ55" s="13"/>
      <c r="KYA55" s="13"/>
      <c r="KYB55" s="13"/>
      <c r="KYC55" s="13"/>
      <c r="KYD55" s="13"/>
      <c r="KYE55" s="13"/>
      <c r="KYF55" s="13"/>
      <c r="KYG55" s="13"/>
      <c r="KYH55" s="13"/>
      <c r="KYI55" s="13"/>
      <c r="KYJ55" s="13"/>
      <c r="KYK55" s="13"/>
      <c r="KYL55" s="13"/>
      <c r="KYM55" s="13"/>
      <c r="KYN55" s="13"/>
      <c r="KYO55" s="13"/>
      <c r="KYP55" s="13"/>
      <c r="KYQ55" s="13"/>
      <c r="KYR55" s="13"/>
      <c r="KYS55" s="13"/>
      <c r="KYT55" s="13"/>
      <c r="KYU55" s="13"/>
      <c r="KYV55" s="13"/>
      <c r="KYW55" s="13"/>
      <c r="KYX55" s="13"/>
      <c r="KYY55" s="13"/>
      <c r="KYZ55" s="13"/>
      <c r="KZA55" s="13"/>
      <c r="KZB55" s="13"/>
      <c r="KZC55" s="13"/>
      <c r="KZD55" s="13"/>
      <c r="KZE55" s="13"/>
      <c r="KZF55" s="13"/>
      <c r="KZG55" s="13"/>
      <c r="KZH55" s="13"/>
      <c r="KZI55" s="13"/>
      <c r="KZJ55" s="13"/>
      <c r="KZK55" s="13"/>
      <c r="KZL55" s="13"/>
      <c r="KZM55" s="13"/>
      <c r="KZN55" s="13"/>
      <c r="KZO55" s="13"/>
      <c r="KZP55" s="13"/>
      <c r="KZQ55" s="13"/>
      <c r="KZR55" s="13"/>
      <c r="KZS55" s="13"/>
      <c r="KZT55" s="13"/>
      <c r="KZU55" s="13"/>
      <c r="KZV55" s="13"/>
      <c r="KZW55" s="13"/>
      <c r="KZX55" s="13"/>
      <c r="KZY55" s="13"/>
      <c r="KZZ55" s="13"/>
      <c r="LAA55" s="13"/>
      <c r="LAB55" s="13"/>
      <c r="LAC55" s="13"/>
      <c r="LAD55" s="13"/>
      <c r="LAE55" s="13"/>
      <c r="LAF55" s="13"/>
      <c r="LAG55" s="13"/>
      <c r="LAH55" s="13"/>
      <c r="LAI55" s="13"/>
      <c r="LAJ55" s="13"/>
      <c r="LAK55" s="13"/>
      <c r="LAL55" s="13"/>
      <c r="LAM55" s="13"/>
      <c r="LAN55" s="13"/>
      <c r="LAO55" s="13"/>
      <c r="LAP55" s="13"/>
      <c r="LAQ55" s="13"/>
      <c r="LAR55" s="13"/>
      <c r="LAS55" s="13"/>
      <c r="LAT55" s="13"/>
      <c r="LAU55" s="13"/>
      <c r="LAV55" s="13"/>
      <c r="LAW55" s="13"/>
      <c r="LAX55" s="13"/>
      <c r="LAY55" s="13"/>
      <c r="LAZ55" s="13"/>
      <c r="LBA55" s="13"/>
      <c r="LBB55" s="13"/>
      <c r="LBC55" s="13"/>
      <c r="LBD55" s="13"/>
      <c r="LBE55" s="13"/>
      <c r="LBF55" s="13"/>
      <c r="LBG55" s="13"/>
      <c r="LBH55" s="13"/>
      <c r="LBI55" s="13"/>
      <c r="LBJ55" s="13"/>
      <c r="LBK55" s="13"/>
      <c r="LBL55" s="13"/>
      <c r="LBM55" s="13"/>
      <c r="LBN55" s="13"/>
      <c r="LBO55" s="13"/>
      <c r="LBP55" s="13"/>
      <c r="LBQ55" s="13"/>
      <c r="LBR55" s="13"/>
      <c r="LBS55" s="13"/>
      <c r="LBT55" s="13"/>
      <c r="LBU55" s="13"/>
      <c r="LBV55" s="13"/>
      <c r="LBW55" s="13"/>
      <c r="LBX55" s="13"/>
      <c r="LBY55" s="13"/>
      <c r="LBZ55" s="13"/>
      <c r="LCA55" s="13"/>
      <c r="LCB55" s="13"/>
      <c r="LCC55" s="13"/>
      <c r="LCD55" s="13"/>
      <c r="LCE55" s="13"/>
      <c r="LCF55" s="13"/>
      <c r="LCG55" s="13"/>
      <c r="LCH55" s="13"/>
      <c r="LCI55" s="13"/>
      <c r="LCJ55" s="13"/>
      <c r="LCK55" s="13"/>
      <c r="LCL55" s="13"/>
      <c r="LCM55" s="13"/>
      <c r="LCN55" s="13"/>
      <c r="LCO55" s="13"/>
      <c r="LCP55" s="13"/>
      <c r="LCQ55" s="13"/>
      <c r="LCR55" s="13"/>
      <c r="LCS55" s="13"/>
      <c r="LCT55" s="13"/>
      <c r="LCU55" s="13"/>
      <c r="LCV55" s="13"/>
      <c r="LCW55" s="13"/>
      <c r="LCX55" s="13"/>
      <c r="LCY55" s="13"/>
      <c r="LCZ55" s="13"/>
      <c r="LDA55" s="13"/>
      <c r="LDB55" s="13"/>
      <c r="LDC55" s="13"/>
      <c r="LDD55" s="13"/>
      <c r="LDE55" s="13"/>
      <c r="LDF55" s="13"/>
      <c r="LDG55" s="13"/>
      <c r="LDH55" s="13"/>
      <c r="LDI55" s="13"/>
      <c r="LDJ55" s="13"/>
      <c r="LDK55" s="13"/>
      <c r="LDL55" s="13"/>
      <c r="LDM55" s="13"/>
      <c r="LDN55" s="13"/>
      <c r="LDO55" s="13"/>
      <c r="LDP55" s="13"/>
      <c r="LDQ55" s="13"/>
      <c r="LDR55" s="13"/>
      <c r="LDS55" s="13"/>
      <c r="LDT55" s="13"/>
      <c r="LDU55" s="13"/>
      <c r="LDV55" s="13"/>
      <c r="LDW55" s="13"/>
      <c r="LDX55" s="13"/>
      <c r="LDY55" s="13"/>
      <c r="LDZ55" s="13"/>
      <c r="LEA55" s="13"/>
      <c r="LEB55" s="13"/>
      <c r="LEC55" s="13"/>
      <c r="LED55" s="13"/>
      <c r="LEE55" s="13"/>
      <c r="LEF55" s="13"/>
      <c r="LEG55" s="13"/>
      <c r="LEH55" s="13"/>
      <c r="LEI55" s="13"/>
      <c r="LEJ55" s="13"/>
      <c r="LEK55" s="13"/>
      <c r="LEL55" s="13"/>
      <c r="LEM55" s="13"/>
      <c r="LEN55" s="13"/>
      <c r="LEO55" s="13"/>
      <c r="LEP55" s="13"/>
      <c r="LEQ55" s="13"/>
      <c r="LER55" s="13"/>
      <c r="LES55" s="13"/>
      <c r="LET55" s="13"/>
      <c r="LEU55" s="13"/>
      <c r="LEV55" s="13"/>
      <c r="LEW55" s="13"/>
      <c r="LEX55" s="13"/>
      <c r="LEY55" s="13"/>
      <c r="LEZ55" s="13"/>
      <c r="LFA55" s="13"/>
      <c r="LFB55" s="13"/>
      <c r="LFC55" s="13"/>
      <c r="LFD55" s="13"/>
      <c r="LFE55" s="13"/>
      <c r="LFF55" s="13"/>
      <c r="LFG55" s="13"/>
      <c r="LFH55" s="13"/>
      <c r="LFI55" s="13"/>
      <c r="LFJ55" s="13"/>
      <c r="LFK55" s="13"/>
      <c r="LFL55" s="13"/>
      <c r="LFM55" s="13"/>
      <c r="LFN55" s="13"/>
      <c r="LFO55" s="13"/>
      <c r="LFP55" s="13"/>
      <c r="LFQ55" s="13"/>
      <c r="LFR55" s="13"/>
      <c r="LFS55" s="13"/>
      <c r="LFT55" s="13"/>
      <c r="LFU55" s="13"/>
      <c r="LFV55" s="13"/>
      <c r="LFW55" s="13"/>
      <c r="LFX55" s="13"/>
      <c r="LFY55" s="13"/>
      <c r="LFZ55" s="13"/>
      <c r="LGA55" s="13"/>
      <c r="LGB55" s="13"/>
      <c r="LGC55" s="13"/>
      <c r="LGD55" s="13"/>
      <c r="LGE55" s="13"/>
      <c r="LGF55" s="13"/>
      <c r="LGG55" s="13"/>
      <c r="LGH55" s="13"/>
      <c r="LGI55" s="13"/>
      <c r="LGJ55" s="13"/>
      <c r="LGK55" s="13"/>
      <c r="LGL55" s="13"/>
      <c r="LGM55" s="13"/>
      <c r="LGN55" s="13"/>
      <c r="LGO55" s="13"/>
      <c r="LGP55" s="13"/>
      <c r="LGQ55" s="13"/>
      <c r="LGR55" s="13"/>
      <c r="LGS55" s="13"/>
      <c r="LGT55" s="13"/>
      <c r="LGU55" s="13"/>
      <c r="LGV55" s="13"/>
      <c r="LGW55" s="13"/>
      <c r="LGX55" s="13"/>
      <c r="LGY55" s="13"/>
      <c r="LGZ55" s="13"/>
      <c r="LHA55" s="13"/>
      <c r="LHB55" s="13"/>
      <c r="LHC55" s="13"/>
      <c r="LHD55" s="13"/>
      <c r="LHE55" s="13"/>
      <c r="LHF55" s="13"/>
      <c r="LHG55" s="13"/>
      <c r="LHH55" s="13"/>
      <c r="LHI55" s="13"/>
      <c r="LHJ55" s="13"/>
      <c r="LHK55" s="13"/>
      <c r="LHL55" s="13"/>
      <c r="LHM55" s="13"/>
      <c r="LHN55" s="13"/>
      <c r="LHO55" s="13"/>
      <c r="LHP55" s="13"/>
      <c r="LHQ55" s="13"/>
      <c r="LHR55" s="13"/>
      <c r="LHS55" s="13"/>
      <c r="LHT55" s="13"/>
      <c r="LHU55" s="13"/>
      <c r="LHV55" s="13"/>
      <c r="LHW55" s="13"/>
      <c r="LHX55" s="13"/>
      <c r="LHY55" s="13"/>
      <c r="LHZ55" s="13"/>
      <c r="LIA55" s="13"/>
      <c r="LIB55" s="13"/>
      <c r="LIC55" s="13"/>
      <c r="LID55" s="13"/>
      <c r="LIE55" s="13"/>
      <c r="LIF55" s="13"/>
      <c r="LIG55" s="13"/>
      <c r="LIH55" s="13"/>
      <c r="LII55" s="13"/>
      <c r="LIJ55" s="13"/>
      <c r="LIK55" s="13"/>
      <c r="LIL55" s="13"/>
      <c r="LIM55" s="13"/>
      <c r="LIN55" s="13"/>
      <c r="LIO55" s="13"/>
      <c r="LIP55" s="13"/>
      <c r="LIQ55" s="13"/>
      <c r="LIR55" s="13"/>
      <c r="LIS55" s="13"/>
      <c r="LIT55" s="13"/>
      <c r="LIU55" s="13"/>
      <c r="LIV55" s="13"/>
      <c r="LIW55" s="13"/>
      <c r="LIX55" s="13"/>
      <c r="LIY55" s="13"/>
      <c r="LIZ55" s="13"/>
      <c r="LJA55" s="13"/>
      <c r="LJB55" s="13"/>
      <c r="LJC55" s="13"/>
      <c r="LJD55" s="13"/>
      <c r="LJE55" s="13"/>
      <c r="LJF55" s="13"/>
      <c r="LJG55" s="13"/>
      <c r="LJH55" s="13"/>
      <c r="LJI55" s="13"/>
      <c r="LJJ55" s="13"/>
      <c r="LJK55" s="13"/>
      <c r="LJL55" s="13"/>
      <c r="LJM55" s="13"/>
      <c r="LJN55" s="13"/>
      <c r="LJO55" s="13"/>
      <c r="LJP55" s="13"/>
      <c r="LJQ55" s="13"/>
      <c r="LJR55" s="13"/>
      <c r="LJS55" s="13"/>
      <c r="LJT55" s="13"/>
      <c r="LJU55" s="13"/>
      <c r="LJV55" s="13"/>
      <c r="LJW55" s="13"/>
      <c r="LJX55" s="13"/>
      <c r="LJY55" s="13"/>
      <c r="LJZ55" s="13"/>
      <c r="LKA55" s="13"/>
      <c r="LKB55" s="13"/>
      <c r="LKC55" s="13"/>
      <c r="LKD55" s="13"/>
      <c r="LKE55" s="13"/>
      <c r="LKF55" s="13"/>
      <c r="LKG55" s="13"/>
      <c r="LKH55" s="13"/>
      <c r="LKI55" s="13"/>
      <c r="LKJ55" s="13"/>
      <c r="LKK55" s="13"/>
      <c r="LKL55" s="13"/>
      <c r="LKM55" s="13"/>
      <c r="LKN55" s="13"/>
      <c r="LKO55" s="13"/>
      <c r="LKP55" s="13"/>
      <c r="LKQ55" s="13"/>
      <c r="LKR55" s="13"/>
      <c r="LKS55" s="13"/>
      <c r="LKT55" s="13"/>
      <c r="LKU55" s="13"/>
      <c r="LKV55" s="13"/>
      <c r="LKW55" s="13"/>
      <c r="LKX55" s="13"/>
      <c r="LKY55" s="13"/>
      <c r="LKZ55" s="13"/>
      <c r="LLA55" s="13"/>
      <c r="LLB55" s="13"/>
      <c r="LLC55" s="13"/>
      <c r="LLD55" s="13"/>
      <c r="LLE55" s="13"/>
      <c r="LLF55" s="13"/>
      <c r="LLG55" s="13"/>
      <c r="LLH55" s="13"/>
      <c r="LLI55" s="13"/>
      <c r="LLJ55" s="13"/>
      <c r="LLK55" s="13"/>
      <c r="LLL55" s="13"/>
      <c r="LLM55" s="13"/>
      <c r="LLN55" s="13"/>
      <c r="LLO55" s="13"/>
      <c r="LLP55" s="13"/>
      <c r="LLQ55" s="13"/>
      <c r="LLR55" s="13"/>
      <c r="LLS55" s="13"/>
      <c r="LLT55" s="13"/>
      <c r="LLU55" s="13"/>
      <c r="LLV55" s="13"/>
      <c r="LLW55" s="13"/>
      <c r="LLX55" s="13"/>
      <c r="LLY55" s="13"/>
      <c r="LLZ55" s="13"/>
      <c r="LMA55" s="13"/>
      <c r="LMB55" s="13"/>
      <c r="LMC55" s="13"/>
      <c r="LMD55" s="13"/>
      <c r="LME55" s="13"/>
      <c r="LMF55" s="13"/>
      <c r="LMG55" s="13"/>
      <c r="LMH55" s="13"/>
      <c r="LMI55" s="13"/>
      <c r="LMJ55" s="13"/>
      <c r="LMK55" s="13"/>
      <c r="LML55" s="13"/>
      <c r="LMM55" s="13"/>
      <c r="LMN55" s="13"/>
      <c r="LMO55" s="13"/>
      <c r="LMP55" s="13"/>
      <c r="LMQ55" s="13"/>
      <c r="LMR55" s="13"/>
      <c r="LMS55" s="13"/>
      <c r="LMT55" s="13"/>
      <c r="LMU55" s="13"/>
      <c r="LMV55" s="13"/>
      <c r="LMW55" s="13"/>
      <c r="LMX55" s="13"/>
      <c r="LMY55" s="13"/>
      <c r="LMZ55" s="13"/>
      <c r="LNA55" s="13"/>
      <c r="LNB55" s="13"/>
      <c r="LNC55" s="13"/>
      <c r="LND55" s="13"/>
      <c r="LNE55" s="13"/>
      <c r="LNF55" s="13"/>
      <c r="LNG55" s="13"/>
      <c r="LNH55" s="13"/>
      <c r="LNI55" s="13"/>
      <c r="LNJ55" s="13"/>
      <c r="LNK55" s="13"/>
      <c r="LNL55" s="13"/>
      <c r="LNM55" s="13"/>
      <c r="LNN55" s="13"/>
      <c r="LNO55" s="13"/>
      <c r="LNP55" s="13"/>
      <c r="LNQ55" s="13"/>
      <c r="LNR55" s="13"/>
      <c r="LNS55" s="13"/>
      <c r="LNT55" s="13"/>
      <c r="LNU55" s="13"/>
      <c r="LNV55" s="13"/>
      <c r="LNW55" s="13"/>
      <c r="LNX55" s="13"/>
      <c r="LNY55" s="13"/>
      <c r="LNZ55" s="13"/>
      <c r="LOA55" s="13"/>
      <c r="LOB55" s="13"/>
      <c r="LOC55" s="13"/>
      <c r="LOD55" s="13"/>
      <c r="LOE55" s="13"/>
      <c r="LOF55" s="13"/>
      <c r="LOG55" s="13"/>
      <c r="LOH55" s="13"/>
      <c r="LOI55" s="13"/>
      <c r="LOJ55" s="13"/>
      <c r="LOK55" s="13"/>
      <c r="LOL55" s="13"/>
      <c r="LOM55" s="13"/>
      <c r="LON55" s="13"/>
      <c r="LOO55" s="13"/>
      <c r="LOP55" s="13"/>
      <c r="LOQ55" s="13"/>
      <c r="LOR55" s="13"/>
      <c r="LOS55" s="13"/>
      <c r="LOT55" s="13"/>
      <c r="LOU55" s="13"/>
      <c r="LOV55" s="13"/>
      <c r="LOW55" s="13"/>
      <c r="LOX55" s="13"/>
      <c r="LOY55" s="13"/>
      <c r="LOZ55" s="13"/>
      <c r="LPA55" s="13"/>
      <c r="LPB55" s="13"/>
      <c r="LPC55" s="13"/>
      <c r="LPD55" s="13"/>
      <c r="LPE55" s="13"/>
      <c r="LPF55" s="13"/>
      <c r="LPG55" s="13"/>
      <c r="LPH55" s="13"/>
      <c r="LPI55" s="13"/>
      <c r="LPJ55" s="13"/>
      <c r="LPK55" s="13"/>
      <c r="LPL55" s="13"/>
      <c r="LPM55" s="13"/>
      <c r="LPN55" s="13"/>
      <c r="LPO55" s="13"/>
      <c r="LPP55" s="13"/>
      <c r="LPQ55" s="13"/>
      <c r="LPR55" s="13"/>
      <c r="LPS55" s="13"/>
      <c r="LPT55" s="13"/>
      <c r="LPU55" s="13"/>
      <c r="LPV55" s="13"/>
      <c r="LPW55" s="13"/>
      <c r="LPX55" s="13"/>
      <c r="LPY55" s="13"/>
      <c r="LPZ55" s="13"/>
      <c r="LQA55" s="13"/>
      <c r="LQB55" s="13"/>
      <c r="LQC55" s="13"/>
      <c r="LQD55" s="13"/>
      <c r="LQE55" s="13"/>
      <c r="LQF55" s="13"/>
      <c r="LQG55" s="13"/>
      <c r="LQH55" s="13"/>
      <c r="LQI55" s="13"/>
      <c r="LQJ55" s="13"/>
      <c r="LQK55" s="13"/>
      <c r="LQL55" s="13"/>
      <c r="LQM55" s="13"/>
      <c r="LQN55" s="13"/>
      <c r="LQO55" s="13"/>
      <c r="LQP55" s="13"/>
      <c r="LQQ55" s="13"/>
      <c r="LQR55" s="13"/>
      <c r="LQS55" s="13"/>
      <c r="LQT55" s="13"/>
      <c r="LQU55" s="13"/>
      <c r="LQV55" s="13"/>
      <c r="LQW55" s="13"/>
      <c r="LQX55" s="13"/>
      <c r="LQY55" s="13"/>
      <c r="LQZ55" s="13"/>
      <c r="LRA55" s="13"/>
      <c r="LRB55" s="13"/>
      <c r="LRC55" s="13"/>
      <c r="LRD55" s="13"/>
      <c r="LRE55" s="13"/>
      <c r="LRF55" s="13"/>
      <c r="LRG55" s="13"/>
      <c r="LRH55" s="13"/>
      <c r="LRI55" s="13"/>
      <c r="LRJ55" s="13"/>
      <c r="LRK55" s="13"/>
      <c r="LRL55" s="13"/>
      <c r="LRM55" s="13"/>
      <c r="LRN55" s="13"/>
      <c r="LRO55" s="13"/>
      <c r="LRP55" s="13"/>
      <c r="LRQ55" s="13"/>
      <c r="LRR55" s="13"/>
      <c r="LRS55" s="13"/>
      <c r="LRT55" s="13"/>
      <c r="LRU55" s="13"/>
      <c r="LRV55" s="13"/>
      <c r="LRW55" s="13"/>
      <c r="LRX55" s="13"/>
      <c r="LRY55" s="13"/>
      <c r="LRZ55" s="13"/>
      <c r="LSA55" s="13"/>
      <c r="LSB55" s="13"/>
      <c r="LSC55" s="13"/>
      <c r="LSD55" s="13"/>
      <c r="LSE55" s="13"/>
      <c r="LSF55" s="13"/>
      <c r="LSG55" s="13"/>
      <c r="LSH55" s="13"/>
      <c r="LSI55" s="13"/>
      <c r="LSJ55" s="13"/>
      <c r="LSK55" s="13"/>
      <c r="LSL55" s="13"/>
      <c r="LSM55" s="13"/>
      <c r="LSN55" s="13"/>
      <c r="LSO55" s="13"/>
      <c r="LSP55" s="13"/>
      <c r="LSQ55" s="13"/>
      <c r="LSR55" s="13"/>
      <c r="LSS55" s="13"/>
      <c r="LST55" s="13"/>
      <c r="LSU55" s="13"/>
      <c r="LSV55" s="13"/>
      <c r="LSW55" s="13"/>
      <c r="LSX55" s="13"/>
      <c r="LSY55" s="13"/>
      <c r="LSZ55" s="13"/>
      <c r="LTA55" s="13"/>
      <c r="LTB55" s="13"/>
      <c r="LTC55" s="13"/>
      <c r="LTD55" s="13"/>
      <c r="LTE55" s="13"/>
      <c r="LTF55" s="13"/>
      <c r="LTG55" s="13"/>
      <c r="LTH55" s="13"/>
      <c r="LTI55" s="13"/>
      <c r="LTJ55" s="13"/>
      <c r="LTK55" s="13"/>
      <c r="LTL55" s="13"/>
      <c r="LTM55" s="13"/>
      <c r="LTN55" s="13"/>
      <c r="LTO55" s="13"/>
      <c r="LTP55" s="13"/>
      <c r="LTQ55" s="13"/>
      <c r="LTR55" s="13"/>
      <c r="LTS55" s="13"/>
      <c r="LTT55" s="13"/>
      <c r="LTU55" s="13"/>
      <c r="LTV55" s="13"/>
      <c r="LTW55" s="13"/>
      <c r="LTX55" s="13"/>
      <c r="LTY55" s="13"/>
      <c r="LTZ55" s="13"/>
      <c r="LUA55" s="13"/>
      <c r="LUB55" s="13"/>
      <c r="LUC55" s="13"/>
      <c r="LUD55" s="13"/>
      <c r="LUE55" s="13"/>
      <c r="LUF55" s="13"/>
      <c r="LUG55" s="13"/>
      <c r="LUH55" s="13"/>
      <c r="LUI55" s="13"/>
      <c r="LUJ55" s="13"/>
      <c r="LUK55" s="13"/>
      <c r="LUL55" s="13"/>
      <c r="LUM55" s="13"/>
      <c r="LUN55" s="13"/>
      <c r="LUO55" s="13"/>
      <c r="LUP55" s="13"/>
      <c r="LUQ55" s="13"/>
      <c r="LUR55" s="13"/>
      <c r="LUS55" s="13"/>
      <c r="LUT55" s="13"/>
      <c r="LUU55" s="13"/>
      <c r="LUV55" s="13"/>
      <c r="LUW55" s="13"/>
      <c r="LUX55" s="13"/>
      <c r="LUY55" s="13"/>
      <c r="LUZ55" s="13"/>
      <c r="LVA55" s="13"/>
      <c r="LVB55" s="13"/>
      <c r="LVC55" s="13"/>
      <c r="LVD55" s="13"/>
      <c r="LVE55" s="13"/>
      <c r="LVF55" s="13"/>
      <c r="LVG55" s="13"/>
      <c r="LVH55" s="13"/>
      <c r="LVI55" s="13"/>
      <c r="LVJ55" s="13"/>
      <c r="LVK55" s="13"/>
      <c r="LVL55" s="13"/>
      <c r="LVM55" s="13"/>
      <c r="LVN55" s="13"/>
      <c r="LVO55" s="13"/>
      <c r="LVP55" s="13"/>
      <c r="LVQ55" s="13"/>
      <c r="LVR55" s="13"/>
      <c r="LVS55" s="13"/>
      <c r="LVT55" s="13"/>
      <c r="LVU55" s="13"/>
      <c r="LVV55" s="13"/>
      <c r="LVW55" s="13"/>
      <c r="LVX55" s="13"/>
      <c r="LVY55" s="13"/>
      <c r="LVZ55" s="13"/>
      <c r="LWA55" s="13"/>
      <c r="LWB55" s="13"/>
      <c r="LWC55" s="13"/>
      <c r="LWD55" s="13"/>
      <c r="LWE55" s="13"/>
      <c r="LWF55" s="13"/>
      <c r="LWG55" s="13"/>
      <c r="LWH55" s="13"/>
      <c r="LWI55" s="13"/>
      <c r="LWJ55" s="13"/>
      <c r="LWK55" s="13"/>
      <c r="LWL55" s="13"/>
      <c r="LWM55" s="13"/>
      <c r="LWN55" s="13"/>
      <c r="LWO55" s="13"/>
      <c r="LWP55" s="13"/>
      <c r="LWQ55" s="13"/>
      <c r="LWR55" s="13"/>
      <c r="LWS55" s="13"/>
      <c r="LWT55" s="13"/>
      <c r="LWU55" s="13"/>
      <c r="LWV55" s="13"/>
      <c r="LWW55" s="13"/>
      <c r="LWX55" s="13"/>
      <c r="LWY55" s="13"/>
      <c r="LWZ55" s="13"/>
      <c r="LXA55" s="13"/>
      <c r="LXB55" s="13"/>
      <c r="LXC55" s="13"/>
      <c r="LXD55" s="13"/>
      <c r="LXE55" s="13"/>
      <c r="LXF55" s="13"/>
      <c r="LXG55" s="13"/>
      <c r="LXH55" s="13"/>
      <c r="LXI55" s="13"/>
      <c r="LXJ55" s="13"/>
      <c r="LXK55" s="13"/>
      <c r="LXL55" s="13"/>
      <c r="LXM55" s="13"/>
      <c r="LXN55" s="13"/>
      <c r="LXO55" s="13"/>
      <c r="LXP55" s="13"/>
      <c r="LXQ55" s="13"/>
      <c r="LXR55" s="13"/>
      <c r="LXS55" s="13"/>
      <c r="LXT55" s="13"/>
      <c r="LXU55" s="13"/>
      <c r="LXV55" s="13"/>
      <c r="LXW55" s="13"/>
      <c r="LXX55" s="13"/>
      <c r="LXY55" s="13"/>
      <c r="LXZ55" s="13"/>
      <c r="LYA55" s="13"/>
      <c r="LYB55" s="13"/>
      <c r="LYC55" s="13"/>
      <c r="LYD55" s="13"/>
      <c r="LYE55" s="13"/>
      <c r="LYF55" s="13"/>
      <c r="LYG55" s="13"/>
      <c r="LYH55" s="13"/>
      <c r="LYI55" s="13"/>
      <c r="LYJ55" s="13"/>
      <c r="LYK55" s="13"/>
      <c r="LYL55" s="13"/>
      <c r="LYM55" s="13"/>
      <c r="LYN55" s="13"/>
      <c r="LYO55" s="13"/>
      <c r="LYP55" s="13"/>
      <c r="LYQ55" s="13"/>
      <c r="LYR55" s="13"/>
      <c r="LYS55" s="13"/>
      <c r="LYT55" s="13"/>
      <c r="LYU55" s="13"/>
      <c r="LYV55" s="13"/>
      <c r="LYW55" s="13"/>
      <c r="LYX55" s="13"/>
      <c r="LYY55" s="13"/>
      <c r="LYZ55" s="13"/>
      <c r="LZA55" s="13"/>
      <c r="LZB55" s="13"/>
      <c r="LZC55" s="13"/>
      <c r="LZD55" s="13"/>
      <c r="LZE55" s="13"/>
      <c r="LZF55" s="13"/>
      <c r="LZG55" s="13"/>
      <c r="LZH55" s="13"/>
      <c r="LZI55" s="13"/>
      <c r="LZJ55" s="13"/>
      <c r="LZK55" s="13"/>
      <c r="LZL55" s="13"/>
      <c r="LZM55" s="13"/>
      <c r="LZN55" s="13"/>
      <c r="LZO55" s="13"/>
      <c r="LZP55" s="13"/>
      <c r="LZQ55" s="13"/>
      <c r="LZR55" s="13"/>
      <c r="LZS55" s="13"/>
      <c r="LZT55" s="13"/>
      <c r="LZU55" s="13"/>
      <c r="LZV55" s="13"/>
      <c r="LZW55" s="13"/>
      <c r="LZX55" s="13"/>
      <c r="LZY55" s="13"/>
      <c r="LZZ55" s="13"/>
      <c r="MAA55" s="13"/>
      <c r="MAB55" s="13"/>
      <c r="MAC55" s="13"/>
      <c r="MAD55" s="13"/>
      <c r="MAE55" s="13"/>
      <c r="MAF55" s="13"/>
      <c r="MAG55" s="13"/>
      <c r="MAH55" s="13"/>
      <c r="MAI55" s="13"/>
      <c r="MAJ55" s="13"/>
      <c r="MAK55" s="13"/>
      <c r="MAL55" s="13"/>
      <c r="MAM55" s="13"/>
      <c r="MAN55" s="13"/>
      <c r="MAO55" s="13"/>
      <c r="MAP55" s="13"/>
      <c r="MAQ55" s="13"/>
      <c r="MAR55" s="13"/>
      <c r="MAS55" s="13"/>
      <c r="MAT55" s="13"/>
      <c r="MAU55" s="13"/>
      <c r="MAV55" s="13"/>
      <c r="MAW55" s="13"/>
      <c r="MAX55" s="13"/>
      <c r="MAY55" s="13"/>
      <c r="MAZ55" s="13"/>
      <c r="MBA55" s="13"/>
      <c r="MBB55" s="13"/>
      <c r="MBC55" s="13"/>
      <c r="MBD55" s="13"/>
      <c r="MBE55" s="13"/>
      <c r="MBF55" s="13"/>
      <c r="MBG55" s="13"/>
      <c r="MBH55" s="13"/>
      <c r="MBI55" s="13"/>
      <c r="MBJ55" s="13"/>
      <c r="MBK55" s="13"/>
      <c r="MBL55" s="13"/>
      <c r="MBM55" s="13"/>
      <c r="MBN55" s="13"/>
      <c r="MBO55" s="13"/>
      <c r="MBP55" s="13"/>
      <c r="MBQ55" s="13"/>
      <c r="MBR55" s="13"/>
      <c r="MBS55" s="13"/>
      <c r="MBT55" s="13"/>
      <c r="MBU55" s="13"/>
      <c r="MBV55" s="13"/>
      <c r="MBW55" s="13"/>
      <c r="MBX55" s="13"/>
      <c r="MBY55" s="13"/>
      <c r="MBZ55" s="13"/>
      <c r="MCA55" s="13"/>
      <c r="MCB55" s="13"/>
      <c r="MCC55" s="13"/>
      <c r="MCD55" s="13"/>
      <c r="MCE55" s="13"/>
      <c r="MCF55" s="13"/>
      <c r="MCG55" s="13"/>
      <c r="MCH55" s="13"/>
      <c r="MCI55" s="13"/>
      <c r="MCJ55" s="13"/>
      <c r="MCK55" s="13"/>
      <c r="MCL55" s="13"/>
      <c r="MCM55" s="13"/>
      <c r="MCN55" s="13"/>
      <c r="MCO55" s="13"/>
      <c r="MCP55" s="13"/>
      <c r="MCQ55" s="13"/>
      <c r="MCR55" s="13"/>
      <c r="MCS55" s="13"/>
      <c r="MCT55" s="13"/>
      <c r="MCU55" s="13"/>
      <c r="MCV55" s="13"/>
      <c r="MCW55" s="13"/>
      <c r="MCX55" s="13"/>
      <c r="MCY55" s="13"/>
      <c r="MCZ55" s="13"/>
      <c r="MDA55" s="13"/>
      <c r="MDB55" s="13"/>
      <c r="MDC55" s="13"/>
      <c r="MDD55" s="13"/>
      <c r="MDE55" s="13"/>
      <c r="MDF55" s="13"/>
      <c r="MDG55" s="13"/>
      <c r="MDH55" s="13"/>
      <c r="MDI55" s="13"/>
      <c r="MDJ55" s="13"/>
      <c r="MDK55" s="13"/>
      <c r="MDL55" s="13"/>
      <c r="MDM55" s="13"/>
      <c r="MDN55" s="13"/>
      <c r="MDO55" s="13"/>
      <c r="MDP55" s="13"/>
      <c r="MDQ55" s="13"/>
      <c r="MDR55" s="13"/>
      <c r="MDS55" s="13"/>
      <c r="MDT55" s="13"/>
      <c r="MDU55" s="13"/>
      <c r="MDV55" s="13"/>
      <c r="MDW55" s="13"/>
      <c r="MDX55" s="13"/>
      <c r="MDY55" s="13"/>
      <c r="MDZ55" s="13"/>
      <c r="MEA55" s="13"/>
      <c r="MEB55" s="13"/>
      <c r="MEC55" s="13"/>
      <c r="MED55" s="13"/>
      <c r="MEE55" s="13"/>
      <c r="MEF55" s="13"/>
      <c r="MEG55" s="13"/>
      <c r="MEH55" s="13"/>
      <c r="MEI55" s="13"/>
      <c r="MEJ55" s="13"/>
      <c r="MEK55" s="13"/>
      <c r="MEL55" s="13"/>
      <c r="MEM55" s="13"/>
      <c r="MEN55" s="13"/>
      <c r="MEO55" s="13"/>
      <c r="MEP55" s="13"/>
      <c r="MEQ55" s="13"/>
      <c r="MER55" s="13"/>
      <c r="MES55" s="13"/>
      <c r="MET55" s="13"/>
      <c r="MEU55" s="13"/>
      <c r="MEV55" s="13"/>
      <c r="MEW55" s="13"/>
      <c r="MEX55" s="13"/>
      <c r="MEY55" s="13"/>
      <c r="MEZ55" s="13"/>
      <c r="MFA55" s="13"/>
      <c r="MFB55" s="13"/>
      <c r="MFC55" s="13"/>
      <c r="MFD55" s="13"/>
      <c r="MFE55" s="13"/>
      <c r="MFF55" s="13"/>
      <c r="MFG55" s="13"/>
      <c r="MFH55" s="13"/>
      <c r="MFI55" s="13"/>
      <c r="MFJ55" s="13"/>
      <c r="MFK55" s="13"/>
      <c r="MFL55" s="13"/>
      <c r="MFM55" s="13"/>
      <c r="MFN55" s="13"/>
      <c r="MFO55" s="13"/>
      <c r="MFP55" s="13"/>
      <c r="MFQ55" s="13"/>
      <c r="MFR55" s="13"/>
      <c r="MFS55" s="13"/>
      <c r="MFT55" s="13"/>
      <c r="MFU55" s="13"/>
      <c r="MFV55" s="13"/>
      <c r="MFW55" s="13"/>
      <c r="MFX55" s="13"/>
      <c r="MFY55" s="13"/>
      <c r="MFZ55" s="13"/>
      <c r="MGA55" s="13"/>
      <c r="MGB55" s="13"/>
      <c r="MGC55" s="13"/>
      <c r="MGD55" s="13"/>
      <c r="MGE55" s="13"/>
      <c r="MGF55" s="13"/>
      <c r="MGG55" s="13"/>
      <c r="MGH55" s="13"/>
      <c r="MGI55" s="13"/>
      <c r="MGJ55" s="13"/>
      <c r="MGK55" s="13"/>
      <c r="MGL55" s="13"/>
      <c r="MGM55" s="13"/>
      <c r="MGN55" s="13"/>
      <c r="MGO55" s="13"/>
      <c r="MGP55" s="13"/>
      <c r="MGQ55" s="13"/>
      <c r="MGR55" s="13"/>
      <c r="MGS55" s="13"/>
      <c r="MGT55" s="13"/>
      <c r="MGU55" s="13"/>
      <c r="MGV55" s="13"/>
      <c r="MGW55" s="13"/>
      <c r="MGX55" s="13"/>
      <c r="MGY55" s="13"/>
      <c r="MGZ55" s="13"/>
      <c r="MHA55" s="13"/>
      <c r="MHB55" s="13"/>
      <c r="MHC55" s="13"/>
      <c r="MHD55" s="13"/>
      <c r="MHE55" s="13"/>
      <c r="MHF55" s="13"/>
      <c r="MHG55" s="13"/>
      <c r="MHH55" s="13"/>
      <c r="MHI55" s="13"/>
      <c r="MHJ55" s="13"/>
      <c r="MHK55" s="13"/>
      <c r="MHL55" s="13"/>
      <c r="MHM55" s="13"/>
      <c r="MHN55" s="13"/>
      <c r="MHO55" s="13"/>
      <c r="MHP55" s="13"/>
      <c r="MHQ55" s="13"/>
      <c r="MHR55" s="13"/>
      <c r="MHS55" s="13"/>
      <c r="MHT55" s="13"/>
      <c r="MHU55" s="13"/>
      <c r="MHV55" s="13"/>
      <c r="MHW55" s="13"/>
      <c r="MHX55" s="13"/>
      <c r="MHY55" s="13"/>
      <c r="MHZ55" s="13"/>
      <c r="MIA55" s="13"/>
      <c r="MIB55" s="13"/>
      <c r="MIC55" s="13"/>
      <c r="MID55" s="13"/>
      <c r="MIE55" s="13"/>
      <c r="MIF55" s="13"/>
      <c r="MIG55" s="13"/>
      <c r="MIH55" s="13"/>
      <c r="MII55" s="13"/>
      <c r="MIJ55" s="13"/>
      <c r="MIK55" s="13"/>
      <c r="MIL55" s="13"/>
      <c r="MIM55" s="13"/>
      <c r="MIN55" s="13"/>
      <c r="MIO55" s="13"/>
      <c r="MIP55" s="13"/>
      <c r="MIQ55" s="13"/>
      <c r="MIR55" s="13"/>
      <c r="MIS55" s="13"/>
      <c r="MIT55" s="13"/>
      <c r="MIU55" s="13"/>
      <c r="MIV55" s="13"/>
      <c r="MIW55" s="13"/>
      <c r="MIX55" s="13"/>
      <c r="MIY55" s="13"/>
      <c r="MIZ55" s="13"/>
      <c r="MJA55" s="13"/>
      <c r="MJB55" s="13"/>
      <c r="MJC55" s="13"/>
      <c r="MJD55" s="13"/>
      <c r="MJE55" s="13"/>
      <c r="MJF55" s="13"/>
      <c r="MJG55" s="13"/>
      <c r="MJH55" s="13"/>
      <c r="MJI55" s="13"/>
      <c r="MJJ55" s="13"/>
      <c r="MJK55" s="13"/>
      <c r="MJL55" s="13"/>
      <c r="MJM55" s="13"/>
      <c r="MJN55" s="13"/>
      <c r="MJO55" s="13"/>
      <c r="MJP55" s="13"/>
      <c r="MJQ55" s="13"/>
      <c r="MJR55" s="13"/>
      <c r="MJS55" s="13"/>
      <c r="MJT55" s="13"/>
      <c r="MJU55" s="13"/>
      <c r="MJV55" s="13"/>
      <c r="MJW55" s="13"/>
      <c r="MJX55" s="13"/>
      <c r="MJY55" s="13"/>
      <c r="MJZ55" s="13"/>
      <c r="MKA55" s="13"/>
      <c r="MKB55" s="13"/>
      <c r="MKC55" s="13"/>
      <c r="MKD55" s="13"/>
      <c r="MKE55" s="13"/>
      <c r="MKF55" s="13"/>
      <c r="MKG55" s="13"/>
      <c r="MKH55" s="13"/>
      <c r="MKI55" s="13"/>
      <c r="MKJ55" s="13"/>
      <c r="MKK55" s="13"/>
      <c r="MKL55" s="13"/>
      <c r="MKM55" s="13"/>
      <c r="MKN55" s="13"/>
      <c r="MKO55" s="13"/>
      <c r="MKP55" s="13"/>
      <c r="MKQ55" s="13"/>
      <c r="MKR55" s="13"/>
      <c r="MKS55" s="13"/>
      <c r="MKT55" s="13"/>
      <c r="MKU55" s="13"/>
      <c r="MKV55" s="13"/>
      <c r="MKW55" s="13"/>
      <c r="MKX55" s="13"/>
      <c r="MKY55" s="13"/>
      <c r="MKZ55" s="13"/>
      <c r="MLA55" s="13"/>
      <c r="MLB55" s="13"/>
      <c r="MLC55" s="13"/>
      <c r="MLD55" s="13"/>
      <c r="MLE55" s="13"/>
      <c r="MLF55" s="13"/>
      <c r="MLG55" s="13"/>
      <c r="MLH55" s="13"/>
      <c r="MLI55" s="13"/>
      <c r="MLJ55" s="13"/>
      <c r="MLK55" s="13"/>
      <c r="MLL55" s="13"/>
      <c r="MLM55" s="13"/>
      <c r="MLN55" s="13"/>
      <c r="MLO55" s="13"/>
      <c r="MLP55" s="13"/>
      <c r="MLQ55" s="13"/>
      <c r="MLR55" s="13"/>
      <c r="MLS55" s="13"/>
      <c r="MLT55" s="13"/>
      <c r="MLU55" s="13"/>
      <c r="MLV55" s="13"/>
      <c r="MLW55" s="13"/>
      <c r="MLX55" s="13"/>
      <c r="MLY55" s="13"/>
      <c r="MLZ55" s="13"/>
      <c r="MMA55" s="13"/>
      <c r="MMB55" s="13"/>
      <c r="MMC55" s="13"/>
      <c r="MMD55" s="13"/>
      <c r="MME55" s="13"/>
      <c r="MMF55" s="13"/>
      <c r="MMG55" s="13"/>
      <c r="MMH55" s="13"/>
      <c r="MMI55" s="13"/>
      <c r="MMJ55" s="13"/>
      <c r="MMK55" s="13"/>
      <c r="MML55" s="13"/>
      <c r="MMM55" s="13"/>
      <c r="MMN55" s="13"/>
      <c r="MMO55" s="13"/>
      <c r="MMP55" s="13"/>
      <c r="MMQ55" s="13"/>
      <c r="MMR55" s="13"/>
      <c r="MMS55" s="13"/>
      <c r="MMT55" s="13"/>
      <c r="MMU55" s="13"/>
      <c r="MMV55" s="13"/>
      <c r="MMW55" s="13"/>
      <c r="MMX55" s="13"/>
      <c r="MMY55" s="13"/>
      <c r="MMZ55" s="13"/>
      <c r="MNA55" s="13"/>
      <c r="MNB55" s="13"/>
      <c r="MNC55" s="13"/>
      <c r="MND55" s="13"/>
      <c r="MNE55" s="13"/>
      <c r="MNF55" s="13"/>
      <c r="MNG55" s="13"/>
      <c r="MNH55" s="13"/>
      <c r="MNI55" s="13"/>
      <c r="MNJ55" s="13"/>
      <c r="MNK55" s="13"/>
      <c r="MNL55" s="13"/>
      <c r="MNM55" s="13"/>
      <c r="MNN55" s="13"/>
      <c r="MNO55" s="13"/>
      <c r="MNP55" s="13"/>
      <c r="MNQ55" s="13"/>
      <c r="MNR55" s="13"/>
      <c r="MNS55" s="13"/>
      <c r="MNT55" s="13"/>
      <c r="MNU55" s="13"/>
      <c r="MNV55" s="13"/>
      <c r="MNW55" s="13"/>
      <c r="MNX55" s="13"/>
      <c r="MNY55" s="13"/>
      <c r="MNZ55" s="13"/>
      <c r="MOA55" s="13"/>
      <c r="MOB55" s="13"/>
      <c r="MOC55" s="13"/>
      <c r="MOD55" s="13"/>
      <c r="MOE55" s="13"/>
      <c r="MOF55" s="13"/>
      <c r="MOG55" s="13"/>
      <c r="MOH55" s="13"/>
      <c r="MOI55" s="13"/>
      <c r="MOJ55" s="13"/>
      <c r="MOK55" s="13"/>
      <c r="MOL55" s="13"/>
      <c r="MOM55" s="13"/>
      <c r="MON55" s="13"/>
      <c r="MOO55" s="13"/>
      <c r="MOP55" s="13"/>
      <c r="MOQ55" s="13"/>
      <c r="MOR55" s="13"/>
      <c r="MOS55" s="13"/>
      <c r="MOT55" s="13"/>
      <c r="MOU55" s="13"/>
      <c r="MOV55" s="13"/>
      <c r="MOW55" s="13"/>
      <c r="MOX55" s="13"/>
      <c r="MOY55" s="13"/>
      <c r="MOZ55" s="13"/>
      <c r="MPA55" s="13"/>
      <c r="MPB55" s="13"/>
      <c r="MPC55" s="13"/>
      <c r="MPD55" s="13"/>
      <c r="MPE55" s="13"/>
      <c r="MPF55" s="13"/>
      <c r="MPG55" s="13"/>
      <c r="MPH55" s="13"/>
      <c r="MPI55" s="13"/>
      <c r="MPJ55" s="13"/>
      <c r="MPK55" s="13"/>
      <c r="MPL55" s="13"/>
      <c r="MPM55" s="13"/>
      <c r="MPN55" s="13"/>
      <c r="MPO55" s="13"/>
      <c r="MPP55" s="13"/>
      <c r="MPQ55" s="13"/>
      <c r="MPR55" s="13"/>
      <c r="MPS55" s="13"/>
      <c r="MPT55" s="13"/>
      <c r="MPU55" s="13"/>
      <c r="MPV55" s="13"/>
      <c r="MPW55" s="13"/>
      <c r="MPX55" s="13"/>
      <c r="MPY55" s="13"/>
      <c r="MPZ55" s="13"/>
      <c r="MQA55" s="13"/>
      <c r="MQB55" s="13"/>
      <c r="MQC55" s="13"/>
      <c r="MQD55" s="13"/>
      <c r="MQE55" s="13"/>
      <c r="MQF55" s="13"/>
      <c r="MQG55" s="13"/>
      <c r="MQH55" s="13"/>
      <c r="MQI55" s="13"/>
      <c r="MQJ55" s="13"/>
      <c r="MQK55" s="13"/>
      <c r="MQL55" s="13"/>
      <c r="MQM55" s="13"/>
      <c r="MQN55" s="13"/>
      <c r="MQO55" s="13"/>
      <c r="MQP55" s="13"/>
      <c r="MQQ55" s="13"/>
      <c r="MQR55" s="13"/>
      <c r="MQS55" s="13"/>
      <c r="MQT55" s="13"/>
      <c r="MQU55" s="13"/>
      <c r="MQV55" s="13"/>
      <c r="MQW55" s="13"/>
      <c r="MQX55" s="13"/>
      <c r="MQY55" s="13"/>
      <c r="MQZ55" s="13"/>
      <c r="MRA55" s="13"/>
      <c r="MRB55" s="13"/>
      <c r="MRC55" s="13"/>
      <c r="MRD55" s="13"/>
      <c r="MRE55" s="13"/>
      <c r="MRF55" s="13"/>
      <c r="MRG55" s="13"/>
      <c r="MRH55" s="13"/>
      <c r="MRI55" s="13"/>
      <c r="MRJ55" s="13"/>
      <c r="MRK55" s="13"/>
      <c r="MRL55" s="13"/>
      <c r="MRM55" s="13"/>
      <c r="MRN55" s="13"/>
      <c r="MRO55" s="13"/>
      <c r="MRP55" s="13"/>
      <c r="MRQ55" s="13"/>
      <c r="MRR55" s="13"/>
      <c r="MRS55" s="13"/>
      <c r="MRT55" s="13"/>
      <c r="MRU55" s="13"/>
      <c r="MRV55" s="13"/>
      <c r="MRW55" s="13"/>
      <c r="MRX55" s="13"/>
      <c r="MRY55" s="13"/>
      <c r="MRZ55" s="13"/>
      <c r="MSA55" s="13"/>
      <c r="MSB55" s="13"/>
      <c r="MSC55" s="13"/>
      <c r="MSD55" s="13"/>
      <c r="MSE55" s="13"/>
      <c r="MSF55" s="13"/>
      <c r="MSG55" s="13"/>
      <c r="MSH55" s="13"/>
      <c r="MSI55" s="13"/>
      <c r="MSJ55" s="13"/>
      <c r="MSK55" s="13"/>
      <c r="MSL55" s="13"/>
      <c r="MSM55" s="13"/>
      <c r="MSN55" s="13"/>
      <c r="MSO55" s="13"/>
      <c r="MSP55" s="13"/>
      <c r="MSQ55" s="13"/>
      <c r="MSR55" s="13"/>
      <c r="MSS55" s="13"/>
      <c r="MST55" s="13"/>
      <c r="MSU55" s="13"/>
      <c r="MSV55" s="13"/>
      <c r="MSW55" s="13"/>
      <c r="MSX55" s="13"/>
      <c r="MSY55" s="13"/>
      <c r="MSZ55" s="13"/>
      <c r="MTA55" s="13"/>
      <c r="MTB55" s="13"/>
      <c r="MTC55" s="13"/>
      <c r="MTD55" s="13"/>
      <c r="MTE55" s="13"/>
      <c r="MTF55" s="13"/>
      <c r="MTG55" s="13"/>
      <c r="MTH55" s="13"/>
      <c r="MTI55" s="13"/>
      <c r="MTJ55" s="13"/>
      <c r="MTK55" s="13"/>
      <c r="MTL55" s="13"/>
      <c r="MTM55" s="13"/>
      <c r="MTN55" s="13"/>
      <c r="MTO55" s="13"/>
      <c r="MTP55" s="13"/>
      <c r="MTQ55" s="13"/>
      <c r="MTR55" s="13"/>
      <c r="MTS55" s="13"/>
      <c r="MTT55" s="13"/>
      <c r="MTU55" s="13"/>
      <c r="MTV55" s="13"/>
      <c r="MTW55" s="13"/>
      <c r="MTX55" s="13"/>
      <c r="MTY55" s="13"/>
      <c r="MTZ55" s="13"/>
      <c r="MUA55" s="13"/>
      <c r="MUB55" s="13"/>
      <c r="MUC55" s="13"/>
      <c r="MUD55" s="13"/>
      <c r="MUE55" s="13"/>
      <c r="MUF55" s="13"/>
      <c r="MUG55" s="13"/>
      <c r="MUH55" s="13"/>
      <c r="MUI55" s="13"/>
      <c r="MUJ55" s="13"/>
      <c r="MUK55" s="13"/>
      <c r="MUL55" s="13"/>
      <c r="MUM55" s="13"/>
      <c r="MUN55" s="13"/>
      <c r="MUO55" s="13"/>
      <c r="MUP55" s="13"/>
      <c r="MUQ55" s="13"/>
      <c r="MUR55" s="13"/>
      <c r="MUS55" s="13"/>
      <c r="MUT55" s="13"/>
      <c r="MUU55" s="13"/>
      <c r="MUV55" s="13"/>
      <c r="MUW55" s="13"/>
      <c r="MUX55" s="13"/>
      <c r="MUY55" s="13"/>
      <c r="MUZ55" s="13"/>
      <c r="MVA55" s="13"/>
      <c r="MVB55" s="13"/>
      <c r="MVC55" s="13"/>
      <c r="MVD55" s="13"/>
      <c r="MVE55" s="13"/>
      <c r="MVF55" s="13"/>
      <c r="MVG55" s="13"/>
      <c r="MVH55" s="13"/>
      <c r="MVI55" s="13"/>
      <c r="MVJ55" s="13"/>
      <c r="MVK55" s="13"/>
      <c r="MVL55" s="13"/>
      <c r="MVM55" s="13"/>
      <c r="MVN55" s="13"/>
      <c r="MVO55" s="13"/>
      <c r="MVP55" s="13"/>
      <c r="MVQ55" s="13"/>
      <c r="MVR55" s="13"/>
      <c r="MVS55" s="13"/>
      <c r="MVT55" s="13"/>
      <c r="MVU55" s="13"/>
      <c r="MVV55" s="13"/>
      <c r="MVW55" s="13"/>
      <c r="MVX55" s="13"/>
      <c r="MVY55" s="13"/>
      <c r="MVZ55" s="13"/>
      <c r="MWA55" s="13"/>
      <c r="MWB55" s="13"/>
      <c r="MWC55" s="13"/>
      <c r="MWD55" s="13"/>
      <c r="MWE55" s="13"/>
      <c r="MWF55" s="13"/>
      <c r="MWG55" s="13"/>
      <c r="MWH55" s="13"/>
      <c r="MWI55" s="13"/>
      <c r="MWJ55" s="13"/>
      <c r="MWK55" s="13"/>
      <c r="MWL55" s="13"/>
      <c r="MWM55" s="13"/>
      <c r="MWN55" s="13"/>
      <c r="MWO55" s="13"/>
      <c r="MWP55" s="13"/>
      <c r="MWQ55" s="13"/>
      <c r="MWR55" s="13"/>
      <c r="MWS55" s="13"/>
      <c r="MWT55" s="13"/>
      <c r="MWU55" s="13"/>
      <c r="MWV55" s="13"/>
      <c r="MWW55" s="13"/>
      <c r="MWX55" s="13"/>
      <c r="MWY55" s="13"/>
      <c r="MWZ55" s="13"/>
      <c r="MXA55" s="13"/>
      <c r="MXB55" s="13"/>
      <c r="MXC55" s="13"/>
      <c r="MXD55" s="13"/>
      <c r="MXE55" s="13"/>
      <c r="MXF55" s="13"/>
      <c r="MXG55" s="13"/>
      <c r="MXH55" s="13"/>
      <c r="MXI55" s="13"/>
      <c r="MXJ55" s="13"/>
      <c r="MXK55" s="13"/>
      <c r="MXL55" s="13"/>
      <c r="MXM55" s="13"/>
      <c r="MXN55" s="13"/>
      <c r="MXO55" s="13"/>
      <c r="MXP55" s="13"/>
      <c r="MXQ55" s="13"/>
      <c r="MXR55" s="13"/>
      <c r="MXS55" s="13"/>
      <c r="MXT55" s="13"/>
      <c r="MXU55" s="13"/>
      <c r="MXV55" s="13"/>
      <c r="MXW55" s="13"/>
      <c r="MXX55" s="13"/>
      <c r="MXY55" s="13"/>
      <c r="MXZ55" s="13"/>
      <c r="MYA55" s="13"/>
      <c r="MYB55" s="13"/>
      <c r="MYC55" s="13"/>
      <c r="MYD55" s="13"/>
      <c r="MYE55" s="13"/>
      <c r="MYF55" s="13"/>
      <c r="MYG55" s="13"/>
      <c r="MYH55" s="13"/>
      <c r="MYI55" s="13"/>
      <c r="MYJ55" s="13"/>
      <c r="MYK55" s="13"/>
      <c r="MYL55" s="13"/>
      <c r="MYM55" s="13"/>
      <c r="MYN55" s="13"/>
      <c r="MYO55" s="13"/>
      <c r="MYP55" s="13"/>
      <c r="MYQ55" s="13"/>
      <c r="MYR55" s="13"/>
      <c r="MYS55" s="13"/>
      <c r="MYT55" s="13"/>
      <c r="MYU55" s="13"/>
      <c r="MYV55" s="13"/>
      <c r="MYW55" s="13"/>
      <c r="MYX55" s="13"/>
      <c r="MYY55" s="13"/>
      <c r="MYZ55" s="13"/>
      <c r="MZA55" s="13"/>
      <c r="MZB55" s="13"/>
      <c r="MZC55" s="13"/>
      <c r="MZD55" s="13"/>
      <c r="MZE55" s="13"/>
      <c r="MZF55" s="13"/>
      <c r="MZG55" s="13"/>
      <c r="MZH55" s="13"/>
      <c r="MZI55" s="13"/>
      <c r="MZJ55" s="13"/>
      <c r="MZK55" s="13"/>
      <c r="MZL55" s="13"/>
      <c r="MZM55" s="13"/>
      <c r="MZN55" s="13"/>
      <c r="MZO55" s="13"/>
      <c r="MZP55" s="13"/>
      <c r="MZQ55" s="13"/>
      <c r="MZR55" s="13"/>
      <c r="MZS55" s="13"/>
      <c r="MZT55" s="13"/>
      <c r="MZU55" s="13"/>
      <c r="MZV55" s="13"/>
      <c r="MZW55" s="13"/>
      <c r="MZX55" s="13"/>
      <c r="MZY55" s="13"/>
      <c r="MZZ55" s="13"/>
      <c r="NAA55" s="13"/>
      <c r="NAB55" s="13"/>
      <c r="NAC55" s="13"/>
      <c r="NAD55" s="13"/>
      <c r="NAE55" s="13"/>
      <c r="NAF55" s="13"/>
      <c r="NAG55" s="13"/>
      <c r="NAH55" s="13"/>
      <c r="NAI55" s="13"/>
      <c r="NAJ55" s="13"/>
      <c r="NAK55" s="13"/>
      <c r="NAL55" s="13"/>
      <c r="NAM55" s="13"/>
      <c r="NAN55" s="13"/>
      <c r="NAO55" s="13"/>
      <c r="NAP55" s="13"/>
      <c r="NAQ55" s="13"/>
      <c r="NAR55" s="13"/>
      <c r="NAS55" s="13"/>
      <c r="NAT55" s="13"/>
      <c r="NAU55" s="13"/>
      <c r="NAV55" s="13"/>
      <c r="NAW55" s="13"/>
      <c r="NAX55" s="13"/>
      <c r="NAY55" s="13"/>
      <c r="NAZ55" s="13"/>
      <c r="NBA55" s="13"/>
      <c r="NBB55" s="13"/>
      <c r="NBC55" s="13"/>
      <c r="NBD55" s="13"/>
      <c r="NBE55" s="13"/>
      <c r="NBF55" s="13"/>
      <c r="NBG55" s="13"/>
      <c r="NBH55" s="13"/>
      <c r="NBI55" s="13"/>
      <c r="NBJ55" s="13"/>
      <c r="NBK55" s="13"/>
      <c r="NBL55" s="13"/>
      <c r="NBM55" s="13"/>
      <c r="NBN55" s="13"/>
      <c r="NBO55" s="13"/>
      <c r="NBP55" s="13"/>
      <c r="NBQ55" s="13"/>
      <c r="NBR55" s="13"/>
      <c r="NBS55" s="13"/>
      <c r="NBT55" s="13"/>
      <c r="NBU55" s="13"/>
      <c r="NBV55" s="13"/>
      <c r="NBW55" s="13"/>
      <c r="NBX55" s="13"/>
      <c r="NBY55" s="13"/>
      <c r="NBZ55" s="13"/>
      <c r="NCA55" s="13"/>
      <c r="NCB55" s="13"/>
      <c r="NCC55" s="13"/>
      <c r="NCD55" s="13"/>
      <c r="NCE55" s="13"/>
      <c r="NCF55" s="13"/>
      <c r="NCG55" s="13"/>
      <c r="NCH55" s="13"/>
      <c r="NCI55" s="13"/>
      <c r="NCJ55" s="13"/>
      <c r="NCK55" s="13"/>
      <c r="NCL55" s="13"/>
      <c r="NCM55" s="13"/>
      <c r="NCN55" s="13"/>
      <c r="NCO55" s="13"/>
      <c r="NCP55" s="13"/>
      <c r="NCQ55" s="13"/>
      <c r="NCR55" s="13"/>
      <c r="NCS55" s="13"/>
      <c r="NCT55" s="13"/>
      <c r="NCU55" s="13"/>
      <c r="NCV55" s="13"/>
      <c r="NCW55" s="13"/>
      <c r="NCX55" s="13"/>
      <c r="NCY55" s="13"/>
      <c r="NCZ55" s="13"/>
      <c r="NDA55" s="13"/>
      <c r="NDB55" s="13"/>
      <c r="NDC55" s="13"/>
      <c r="NDD55" s="13"/>
      <c r="NDE55" s="13"/>
      <c r="NDF55" s="13"/>
      <c r="NDG55" s="13"/>
      <c r="NDH55" s="13"/>
      <c r="NDI55" s="13"/>
      <c r="NDJ55" s="13"/>
      <c r="NDK55" s="13"/>
      <c r="NDL55" s="13"/>
      <c r="NDM55" s="13"/>
      <c r="NDN55" s="13"/>
      <c r="NDO55" s="13"/>
      <c r="NDP55" s="13"/>
      <c r="NDQ55" s="13"/>
      <c r="NDR55" s="13"/>
      <c r="NDS55" s="13"/>
      <c r="NDT55" s="13"/>
      <c r="NDU55" s="13"/>
      <c r="NDV55" s="13"/>
      <c r="NDW55" s="13"/>
      <c r="NDX55" s="13"/>
      <c r="NDY55" s="13"/>
      <c r="NDZ55" s="13"/>
      <c r="NEA55" s="13"/>
      <c r="NEB55" s="13"/>
      <c r="NEC55" s="13"/>
      <c r="NED55" s="13"/>
      <c r="NEE55" s="13"/>
      <c r="NEF55" s="13"/>
      <c r="NEG55" s="13"/>
      <c r="NEH55" s="13"/>
      <c r="NEI55" s="13"/>
      <c r="NEJ55" s="13"/>
      <c r="NEK55" s="13"/>
      <c r="NEL55" s="13"/>
      <c r="NEM55" s="13"/>
      <c r="NEN55" s="13"/>
      <c r="NEO55" s="13"/>
      <c r="NEP55" s="13"/>
      <c r="NEQ55" s="13"/>
      <c r="NER55" s="13"/>
      <c r="NES55" s="13"/>
      <c r="NET55" s="13"/>
      <c r="NEU55" s="13"/>
      <c r="NEV55" s="13"/>
      <c r="NEW55" s="13"/>
      <c r="NEX55" s="13"/>
      <c r="NEY55" s="13"/>
      <c r="NEZ55" s="13"/>
      <c r="NFA55" s="13"/>
      <c r="NFB55" s="13"/>
      <c r="NFC55" s="13"/>
      <c r="NFD55" s="13"/>
      <c r="NFE55" s="13"/>
      <c r="NFF55" s="13"/>
      <c r="NFG55" s="13"/>
      <c r="NFH55" s="13"/>
      <c r="NFI55" s="13"/>
      <c r="NFJ55" s="13"/>
      <c r="NFK55" s="13"/>
      <c r="NFL55" s="13"/>
      <c r="NFM55" s="13"/>
      <c r="NFN55" s="13"/>
      <c r="NFO55" s="13"/>
      <c r="NFP55" s="13"/>
      <c r="NFQ55" s="13"/>
      <c r="NFR55" s="13"/>
      <c r="NFS55" s="13"/>
      <c r="NFT55" s="13"/>
      <c r="NFU55" s="13"/>
      <c r="NFV55" s="13"/>
      <c r="NFW55" s="13"/>
      <c r="NFX55" s="13"/>
      <c r="NFY55" s="13"/>
      <c r="NFZ55" s="13"/>
      <c r="NGA55" s="13"/>
      <c r="NGB55" s="13"/>
      <c r="NGC55" s="13"/>
      <c r="NGD55" s="13"/>
      <c r="NGE55" s="13"/>
      <c r="NGF55" s="13"/>
      <c r="NGG55" s="13"/>
      <c r="NGH55" s="13"/>
      <c r="NGI55" s="13"/>
      <c r="NGJ55" s="13"/>
      <c r="NGK55" s="13"/>
      <c r="NGL55" s="13"/>
      <c r="NGM55" s="13"/>
      <c r="NGN55" s="13"/>
      <c r="NGO55" s="13"/>
      <c r="NGP55" s="13"/>
      <c r="NGQ55" s="13"/>
      <c r="NGR55" s="13"/>
      <c r="NGS55" s="13"/>
      <c r="NGT55" s="13"/>
      <c r="NGU55" s="13"/>
      <c r="NGV55" s="13"/>
      <c r="NGW55" s="13"/>
      <c r="NGX55" s="13"/>
      <c r="NGY55" s="13"/>
      <c r="NGZ55" s="13"/>
      <c r="NHA55" s="13"/>
      <c r="NHB55" s="13"/>
      <c r="NHC55" s="13"/>
      <c r="NHD55" s="13"/>
      <c r="NHE55" s="13"/>
      <c r="NHF55" s="13"/>
      <c r="NHG55" s="13"/>
      <c r="NHH55" s="13"/>
      <c r="NHI55" s="13"/>
      <c r="NHJ55" s="13"/>
      <c r="NHK55" s="13"/>
      <c r="NHL55" s="13"/>
      <c r="NHM55" s="13"/>
      <c r="NHN55" s="13"/>
      <c r="NHO55" s="13"/>
      <c r="NHP55" s="13"/>
      <c r="NHQ55" s="13"/>
      <c r="NHR55" s="13"/>
      <c r="NHS55" s="13"/>
      <c r="NHT55" s="13"/>
      <c r="NHU55" s="13"/>
      <c r="NHV55" s="13"/>
      <c r="NHW55" s="13"/>
      <c r="NHX55" s="13"/>
      <c r="NHY55" s="13"/>
      <c r="NHZ55" s="13"/>
      <c r="NIA55" s="13"/>
      <c r="NIB55" s="13"/>
      <c r="NIC55" s="13"/>
      <c r="NID55" s="13"/>
      <c r="NIE55" s="13"/>
      <c r="NIF55" s="13"/>
      <c r="NIG55" s="13"/>
      <c r="NIH55" s="13"/>
      <c r="NII55" s="13"/>
      <c r="NIJ55" s="13"/>
      <c r="NIK55" s="13"/>
      <c r="NIL55" s="13"/>
      <c r="NIM55" s="13"/>
      <c r="NIN55" s="13"/>
      <c r="NIO55" s="13"/>
      <c r="NIP55" s="13"/>
      <c r="NIQ55" s="13"/>
      <c r="NIR55" s="13"/>
      <c r="NIS55" s="13"/>
      <c r="NIT55" s="13"/>
      <c r="NIU55" s="13"/>
      <c r="NIV55" s="13"/>
      <c r="NIW55" s="13"/>
      <c r="NIX55" s="13"/>
      <c r="NIY55" s="13"/>
      <c r="NIZ55" s="13"/>
      <c r="NJA55" s="13"/>
      <c r="NJB55" s="13"/>
      <c r="NJC55" s="13"/>
      <c r="NJD55" s="13"/>
      <c r="NJE55" s="13"/>
      <c r="NJF55" s="13"/>
      <c r="NJG55" s="13"/>
      <c r="NJH55" s="13"/>
      <c r="NJI55" s="13"/>
      <c r="NJJ55" s="13"/>
      <c r="NJK55" s="13"/>
      <c r="NJL55" s="13"/>
      <c r="NJM55" s="13"/>
      <c r="NJN55" s="13"/>
      <c r="NJO55" s="13"/>
      <c r="NJP55" s="13"/>
      <c r="NJQ55" s="13"/>
      <c r="NJR55" s="13"/>
      <c r="NJS55" s="13"/>
      <c r="NJT55" s="13"/>
      <c r="NJU55" s="13"/>
      <c r="NJV55" s="13"/>
      <c r="NJW55" s="13"/>
      <c r="NJX55" s="13"/>
      <c r="NJY55" s="13"/>
      <c r="NJZ55" s="13"/>
      <c r="NKA55" s="13"/>
      <c r="NKB55" s="13"/>
      <c r="NKC55" s="13"/>
      <c r="NKD55" s="13"/>
      <c r="NKE55" s="13"/>
      <c r="NKF55" s="13"/>
      <c r="NKG55" s="13"/>
      <c r="NKH55" s="13"/>
      <c r="NKI55" s="13"/>
      <c r="NKJ55" s="13"/>
      <c r="NKK55" s="13"/>
      <c r="NKL55" s="13"/>
      <c r="NKM55" s="13"/>
      <c r="NKN55" s="13"/>
      <c r="NKO55" s="13"/>
      <c r="NKP55" s="13"/>
      <c r="NKQ55" s="13"/>
      <c r="NKR55" s="13"/>
      <c r="NKS55" s="13"/>
      <c r="NKT55" s="13"/>
      <c r="NKU55" s="13"/>
      <c r="NKV55" s="13"/>
      <c r="NKW55" s="13"/>
      <c r="NKX55" s="13"/>
      <c r="NKY55" s="13"/>
      <c r="NKZ55" s="13"/>
      <c r="NLA55" s="13"/>
      <c r="NLB55" s="13"/>
      <c r="NLC55" s="13"/>
      <c r="NLD55" s="13"/>
      <c r="NLE55" s="13"/>
      <c r="NLF55" s="13"/>
      <c r="NLG55" s="13"/>
      <c r="NLH55" s="13"/>
      <c r="NLI55" s="13"/>
      <c r="NLJ55" s="13"/>
      <c r="NLK55" s="13"/>
      <c r="NLL55" s="13"/>
      <c r="NLM55" s="13"/>
      <c r="NLN55" s="13"/>
      <c r="NLO55" s="13"/>
      <c r="NLP55" s="13"/>
      <c r="NLQ55" s="13"/>
      <c r="NLR55" s="13"/>
      <c r="NLS55" s="13"/>
      <c r="NLT55" s="13"/>
      <c r="NLU55" s="13"/>
      <c r="NLV55" s="13"/>
      <c r="NLW55" s="13"/>
      <c r="NLX55" s="13"/>
      <c r="NLY55" s="13"/>
      <c r="NLZ55" s="13"/>
      <c r="NMA55" s="13"/>
      <c r="NMB55" s="13"/>
      <c r="NMC55" s="13"/>
      <c r="NMD55" s="13"/>
      <c r="NME55" s="13"/>
      <c r="NMF55" s="13"/>
      <c r="NMG55" s="13"/>
      <c r="NMH55" s="13"/>
      <c r="NMI55" s="13"/>
      <c r="NMJ55" s="13"/>
      <c r="NMK55" s="13"/>
      <c r="NML55" s="13"/>
      <c r="NMM55" s="13"/>
      <c r="NMN55" s="13"/>
      <c r="NMO55" s="13"/>
      <c r="NMP55" s="13"/>
      <c r="NMQ55" s="13"/>
      <c r="NMR55" s="13"/>
      <c r="NMS55" s="13"/>
      <c r="NMT55" s="13"/>
      <c r="NMU55" s="13"/>
      <c r="NMV55" s="13"/>
      <c r="NMW55" s="13"/>
      <c r="NMX55" s="13"/>
      <c r="NMY55" s="13"/>
      <c r="NMZ55" s="13"/>
      <c r="NNA55" s="13"/>
      <c r="NNB55" s="13"/>
      <c r="NNC55" s="13"/>
      <c r="NND55" s="13"/>
      <c r="NNE55" s="13"/>
      <c r="NNF55" s="13"/>
      <c r="NNG55" s="13"/>
      <c r="NNH55" s="13"/>
      <c r="NNI55" s="13"/>
      <c r="NNJ55" s="13"/>
      <c r="NNK55" s="13"/>
      <c r="NNL55" s="13"/>
      <c r="NNM55" s="13"/>
      <c r="NNN55" s="13"/>
      <c r="NNO55" s="13"/>
      <c r="NNP55" s="13"/>
      <c r="NNQ55" s="13"/>
      <c r="NNR55" s="13"/>
      <c r="NNS55" s="13"/>
      <c r="NNT55" s="13"/>
      <c r="NNU55" s="13"/>
      <c r="NNV55" s="13"/>
      <c r="NNW55" s="13"/>
      <c r="NNX55" s="13"/>
      <c r="NNY55" s="13"/>
      <c r="NNZ55" s="13"/>
      <c r="NOA55" s="13"/>
      <c r="NOB55" s="13"/>
      <c r="NOC55" s="13"/>
      <c r="NOD55" s="13"/>
      <c r="NOE55" s="13"/>
      <c r="NOF55" s="13"/>
      <c r="NOG55" s="13"/>
      <c r="NOH55" s="13"/>
      <c r="NOI55" s="13"/>
      <c r="NOJ55" s="13"/>
      <c r="NOK55" s="13"/>
      <c r="NOL55" s="13"/>
      <c r="NOM55" s="13"/>
      <c r="NON55" s="13"/>
      <c r="NOO55" s="13"/>
      <c r="NOP55" s="13"/>
      <c r="NOQ55" s="13"/>
      <c r="NOR55" s="13"/>
      <c r="NOS55" s="13"/>
      <c r="NOT55" s="13"/>
      <c r="NOU55" s="13"/>
      <c r="NOV55" s="13"/>
      <c r="NOW55" s="13"/>
      <c r="NOX55" s="13"/>
      <c r="NOY55" s="13"/>
      <c r="NOZ55" s="13"/>
      <c r="NPA55" s="13"/>
      <c r="NPB55" s="13"/>
      <c r="NPC55" s="13"/>
      <c r="NPD55" s="13"/>
      <c r="NPE55" s="13"/>
      <c r="NPF55" s="13"/>
      <c r="NPG55" s="13"/>
      <c r="NPH55" s="13"/>
      <c r="NPI55" s="13"/>
      <c r="NPJ55" s="13"/>
      <c r="NPK55" s="13"/>
      <c r="NPL55" s="13"/>
      <c r="NPM55" s="13"/>
      <c r="NPN55" s="13"/>
      <c r="NPO55" s="13"/>
      <c r="NPP55" s="13"/>
      <c r="NPQ55" s="13"/>
      <c r="NPR55" s="13"/>
      <c r="NPS55" s="13"/>
      <c r="NPT55" s="13"/>
      <c r="NPU55" s="13"/>
      <c r="NPV55" s="13"/>
      <c r="NPW55" s="13"/>
      <c r="NPX55" s="13"/>
      <c r="NPY55" s="13"/>
      <c r="NPZ55" s="13"/>
      <c r="NQA55" s="13"/>
      <c r="NQB55" s="13"/>
      <c r="NQC55" s="13"/>
      <c r="NQD55" s="13"/>
      <c r="NQE55" s="13"/>
      <c r="NQF55" s="13"/>
      <c r="NQG55" s="13"/>
      <c r="NQH55" s="13"/>
      <c r="NQI55" s="13"/>
      <c r="NQJ55" s="13"/>
      <c r="NQK55" s="13"/>
      <c r="NQL55" s="13"/>
      <c r="NQM55" s="13"/>
      <c r="NQN55" s="13"/>
      <c r="NQO55" s="13"/>
      <c r="NQP55" s="13"/>
      <c r="NQQ55" s="13"/>
      <c r="NQR55" s="13"/>
      <c r="NQS55" s="13"/>
      <c r="NQT55" s="13"/>
      <c r="NQU55" s="13"/>
      <c r="NQV55" s="13"/>
      <c r="NQW55" s="13"/>
      <c r="NQX55" s="13"/>
      <c r="NQY55" s="13"/>
      <c r="NQZ55" s="13"/>
      <c r="NRA55" s="13"/>
      <c r="NRB55" s="13"/>
      <c r="NRC55" s="13"/>
      <c r="NRD55" s="13"/>
      <c r="NRE55" s="13"/>
      <c r="NRF55" s="13"/>
      <c r="NRG55" s="13"/>
      <c r="NRH55" s="13"/>
      <c r="NRI55" s="13"/>
      <c r="NRJ55" s="13"/>
      <c r="NRK55" s="13"/>
      <c r="NRL55" s="13"/>
      <c r="NRM55" s="13"/>
      <c r="NRN55" s="13"/>
      <c r="NRO55" s="13"/>
      <c r="NRP55" s="13"/>
      <c r="NRQ55" s="13"/>
      <c r="NRR55" s="13"/>
      <c r="NRS55" s="13"/>
      <c r="NRT55" s="13"/>
      <c r="NRU55" s="13"/>
      <c r="NRV55" s="13"/>
      <c r="NRW55" s="13"/>
      <c r="NRX55" s="13"/>
      <c r="NRY55" s="13"/>
      <c r="NRZ55" s="13"/>
      <c r="NSA55" s="13"/>
      <c r="NSB55" s="13"/>
      <c r="NSC55" s="13"/>
      <c r="NSD55" s="13"/>
      <c r="NSE55" s="13"/>
      <c r="NSF55" s="13"/>
      <c r="NSG55" s="13"/>
      <c r="NSH55" s="13"/>
      <c r="NSI55" s="13"/>
      <c r="NSJ55" s="13"/>
      <c r="NSK55" s="13"/>
      <c r="NSL55" s="13"/>
      <c r="NSM55" s="13"/>
      <c r="NSN55" s="13"/>
      <c r="NSO55" s="13"/>
      <c r="NSP55" s="13"/>
      <c r="NSQ55" s="13"/>
      <c r="NSR55" s="13"/>
      <c r="NSS55" s="13"/>
      <c r="NST55" s="13"/>
      <c r="NSU55" s="13"/>
      <c r="NSV55" s="13"/>
      <c r="NSW55" s="13"/>
      <c r="NSX55" s="13"/>
      <c r="NSY55" s="13"/>
      <c r="NSZ55" s="13"/>
      <c r="NTA55" s="13"/>
      <c r="NTB55" s="13"/>
      <c r="NTC55" s="13"/>
      <c r="NTD55" s="13"/>
      <c r="NTE55" s="13"/>
      <c r="NTF55" s="13"/>
      <c r="NTG55" s="13"/>
      <c r="NTH55" s="13"/>
      <c r="NTI55" s="13"/>
      <c r="NTJ55" s="13"/>
      <c r="NTK55" s="13"/>
      <c r="NTL55" s="13"/>
      <c r="NTM55" s="13"/>
      <c r="NTN55" s="13"/>
      <c r="NTO55" s="13"/>
      <c r="NTP55" s="13"/>
      <c r="NTQ55" s="13"/>
      <c r="NTR55" s="13"/>
      <c r="NTS55" s="13"/>
      <c r="NTT55" s="13"/>
      <c r="NTU55" s="13"/>
      <c r="NTV55" s="13"/>
      <c r="NTW55" s="13"/>
      <c r="NTX55" s="13"/>
      <c r="NTY55" s="13"/>
      <c r="NTZ55" s="13"/>
      <c r="NUA55" s="13"/>
      <c r="NUB55" s="13"/>
      <c r="NUC55" s="13"/>
      <c r="NUD55" s="13"/>
      <c r="NUE55" s="13"/>
      <c r="NUF55" s="13"/>
      <c r="NUG55" s="13"/>
      <c r="NUH55" s="13"/>
      <c r="NUI55" s="13"/>
      <c r="NUJ55" s="13"/>
      <c r="NUK55" s="13"/>
      <c r="NUL55" s="13"/>
      <c r="NUM55" s="13"/>
      <c r="NUN55" s="13"/>
      <c r="NUO55" s="13"/>
      <c r="NUP55" s="13"/>
      <c r="NUQ55" s="13"/>
      <c r="NUR55" s="13"/>
      <c r="NUS55" s="13"/>
      <c r="NUT55" s="13"/>
      <c r="NUU55" s="13"/>
      <c r="NUV55" s="13"/>
      <c r="NUW55" s="13"/>
      <c r="NUX55" s="13"/>
      <c r="NUY55" s="13"/>
      <c r="NUZ55" s="13"/>
      <c r="NVA55" s="13"/>
      <c r="NVB55" s="13"/>
      <c r="NVC55" s="13"/>
      <c r="NVD55" s="13"/>
      <c r="NVE55" s="13"/>
      <c r="NVF55" s="13"/>
      <c r="NVG55" s="13"/>
      <c r="NVH55" s="13"/>
      <c r="NVI55" s="13"/>
      <c r="NVJ55" s="13"/>
      <c r="NVK55" s="13"/>
      <c r="NVL55" s="13"/>
      <c r="NVM55" s="13"/>
      <c r="NVN55" s="13"/>
      <c r="NVO55" s="13"/>
      <c r="NVP55" s="13"/>
      <c r="NVQ55" s="13"/>
      <c r="NVR55" s="13"/>
      <c r="NVS55" s="13"/>
      <c r="NVT55" s="13"/>
      <c r="NVU55" s="13"/>
      <c r="NVV55" s="13"/>
      <c r="NVW55" s="13"/>
      <c r="NVX55" s="13"/>
      <c r="NVY55" s="13"/>
      <c r="NVZ55" s="13"/>
      <c r="NWA55" s="13"/>
      <c r="NWB55" s="13"/>
      <c r="NWC55" s="13"/>
      <c r="NWD55" s="13"/>
      <c r="NWE55" s="13"/>
      <c r="NWF55" s="13"/>
      <c r="NWG55" s="13"/>
      <c r="NWH55" s="13"/>
      <c r="NWI55" s="13"/>
      <c r="NWJ55" s="13"/>
      <c r="NWK55" s="13"/>
      <c r="NWL55" s="13"/>
      <c r="NWM55" s="13"/>
      <c r="NWN55" s="13"/>
      <c r="NWO55" s="13"/>
      <c r="NWP55" s="13"/>
      <c r="NWQ55" s="13"/>
      <c r="NWR55" s="13"/>
      <c r="NWS55" s="13"/>
      <c r="NWT55" s="13"/>
      <c r="NWU55" s="13"/>
      <c r="NWV55" s="13"/>
      <c r="NWW55" s="13"/>
      <c r="NWX55" s="13"/>
      <c r="NWY55" s="13"/>
      <c r="NWZ55" s="13"/>
      <c r="NXA55" s="13"/>
      <c r="NXB55" s="13"/>
      <c r="NXC55" s="13"/>
      <c r="NXD55" s="13"/>
      <c r="NXE55" s="13"/>
      <c r="NXF55" s="13"/>
      <c r="NXG55" s="13"/>
      <c r="NXH55" s="13"/>
      <c r="NXI55" s="13"/>
      <c r="NXJ55" s="13"/>
      <c r="NXK55" s="13"/>
      <c r="NXL55" s="13"/>
      <c r="NXM55" s="13"/>
      <c r="NXN55" s="13"/>
      <c r="NXO55" s="13"/>
      <c r="NXP55" s="13"/>
      <c r="NXQ55" s="13"/>
      <c r="NXR55" s="13"/>
      <c r="NXS55" s="13"/>
      <c r="NXT55" s="13"/>
      <c r="NXU55" s="13"/>
      <c r="NXV55" s="13"/>
      <c r="NXW55" s="13"/>
      <c r="NXX55" s="13"/>
      <c r="NXY55" s="13"/>
      <c r="NXZ55" s="13"/>
      <c r="NYA55" s="13"/>
      <c r="NYB55" s="13"/>
      <c r="NYC55" s="13"/>
      <c r="NYD55" s="13"/>
      <c r="NYE55" s="13"/>
      <c r="NYF55" s="13"/>
      <c r="NYG55" s="13"/>
      <c r="NYH55" s="13"/>
      <c r="NYI55" s="13"/>
      <c r="NYJ55" s="13"/>
      <c r="NYK55" s="13"/>
      <c r="NYL55" s="13"/>
      <c r="NYM55" s="13"/>
      <c r="NYN55" s="13"/>
      <c r="NYO55" s="13"/>
      <c r="NYP55" s="13"/>
      <c r="NYQ55" s="13"/>
      <c r="NYR55" s="13"/>
      <c r="NYS55" s="13"/>
      <c r="NYT55" s="13"/>
      <c r="NYU55" s="13"/>
      <c r="NYV55" s="13"/>
      <c r="NYW55" s="13"/>
      <c r="NYX55" s="13"/>
      <c r="NYY55" s="13"/>
      <c r="NYZ55" s="13"/>
      <c r="NZA55" s="13"/>
      <c r="NZB55" s="13"/>
      <c r="NZC55" s="13"/>
      <c r="NZD55" s="13"/>
      <c r="NZE55" s="13"/>
      <c r="NZF55" s="13"/>
      <c r="NZG55" s="13"/>
      <c r="NZH55" s="13"/>
      <c r="NZI55" s="13"/>
      <c r="NZJ55" s="13"/>
      <c r="NZK55" s="13"/>
      <c r="NZL55" s="13"/>
      <c r="NZM55" s="13"/>
      <c r="NZN55" s="13"/>
      <c r="NZO55" s="13"/>
      <c r="NZP55" s="13"/>
      <c r="NZQ55" s="13"/>
      <c r="NZR55" s="13"/>
      <c r="NZS55" s="13"/>
      <c r="NZT55" s="13"/>
      <c r="NZU55" s="13"/>
      <c r="NZV55" s="13"/>
      <c r="NZW55" s="13"/>
      <c r="NZX55" s="13"/>
      <c r="NZY55" s="13"/>
      <c r="NZZ55" s="13"/>
      <c r="OAA55" s="13"/>
      <c r="OAB55" s="13"/>
      <c r="OAC55" s="13"/>
      <c r="OAD55" s="13"/>
      <c r="OAE55" s="13"/>
      <c r="OAF55" s="13"/>
      <c r="OAG55" s="13"/>
      <c r="OAH55" s="13"/>
      <c r="OAI55" s="13"/>
      <c r="OAJ55" s="13"/>
      <c r="OAK55" s="13"/>
      <c r="OAL55" s="13"/>
      <c r="OAM55" s="13"/>
      <c r="OAN55" s="13"/>
      <c r="OAO55" s="13"/>
      <c r="OAP55" s="13"/>
      <c r="OAQ55" s="13"/>
      <c r="OAR55" s="13"/>
      <c r="OAS55" s="13"/>
      <c r="OAT55" s="13"/>
      <c r="OAU55" s="13"/>
      <c r="OAV55" s="13"/>
      <c r="OAW55" s="13"/>
      <c r="OAX55" s="13"/>
      <c r="OAY55" s="13"/>
      <c r="OAZ55" s="13"/>
      <c r="OBA55" s="13"/>
      <c r="OBB55" s="13"/>
      <c r="OBC55" s="13"/>
      <c r="OBD55" s="13"/>
      <c r="OBE55" s="13"/>
      <c r="OBF55" s="13"/>
      <c r="OBG55" s="13"/>
      <c r="OBH55" s="13"/>
      <c r="OBI55" s="13"/>
      <c r="OBJ55" s="13"/>
      <c r="OBK55" s="13"/>
      <c r="OBL55" s="13"/>
      <c r="OBM55" s="13"/>
      <c r="OBN55" s="13"/>
      <c r="OBO55" s="13"/>
      <c r="OBP55" s="13"/>
      <c r="OBQ55" s="13"/>
      <c r="OBR55" s="13"/>
      <c r="OBS55" s="13"/>
      <c r="OBT55" s="13"/>
      <c r="OBU55" s="13"/>
      <c r="OBV55" s="13"/>
      <c r="OBW55" s="13"/>
      <c r="OBX55" s="13"/>
      <c r="OBY55" s="13"/>
      <c r="OBZ55" s="13"/>
      <c r="OCA55" s="13"/>
      <c r="OCB55" s="13"/>
      <c r="OCC55" s="13"/>
      <c r="OCD55" s="13"/>
      <c r="OCE55" s="13"/>
      <c r="OCF55" s="13"/>
      <c r="OCG55" s="13"/>
      <c r="OCH55" s="13"/>
      <c r="OCI55" s="13"/>
      <c r="OCJ55" s="13"/>
      <c r="OCK55" s="13"/>
      <c r="OCL55" s="13"/>
      <c r="OCM55" s="13"/>
      <c r="OCN55" s="13"/>
      <c r="OCO55" s="13"/>
      <c r="OCP55" s="13"/>
      <c r="OCQ55" s="13"/>
      <c r="OCR55" s="13"/>
      <c r="OCS55" s="13"/>
      <c r="OCT55" s="13"/>
      <c r="OCU55" s="13"/>
      <c r="OCV55" s="13"/>
      <c r="OCW55" s="13"/>
      <c r="OCX55" s="13"/>
      <c r="OCY55" s="13"/>
      <c r="OCZ55" s="13"/>
      <c r="ODA55" s="13"/>
      <c r="ODB55" s="13"/>
      <c r="ODC55" s="13"/>
      <c r="ODD55" s="13"/>
      <c r="ODE55" s="13"/>
      <c r="ODF55" s="13"/>
      <c r="ODG55" s="13"/>
      <c r="ODH55" s="13"/>
      <c r="ODI55" s="13"/>
      <c r="ODJ55" s="13"/>
      <c r="ODK55" s="13"/>
      <c r="ODL55" s="13"/>
      <c r="ODM55" s="13"/>
      <c r="ODN55" s="13"/>
      <c r="ODO55" s="13"/>
      <c r="ODP55" s="13"/>
      <c r="ODQ55" s="13"/>
      <c r="ODR55" s="13"/>
      <c r="ODS55" s="13"/>
      <c r="ODT55" s="13"/>
      <c r="ODU55" s="13"/>
      <c r="ODV55" s="13"/>
      <c r="ODW55" s="13"/>
      <c r="ODX55" s="13"/>
      <c r="ODY55" s="13"/>
      <c r="ODZ55" s="13"/>
      <c r="OEA55" s="13"/>
      <c r="OEB55" s="13"/>
      <c r="OEC55" s="13"/>
      <c r="OED55" s="13"/>
      <c r="OEE55" s="13"/>
      <c r="OEF55" s="13"/>
      <c r="OEG55" s="13"/>
      <c r="OEH55" s="13"/>
      <c r="OEI55" s="13"/>
      <c r="OEJ55" s="13"/>
      <c r="OEK55" s="13"/>
      <c r="OEL55" s="13"/>
      <c r="OEM55" s="13"/>
      <c r="OEN55" s="13"/>
      <c r="OEO55" s="13"/>
      <c r="OEP55" s="13"/>
      <c r="OEQ55" s="13"/>
      <c r="OER55" s="13"/>
      <c r="OES55" s="13"/>
      <c r="OET55" s="13"/>
      <c r="OEU55" s="13"/>
      <c r="OEV55" s="13"/>
      <c r="OEW55" s="13"/>
      <c r="OEX55" s="13"/>
      <c r="OEY55" s="13"/>
      <c r="OEZ55" s="13"/>
      <c r="OFA55" s="13"/>
      <c r="OFB55" s="13"/>
      <c r="OFC55" s="13"/>
      <c r="OFD55" s="13"/>
      <c r="OFE55" s="13"/>
      <c r="OFF55" s="13"/>
      <c r="OFG55" s="13"/>
      <c r="OFH55" s="13"/>
      <c r="OFI55" s="13"/>
      <c r="OFJ55" s="13"/>
      <c r="OFK55" s="13"/>
      <c r="OFL55" s="13"/>
      <c r="OFM55" s="13"/>
      <c r="OFN55" s="13"/>
      <c r="OFO55" s="13"/>
      <c r="OFP55" s="13"/>
      <c r="OFQ55" s="13"/>
      <c r="OFR55" s="13"/>
      <c r="OFS55" s="13"/>
      <c r="OFT55" s="13"/>
      <c r="OFU55" s="13"/>
      <c r="OFV55" s="13"/>
      <c r="OFW55" s="13"/>
      <c r="OFX55" s="13"/>
      <c r="OFY55" s="13"/>
      <c r="OFZ55" s="13"/>
      <c r="OGA55" s="13"/>
      <c r="OGB55" s="13"/>
      <c r="OGC55" s="13"/>
      <c r="OGD55" s="13"/>
      <c r="OGE55" s="13"/>
      <c r="OGF55" s="13"/>
      <c r="OGG55" s="13"/>
      <c r="OGH55" s="13"/>
      <c r="OGI55" s="13"/>
      <c r="OGJ55" s="13"/>
      <c r="OGK55" s="13"/>
      <c r="OGL55" s="13"/>
      <c r="OGM55" s="13"/>
      <c r="OGN55" s="13"/>
      <c r="OGO55" s="13"/>
      <c r="OGP55" s="13"/>
      <c r="OGQ55" s="13"/>
      <c r="OGR55" s="13"/>
      <c r="OGS55" s="13"/>
      <c r="OGT55" s="13"/>
      <c r="OGU55" s="13"/>
      <c r="OGV55" s="13"/>
      <c r="OGW55" s="13"/>
      <c r="OGX55" s="13"/>
      <c r="OGY55" s="13"/>
      <c r="OGZ55" s="13"/>
      <c r="OHA55" s="13"/>
      <c r="OHB55" s="13"/>
      <c r="OHC55" s="13"/>
      <c r="OHD55" s="13"/>
      <c r="OHE55" s="13"/>
      <c r="OHF55" s="13"/>
      <c r="OHG55" s="13"/>
      <c r="OHH55" s="13"/>
      <c r="OHI55" s="13"/>
      <c r="OHJ55" s="13"/>
      <c r="OHK55" s="13"/>
      <c r="OHL55" s="13"/>
      <c r="OHM55" s="13"/>
      <c r="OHN55" s="13"/>
      <c r="OHO55" s="13"/>
      <c r="OHP55" s="13"/>
      <c r="OHQ55" s="13"/>
      <c r="OHR55" s="13"/>
      <c r="OHS55" s="13"/>
      <c r="OHT55" s="13"/>
      <c r="OHU55" s="13"/>
      <c r="OHV55" s="13"/>
      <c r="OHW55" s="13"/>
      <c r="OHX55" s="13"/>
      <c r="OHY55" s="13"/>
      <c r="OHZ55" s="13"/>
      <c r="OIA55" s="13"/>
      <c r="OIB55" s="13"/>
      <c r="OIC55" s="13"/>
      <c r="OID55" s="13"/>
      <c r="OIE55" s="13"/>
      <c r="OIF55" s="13"/>
      <c r="OIG55" s="13"/>
      <c r="OIH55" s="13"/>
      <c r="OII55" s="13"/>
      <c r="OIJ55" s="13"/>
      <c r="OIK55" s="13"/>
      <c r="OIL55" s="13"/>
      <c r="OIM55" s="13"/>
      <c r="OIN55" s="13"/>
      <c r="OIO55" s="13"/>
      <c r="OIP55" s="13"/>
      <c r="OIQ55" s="13"/>
      <c r="OIR55" s="13"/>
      <c r="OIS55" s="13"/>
      <c r="OIT55" s="13"/>
      <c r="OIU55" s="13"/>
      <c r="OIV55" s="13"/>
      <c r="OIW55" s="13"/>
      <c r="OIX55" s="13"/>
      <c r="OIY55" s="13"/>
      <c r="OIZ55" s="13"/>
      <c r="OJA55" s="13"/>
      <c r="OJB55" s="13"/>
      <c r="OJC55" s="13"/>
      <c r="OJD55" s="13"/>
      <c r="OJE55" s="13"/>
      <c r="OJF55" s="13"/>
      <c r="OJG55" s="13"/>
      <c r="OJH55" s="13"/>
      <c r="OJI55" s="13"/>
      <c r="OJJ55" s="13"/>
      <c r="OJK55" s="13"/>
      <c r="OJL55" s="13"/>
      <c r="OJM55" s="13"/>
      <c r="OJN55" s="13"/>
      <c r="OJO55" s="13"/>
      <c r="OJP55" s="13"/>
      <c r="OJQ55" s="13"/>
      <c r="OJR55" s="13"/>
      <c r="OJS55" s="13"/>
      <c r="OJT55" s="13"/>
      <c r="OJU55" s="13"/>
      <c r="OJV55" s="13"/>
      <c r="OJW55" s="13"/>
      <c r="OJX55" s="13"/>
      <c r="OJY55" s="13"/>
      <c r="OJZ55" s="13"/>
      <c r="OKA55" s="13"/>
      <c r="OKB55" s="13"/>
      <c r="OKC55" s="13"/>
      <c r="OKD55" s="13"/>
      <c r="OKE55" s="13"/>
      <c r="OKF55" s="13"/>
      <c r="OKG55" s="13"/>
      <c r="OKH55" s="13"/>
      <c r="OKI55" s="13"/>
      <c r="OKJ55" s="13"/>
      <c r="OKK55" s="13"/>
      <c r="OKL55" s="13"/>
      <c r="OKM55" s="13"/>
      <c r="OKN55" s="13"/>
      <c r="OKO55" s="13"/>
      <c r="OKP55" s="13"/>
      <c r="OKQ55" s="13"/>
      <c r="OKR55" s="13"/>
      <c r="OKS55" s="13"/>
      <c r="OKT55" s="13"/>
      <c r="OKU55" s="13"/>
      <c r="OKV55" s="13"/>
      <c r="OKW55" s="13"/>
      <c r="OKX55" s="13"/>
      <c r="OKY55" s="13"/>
      <c r="OKZ55" s="13"/>
      <c r="OLA55" s="13"/>
      <c r="OLB55" s="13"/>
      <c r="OLC55" s="13"/>
      <c r="OLD55" s="13"/>
      <c r="OLE55" s="13"/>
      <c r="OLF55" s="13"/>
      <c r="OLG55" s="13"/>
      <c r="OLH55" s="13"/>
      <c r="OLI55" s="13"/>
      <c r="OLJ55" s="13"/>
      <c r="OLK55" s="13"/>
      <c r="OLL55" s="13"/>
      <c r="OLM55" s="13"/>
      <c r="OLN55" s="13"/>
      <c r="OLO55" s="13"/>
      <c r="OLP55" s="13"/>
      <c r="OLQ55" s="13"/>
      <c r="OLR55" s="13"/>
      <c r="OLS55" s="13"/>
      <c r="OLT55" s="13"/>
      <c r="OLU55" s="13"/>
      <c r="OLV55" s="13"/>
      <c r="OLW55" s="13"/>
      <c r="OLX55" s="13"/>
      <c r="OLY55" s="13"/>
      <c r="OLZ55" s="13"/>
      <c r="OMA55" s="13"/>
      <c r="OMB55" s="13"/>
      <c r="OMC55" s="13"/>
      <c r="OMD55" s="13"/>
      <c r="OME55" s="13"/>
      <c r="OMF55" s="13"/>
      <c r="OMG55" s="13"/>
      <c r="OMH55" s="13"/>
      <c r="OMI55" s="13"/>
      <c r="OMJ55" s="13"/>
      <c r="OMK55" s="13"/>
      <c r="OML55" s="13"/>
      <c r="OMM55" s="13"/>
      <c r="OMN55" s="13"/>
      <c r="OMO55" s="13"/>
      <c r="OMP55" s="13"/>
      <c r="OMQ55" s="13"/>
      <c r="OMR55" s="13"/>
      <c r="OMS55" s="13"/>
      <c r="OMT55" s="13"/>
      <c r="OMU55" s="13"/>
      <c r="OMV55" s="13"/>
      <c r="OMW55" s="13"/>
      <c r="OMX55" s="13"/>
      <c r="OMY55" s="13"/>
      <c r="OMZ55" s="13"/>
      <c r="ONA55" s="13"/>
      <c r="ONB55" s="13"/>
      <c r="ONC55" s="13"/>
      <c r="OND55" s="13"/>
      <c r="ONE55" s="13"/>
      <c r="ONF55" s="13"/>
      <c r="ONG55" s="13"/>
      <c r="ONH55" s="13"/>
      <c r="ONI55" s="13"/>
      <c r="ONJ55" s="13"/>
      <c r="ONK55" s="13"/>
      <c r="ONL55" s="13"/>
      <c r="ONM55" s="13"/>
      <c r="ONN55" s="13"/>
      <c r="ONO55" s="13"/>
      <c r="ONP55" s="13"/>
      <c r="ONQ55" s="13"/>
      <c r="ONR55" s="13"/>
      <c r="ONS55" s="13"/>
      <c r="ONT55" s="13"/>
      <c r="ONU55" s="13"/>
      <c r="ONV55" s="13"/>
      <c r="ONW55" s="13"/>
      <c r="ONX55" s="13"/>
      <c r="ONY55" s="13"/>
      <c r="ONZ55" s="13"/>
      <c r="OOA55" s="13"/>
      <c r="OOB55" s="13"/>
      <c r="OOC55" s="13"/>
      <c r="OOD55" s="13"/>
      <c r="OOE55" s="13"/>
      <c r="OOF55" s="13"/>
      <c r="OOG55" s="13"/>
      <c r="OOH55" s="13"/>
      <c r="OOI55" s="13"/>
      <c r="OOJ55" s="13"/>
      <c r="OOK55" s="13"/>
      <c r="OOL55" s="13"/>
      <c r="OOM55" s="13"/>
      <c r="OON55" s="13"/>
      <c r="OOO55" s="13"/>
      <c r="OOP55" s="13"/>
      <c r="OOQ55" s="13"/>
      <c r="OOR55" s="13"/>
      <c r="OOS55" s="13"/>
      <c r="OOT55" s="13"/>
      <c r="OOU55" s="13"/>
      <c r="OOV55" s="13"/>
      <c r="OOW55" s="13"/>
      <c r="OOX55" s="13"/>
      <c r="OOY55" s="13"/>
      <c r="OOZ55" s="13"/>
      <c r="OPA55" s="13"/>
      <c r="OPB55" s="13"/>
      <c r="OPC55" s="13"/>
      <c r="OPD55" s="13"/>
      <c r="OPE55" s="13"/>
      <c r="OPF55" s="13"/>
      <c r="OPG55" s="13"/>
      <c r="OPH55" s="13"/>
      <c r="OPI55" s="13"/>
      <c r="OPJ55" s="13"/>
      <c r="OPK55" s="13"/>
      <c r="OPL55" s="13"/>
      <c r="OPM55" s="13"/>
      <c r="OPN55" s="13"/>
      <c r="OPO55" s="13"/>
      <c r="OPP55" s="13"/>
      <c r="OPQ55" s="13"/>
      <c r="OPR55" s="13"/>
      <c r="OPS55" s="13"/>
      <c r="OPT55" s="13"/>
      <c r="OPU55" s="13"/>
      <c r="OPV55" s="13"/>
      <c r="OPW55" s="13"/>
      <c r="OPX55" s="13"/>
      <c r="OPY55" s="13"/>
      <c r="OPZ55" s="13"/>
      <c r="OQA55" s="13"/>
      <c r="OQB55" s="13"/>
      <c r="OQC55" s="13"/>
      <c r="OQD55" s="13"/>
      <c r="OQE55" s="13"/>
      <c r="OQF55" s="13"/>
      <c r="OQG55" s="13"/>
      <c r="OQH55" s="13"/>
      <c r="OQI55" s="13"/>
      <c r="OQJ55" s="13"/>
      <c r="OQK55" s="13"/>
      <c r="OQL55" s="13"/>
      <c r="OQM55" s="13"/>
      <c r="OQN55" s="13"/>
      <c r="OQO55" s="13"/>
      <c r="OQP55" s="13"/>
      <c r="OQQ55" s="13"/>
      <c r="OQR55" s="13"/>
      <c r="OQS55" s="13"/>
      <c r="OQT55" s="13"/>
      <c r="OQU55" s="13"/>
      <c r="OQV55" s="13"/>
      <c r="OQW55" s="13"/>
      <c r="OQX55" s="13"/>
      <c r="OQY55" s="13"/>
      <c r="OQZ55" s="13"/>
      <c r="ORA55" s="13"/>
      <c r="ORB55" s="13"/>
      <c r="ORC55" s="13"/>
      <c r="ORD55" s="13"/>
      <c r="ORE55" s="13"/>
      <c r="ORF55" s="13"/>
      <c r="ORG55" s="13"/>
      <c r="ORH55" s="13"/>
      <c r="ORI55" s="13"/>
      <c r="ORJ55" s="13"/>
      <c r="ORK55" s="13"/>
      <c r="ORL55" s="13"/>
      <c r="ORM55" s="13"/>
      <c r="ORN55" s="13"/>
      <c r="ORO55" s="13"/>
      <c r="ORP55" s="13"/>
      <c r="ORQ55" s="13"/>
      <c r="ORR55" s="13"/>
      <c r="ORS55" s="13"/>
      <c r="ORT55" s="13"/>
      <c r="ORU55" s="13"/>
      <c r="ORV55" s="13"/>
      <c r="ORW55" s="13"/>
      <c r="ORX55" s="13"/>
      <c r="ORY55" s="13"/>
      <c r="ORZ55" s="13"/>
      <c r="OSA55" s="13"/>
      <c r="OSB55" s="13"/>
      <c r="OSC55" s="13"/>
      <c r="OSD55" s="13"/>
      <c r="OSE55" s="13"/>
      <c r="OSF55" s="13"/>
      <c r="OSG55" s="13"/>
      <c r="OSH55" s="13"/>
      <c r="OSI55" s="13"/>
      <c r="OSJ55" s="13"/>
      <c r="OSK55" s="13"/>
      <c r="OSL55" s="13"/>
      <c r="OSM55" s="13"/>
      <c r="OSN55" s="13"/>
      <c r="OSO55" s="13"/>
      <c r="OSP55" s="13"/>
      <c r="OSQ55" s="13"/>
      <c r="OSR55" s="13"/>
      <c r="OSS55" s="13"/>
      <c r="OST55" s="13"/>
      <c r="OSU55" s="13"/>
      <c r="OSV55" s="13"/>
      <c r="OSW55" s="13"/>
      <c r="OSX55" s="13"/>
      <c r="OSY55" s="13"/>
      <c r="OSZ55" s="13"/>
      <c r="OTA55" s="13"/>
      <c r="OTB55" s="13"/>
      <c r="OTC55" s="13"/>
      <c r="OTD55" s="13"/>
      <c r="OTE55" s="13"/>
      <c r="OTF55" s="13"/>
      <c r="OTG55" s="13"/>
      <c r="OTH55" s="13"/>
      <c r="OTI55" s="13"/>
      <c r="OTJ55" s="13"/>
      <c r="OTK55" s="13"/>
      <c r="OTL55" s="13"/>
      <c r="OTM55" s="13"/>
      <c r="OTN55" s="13"/>
      <c r="OTO55" s="13"/>
      <c r="OTP55" s="13"/>
      <c r="OTQ55" s="13"/>
      <c r="OTR55" s="13"/>
      <c r="OTS55" s="13"/>
      <c r="OTT55" s="13"/>
      <c r="OTU55" s="13"/>
      <c r="OTV55" s="13"/>
      <c r="OTW55" s="13"/>
      <c r="OTX55" s="13"/>
      <c r="OTY55" s="13"/>
      <c r="OTZ55" s="13"/>
      <c r="OUA55" s="13"/>
      <c r="OUB55" s="13"/>
      <c r="OUC55" s="13"/>
      <c r="OUD55" s="13"/>
      <c r="OUE55" s="13"/>
      <c r="OUF55" s="13"/>
      <c r="OUG55" s="13"/>
      <c r="OUH55" s="13"/>
      <c r="OUI55" s="13"/>
      <c r="OUJ55" s="13"/>
      <c r="OUK55" s="13"/>
      <c r="OUL55" s="13"/>
      <c r="OUM55" s="13"/>
      <c r="OUN55" s="13"/>
      <c r="OUO55" s="13"/>
      <c r="OUP55" s="13"/>
      <c r="OUQ55" s="13"/>
      <c r="OUR55" s="13"/>
      <c r="OUS55" s="13"/>
      <c r="OUT55" s="13"/>
      <c r="OUU55" s="13"/>
      <c r="OUV55" s="13"/>
      <c r="OUW55" s="13"/>
      <c r="OUX55" s="13"/>
      <c r="OUY55" s="13"/>
      <c r="OUZ55" s="13"/>
      <c r="OVA55" s="13"/>
      <c r="OVB55" s="13"/>
      <c r="OVC55" s="13"/>
      <c r="OVD55" s="13"/>
      <c r="OVE55" s="13"/>
      <c r="OVF55" s="13"/>
      <c r="OVG55" s="13"/>
      <c r="OVH55" s="13"/>
      <c r="OVI55" s="13"/>
      <c r="OVJ55" s="13"/>
      <c r="OVK55" s="13"/>
      <c r="OVL55" s="13"/>
      <c r="OVM55" s="13"/>
      <c r="OVN55" s="13"/>
      <c r="OVO55" s="13"/>
      <c r="OVP55" s="13"/>
      <c r="OVQ55" s="13"/>
      <c r="OVR55" s="13"/>
      <c r="OVS55" s="13"/>
      <c r="OVT55" s="13"/>
      <c r="OVU55" s="13"/>
      <c r="OVV55" s="13"/>
      <c r="OVW55" s="13"/>
      <c r="OVX55" s="13"/>
      <c r="OVY55" s="13"/>
      <c r="OVZ55" s="13"/>
      <c r="OWA55" s="13"/>
      <c r="OWB55" s="13"/>
      <c r="OWC55" s="13"/>
      <c r="OWD55" s="13"/>
      <c r="OWE55" s="13"/>
      <c r="OWF55" s="13"/>
      <c r="OWG55" s="13"/>
      <c r="OWH55" s="13"/>
      <c r="OWI55" s="13"/>
      <c r="OWJ55" s="13"/>
      <c r="OWK55" s="13"/>
      <c r="OWL55" s="13"/>
      <c r="OWM55" s="13"/>
      <c r="OWN55" s="13"/>
      <c r="OWO55" s="13"/>
      <c r="OWP55" s="13"/>
      <c r="OWQ55" s="13"/>
      <c r="OWR55" s="13"/>
      <c r="OWS55" s="13"/>
      <c r="OWT55" s="13"/>
      <c r="OWU55" s="13"/>
      <c r="OWV55" s="13"/>
      <c r="OWW55" s="13"/>
      <c r="OWX55" s="13"/>
      <c r="OWY55" s="13"/>
      <c r="OWZ55" s="13"/>
      <c r="OXA55" s="13"/>
      <c r="OXB55" s="13"/>
      <c r="OXC55" s="13"/>
      <c r="OXD55" s="13"/>
      <c r="OXE55" s="13"/>
      <c r="OXF55" s="13"/>
      <c r="OXG55" s="13"/>
      <c r="OXH55" s="13"/>
      <c r="OXI55" s="13"/>
      <c r="OXJ55" s="13"/>
      <c r="OXK55" s="13"/>
      <c r="OXL55" s="13"/>
      <c r="OXM55" s="13"/>
      <c r="OXN55" s="13"/>
      <c r="OXO55" s="13"/>
      <c r="OXP55" s="13"/>
      <c r="OXQ55" s="13"/>
      <c r="OXR55" s="13"/>
      <c r="OXS55" s="13"/>
      <c r="OXT55" s="13"/>
      <c r="OXU55" s="13"/>
      <c r="OXV55" s="13"/>
      <c r="OXW55" s="13"/>
      <c r="OXX55" s="13"/>
      <c r="OXY55" s="13"/>
      <c r="OXZ55" s="13"/>
      <c r="OYA55" s="13"/>
      <c r="OYB55" s="13"/>
      <c r="OYC55" s="13"/>
      <c r="OYD55" s="13"/>
      <c r="OYE55" s="13"/>
      <c r="OYF55" s="13"/>
      <c r="OYG55" s="13"/>
      <c r="OYH55" s="13"/>
      <c r="OYI55" s="13"/>
      <c r="OYJ55" s="13"/>
      <c r="OYK55" s="13"/>
      <c r="OYL55" s="13"/>
      <c r="OYM55" s="13"/>
      <c r="OYN55" s="13"/>
      <c r="OYO55" s="13"/>
      <c r="OYP55" s="13"/>
      <c r="OYQ55" s="13"/>
      <c r="OYR55" s="13"/>
      <c r="OYS55" s="13"/>
      <c r="OYT55" s="13"/>
      <c r="OYU55" s="13"/>
      <c r="OYV55" s="13"/>
      <c r="OYW55" s="13"/>
      <c r="OYX55" s="13"/>
      <c r="OYY55" s="13"/>
      <c r="OYZ55" s="13"/>
      <c r="OZA55" s="13"/>
      <c r="OZB55" s="13"/>
      <c r="OZC55" s="13"/>
      <c r="OZD55" s="13"/>
      <c r="OZE55" s="13"/>
      <c r="OZF55" s="13"/>
      <c r="OZG55" s="13"/>
      <c r="OZH55" s="13"/>
      <c r="OZI55" s="13"/>
      <c r="OZJ55" s="13"/>
      <c r="OZK55" s="13"/>
      <c r="OZL55" s="13"/>
      <c r="OZM55" s="13"/>
      <c r="OZN55" s="13"/>
      <c r="OZO55" s="13"/>
      <c r="OZP55" s="13"/>
      <c r="OZQ55" s="13"/>
      <c r="OZR55" s="13"/>
      <c r="OZS55" s="13"/>
      <c r="OZT55" s="13"/>
      <c r="OZU55" s="13"/>
      <c r="OZV55" s="13"/>
      <c r="OZW55" s="13"/>
      <c r="OZX55" s="13"/>
      <c r="OZY55" s="13"/>
      <c r="OZZ55" s="13"/>
      <c r="PAA55" s="13"/>
      <c r="PAB55" s="13"/>
      <c r="PAC55" s="13"/>
      <c r="PAD55" s="13"/>
      <c r="PAE55" s="13"/>
      <c r="PAF55" s="13"/>
      <c r="PAG55" s="13"/>
      <c r="PAH55" s="13"/>
      <c r="PAI55" s="13"/>
      <c r="PAJ55" s="13"/>
      <c r="PAK55" s="13"/>
      <c r="PAL55" s="13"/>
      <c r="PAM55" s="13"/>
      <c r="PAN55" s="13"/>
      <c r="PAO55" s="13"/>
      <c r="PAP55" s="13"/>
      <c r="PAQ55" s="13"/>
      <c r="PAR55" s="13"/>
      <c r="PAS55" s="13"/>
      <c r="PAT55" s="13"/>
      <c r="PAU55" s="13"/>
      <c r="PAV55" s="13"/>
      <c r="PAW55" s="13"/>
      <c r="PAX55" s="13"/>
      <c r="PAY55" s="13"/>
      <c r="PAZ55" s="13"/>
      <c r="PBA55" s="13"/>
      <c r="PBB55" s="13"/>
      <c r="PBC55" s="13"/>
      <c r="PBD55" s="13"/>
      <c r="PBE55" s="13"/>
      <c r="PBF55" s="13"/>
      <c r="PBG55" s="13"/>
      <c r="PBH55" s="13"/>
      <c r="PBI55" s="13"/>
      <c r="PBJ55" s="13"/>
      <c r="PBK55" s="13"/>
      <c r="PBL55" s="13"/>
      <c r="PBM55" s="13"/>
      <c r="PBN55" s="13"/>
      <c r="PBO55" s="13"/>
      <c r="PBP55" s="13"/>
      <c r="PBQ55" s="13"/>
      <c r="PBR55" s="13"/>
      <c r="PBS55" s="13"/>
      <c r="PBT55" s="13"/>
      <c r="PBU55" s="13"/>
      <c r="PBV55" s="13"/>
      <c r="PBW55" s="13"/>
      <c r="PBX55" s="13"/>
      <c r="PBY55" s="13"/>
      <c r="PBZ55" s="13"/>
      <c r="PCA55" s="13"/>
      <c r="PCB55" s="13"/>
      <c r="PCC55" s="13"/>
      <c r="PCD55" s="13"/>
      <c r="PCE55" s="13"/>
      <c r="PCF55" s="13"/>
      <c r="PCG55" s="13"/>
      <c r="PCH55" s="13"/>
      <c r="PCI55" s="13"/>
      <c r="PCJ55" s="13"/>
      <c r="PCK55" s="13"/>
      <c r="PCL55" s="13"/>
      <c r="PCM55" s="13"/>
      <c r="PCN55" s="13"/>
      <c r="PCO55" s="13"/>
      <c r="PCP55" s="13"/>
      <c r="PCQ55" s="13"/>
      <c r="PCR55" s="13"/>
      <c r="PCS55" s="13"/>
      <c r="PCT55" s="13"/>
      <c r="PCU55" s="13"/>
      <c r="PCV55" s="13"/>
      <c r="PCW55" s="13"/>
      <c r="PCX55" s="13"/>
      <c r="PCY55" s="13"/>
      <c r="PCZ55" s="13"/>
      <c r="PDA55" s="13"/>
      <c r="PDB55" s="13"/>
      <c r="PDC55" s="13"/>
      <c r="PDD55" s="13"/>
      <c r="PDE55" s="13"/>
      <c r="PDF55" s="13"/>
      <c r="PDG55" s="13"/>
      <c r="PDH55" s="13"/>
      <c r="PDI55" s="13"/>
      <c r="PDJ55" s="13"/>
      <c r="PDK55" s="13"/>
      <c r="PDL55" s="13"/>
      <c r="PDM55" s="13"/>
      <c r="PDN55" s="13"/>
      <c r="PDO55" s="13"/>
      <c r="PDP55" s="13"/>
      <c r="PDQ55" s="13"/>
      <c r="PDR55" s="13"/>
      <c r="PDS55" s="13"/>
      <c r="PDT55" s="13"/>
      <c r="PDU55" s="13"/>
      <c r="PDV55" s="13"/>
      <c r="PDW55" s="13"/>
      <c r="PDX55" s="13"/>
      <c r="PDY55" s="13"/>
      <c r="PDZ55" s="13"/>
      <c r="PEA55" s="13"/>
      <c r="PEB55" s="13"/>
      <c r="PEC55" s="13"/>
      <c r="PED55" s="13"/>
      <c r="PEE55" s="13"/>
      <c r="PEF55" s="13"/>
      <c r="PEG55" s="13"/>
      <c r="PEH55" s="13"/>
      <c r="PEI55" s="13"/>
      <c r="PEJ55" s="13"/>
      <c r="PEK55" s="13"/>
      <c r="PEL55" s="13"/>
      <c r="PEM55" s="13"/>
      <c r="PEN55" s="13"/>
      <c r="PEO55" s="13"/>
      <c r="PEP55" s="13"/>
      <c r="PEQ55" s="13"/>
      <c r="PER55" s="13"/>
      <c r="PES55" s="13"/>
      <c r="PET55" s="13"/>
      <c r="PEU55" s="13"/>
      <c r="PEV55" s="13"/>
      <c r="PEW55" s="13"/>
      <c r="PEX55" s="13"/>
      <c r="PEY55" s="13"/>
      <c r="PEZ55" s="13"/>
      <c r="PFA55" s="13"/>
      <c r="PFB55" s="13"/>
      <c r="PFC55" s="13"/>
      <c r="PFD55" s="13"/>
      <c r="PFE55" s="13"/>
      <c r="PFF55" s="13"/>
      <c r="PFG55" s="13"/>
      <c r="PFH55" s="13"/>
      <c r="PFI55" s="13"/>
      <c r="PFJ55" s="13"/>
      <c r="PFK55" s="13"/>
      <c r="PFL55" s="13"/>
      <c r="PFM55" s="13"/>
      <c r="PFN55" s="13"/>
      <c r="PFO55" s="13"/>
      <c r="PFP55" s="13"/>
      <c r="PFQ55" s="13"/>
      <c r="PFR55" s="13"/>
      <c r="PFS55" s="13"/>
      <c r="PFT55" s="13"/>
      <c r="PFU55" s="13"/>
      <c r="PFV55" s="13"/>
      <c r="PFW55" s="13"/>
      <c r="PFX55" s="13"/>
      <c r="PFY55" s="13"/>
      <c r="PFZ55" s="13"/>
      <c r="PGA55" s="13"/>
      <c r="PGB55" s="13"/>
      <c r="PGC55" s="13"/>
      <c r="PGD55" s="13"/>
      <c r="PGE55" s="13"/>
      <c r="PGF55" s="13"/>
      <c r="PGG55" s="13"/>
      <c r="PGH55" s="13"/>
      <c r="PGI55" s="13"/>
      <c r="PGJ55" s="13"/>
      <c r="PGK55" s="13"/>
      <c r="PGL55" s="13"/>
      <c r="PGM55" s="13"/>
      <c r="PGN55" s="13"/>
      <c r="PGO55" s="13"/>
      <c r="PGP55" s="13"/>
      <c r="PGQ55" s="13"/>
      <c r="PGR55" s="13"/>
      <c r="PGS55" s="13"/>
      <c r="PGT55" s="13"/>
      <c r="PGU55" s="13"/>
      <c r="PGV55" s="13"/>
      <c r="PGW55" s="13"/>
      <c r="PGX55" s="13"/>
      <c r="PGY55" s="13"/>
      <c r="PGZ55" s="13"/>
      <c r="PHA55" s="13"/>
      <c r="PHB55" s="13"/>
      <c r="PHC55" s="13"/>
      <c r="PHD55" s="13"/>
      <c r="PHE55" s="13"/>
      <c r="PHF55" s="13"/>
      <c r="PHG55" s="13"/>
      <c r="PHH55" s="13"/>
      <c r="PHI55" s="13"/>
      <c r="PHJ55" s="13"/>
      <c r="PHK55" s="13"/>
      <c r="PHL55" s="13"/>
      <c r="PHM55" s="13"/>
      <c r="PHN55" s="13"/>
      <c r="PHO55" s="13"/>
      <c r="PHP55" s="13"/>
      <c r="PHQ55" s="13"/>
      <c r="PHR55" s="13"/>
      <c r="PHS55" s="13"/>
      <c r="PHT55" s="13"/>
      <c r="PHU55" s="13"/>
      <c r="PHV55" s="13"/>
      <c r="PHW55" s="13"/>
      <c r="PHX55" s="13"/>
      <c r="PHY55" s="13"/>
      <c r="PHZ55" s="13"/>
      <c r="PIA55" s="13"/>
      <c r="PIB55" s="13"/>
      <c r="PIC55" s="13"/>
      <c r="PID55" s="13"/>
      <c r="PIE55" s="13"/>
      <c r="PIF55" s="13"/>
      <c r="PIG55" s="13"/>
      <c r="PIH55" s="13"/>
      <c r="PII55" s="13"/>
      <c r="PIJ55" s="13"/>
      <c r="PIK55" s="13"/>
      <c r="PIL55" s="13"/>
      <c r="PIM55" s="13"/>
      <c r="PIN55" s="13"/>
      <c r="PIO55" s="13"/>
      <c r="PIP55" s="13"/>
      <c r="PIQ55" s="13"/>
      <c r="PIR55" s="13"/>
      <c r="PIS55" s="13"/>
      <c r="PIT55" s="13"/>
      <c r="PIU55" s="13"/>
      <c r="PIV55" s="13"/>
      <c r="PIW55" s="13"/>
      <c r="PIX55" s="13"/>
      <c r="PIY55" s="13"/>
      <c r="PIZ55" s="13"/>
      <c r="PJA55" s="13"/>
      <c r="PJB55" s="13"/>
      <c r="PJC55" s="13"/>
      <c r="PJD55" s="13"/>
      <c r="PJE55" s="13"/>
      <c r="PJF55" s="13"/>
      <c r="PJG55" s="13"/>
      <c r="PJH55" s="13"/>
      <c r="PJI55" s="13"/>
      <c r="PJJ55" s="13"/>
      <c r="PJK55" s="13"/>
      <c r="PJL55" s="13"/>
      <c r="PJM55" s="13"/>
      <c r="PJN55" s="13"/>
      <c r="PJO55" s="13"/>
      <c r="PJP55" s="13"/>
      <c r="PJQ55" s="13"/>
      <c r="PJR55" s="13"/>
      <c r="PJS55" s="13"/>
      <c r="PJT55" s="13"/>
      <c r="PJU55" s="13"/>
      <c r="PJV55" s="13"/>
      <c r="PJW55" s="13"/>
      <c r="PJX55" s="13"/>
      <c r="PJY55" s="13"/>
      <c r="PJZ55" s="13"/>
      <c r="PKA55" s="13"/>
      <c r="PKB55" s="13"/>
      <c r="PKC55" s="13"/>
      <c r="PKD55" s="13"/>
      <c r="PKE55" s="13"/>
      <c r="PKF55" s="13"/>
      <c r="PKG55" s="13"/>
      <c r="PKH55" s="13"/>
      <c r="PKI55" s="13"/>
      <c r="PKJ55" s="13"/>
      <c r="PKK55" s="13"/>
      <c r="PKL55" s="13"/>
      <c r="PKM55" s="13"/>
      <c r="PKN55" s="13"/>
      <c r="PKO55" s="13"/>
      <c r="PKP55" s="13"/>
      <c r="PKQ55" s="13"/>
      <c r="PKR55" s="13"/>
      <c r="PKS55" s="13"/>
      <c r="PKT55" s="13"/>
      <c r="PKU55" s="13"/>
      <c r="PKV55" s="13"/>
      <c r="PKW55" s="13"/>
      <c r="PKX55" s="13"/>
      <c r="PKY55" s="13"/>
      <c r="PKZ55" s="13"/>
      <c r="PLA55" s="13"/>
      <c r="PLB55" s="13"/>
      <c r="PLC55" s="13"/>
      <c r="PLD55" s="13"/>
      <c r="PLE55" s="13"/>
      <c r="PLF55" s="13"/>
      <c r="PLG55" s="13"/>
      <c r="PLH55" s="13"/>
      <c r="PLI55" s="13"/>
      <c r="PLJ55" s="13"/>
      <c r="PLK55" s="13"/>
      <c r="PLL55" s="13"/>
      <c r="PLM55" s="13"/>
      <c r="PLN55" s="13"/>
      <c r="PLO55" s="13"/>
      <c r="PLP55" s="13"/>
      <c r="PLQ55" s="13"/>
      <c r="PLR55" s="13"/>
      <c r="PLS55" s="13"/>
      <c r="PLT55" s="13"/>
      <c r="PLU55" s="13"/>
      <c r="PLV55" s="13"/>
      <c r="PLW55" s="13"/>
      <c r="PLX55" s="13"/>
      <c r="PLY55" s="13"/>
      <c r="PLZ55" s="13"/>
      <c r="PMA55" s="13"/>
      <c r="PMB55" s="13"/>
      <c r="PMC55" s="13"/>
      <c r="PMD55" s="13"/>
      <c r="PME55" s="13"/>
      <c r="PMF55" s="13"/>
      <c r="PMG55" s="13"/>
      <c r="PMH55" s="13"/>
      <c r="PMI55" s="13"/>
      <c r="PMJ55" s="13"/>
      <c r="PMK55" s="13"/>
      <c r="PML55" s="13"/>
      <c r="PMM55" s="13"/>
      <c r="PMN55" s="13"/>
      <c r="PMO55" s="13"/>
      <c r="PMP55" s="13"/>
      <c r="PMQ55" s="13"/>
      <c r="PMR55" s="13"/>
      <c r="PMS55" s="13"/>
      <c r="PMT55" s="13"/>
      <c r="PMU55" s="13"/>
      <c r="PMV55" s="13"/>
      <c r="PMW55" s="13"/>
      <c r="PMX55" s="13"/>
      <c r="PMY55" s="13"/>
      <c r="PMZ55" s="13"/>
      <c r="PNA55" s="13"/>
      <c r="PNB55" s="13"/>
      <c r="PNC55" s="13"/>
      <c r="PND55" s="13"/>
      <c r="PNE55" s="13"/>
      <c r="PNF55" s="13"/>
      <c r="PNG55" s="13"/>
      <c r="PNH55" s="13"/>
      <c r="PNI55" s="13"/>
      <c r="PNJ55" s="13"/>
      <c r="PNK55" s="13"/>
      <c r="PNL55" s="13"/>
      <c r="PNM55" s="13"/>
      <c r="PNN55" s="13"/>
      <c r="PNO55" s="13"/>
      <c r="PNP55" s="13"/>
      <c r="PNQ55" s="13"/>
      <c r="PNR55" s="13"/>
      <c r="PNS55" s="13"/>
      <c r="PNT55" s="13"/>
      <c r="PNU55" s="13"/>
      <c r="PNV55" s="13"/>
      <c r="PNW55" s="13"/>
      <c r="PNX55" s="13"/>
      <c r="PNY55" s="13"/>
      <c r="PNZ55" s="13"/>
      <c r="POA55" s="13"/>
      <c r="POB55" s="13"/>
      <c r="POC55" s="13"/>
      <c r="POD55" s="13"/>
      <c r="POE55" s="13"/>
      <c r="POF55" s="13"/>
      <c r="POG55" s="13"/>
      <c r="POH55" s="13"/>
      <c r="POI55" s="13"/>
      <c r="POJ55" s="13"/>
      <c r="POK55" s="13"/>
      <c r="POL55" s="13"/>
      <c r="POM55" s="13"/>
      <c r="PON55" s="13"/>
      <c r="POO55" s="13"/>
      <c r="POP55" s="13"/>
      <c r="POQ55" s="13"/>
      <c r="POR55" s="13"/>
      <c r="POS55" s="13"/>
      <c r="POT55" s="13"/>
      <c r="POU55" s="13"/>
      <c r="POV55" s="13"/>
      <c r="POW55" s="13"/>
      <c r="POX55" s="13"/>
      <c r="POY55" s="13"/>
      <c r="POZ55" s="13"/>
      <c r="PPA55" s="13"/>
      <c r="PPB55" s="13"/>
      <c r="PPC55" s="13"/>
      <c r="PPD55" s="13"/>
      <c r="PPE55" s="13"/>
      <c r="PPF55" s="13"/>
      <c r="PPG55" s="13"/>
      <c r="PPH55" s="13"/>
      <c r="PPI55" s="13"/>
      <c r="PPJ55" s="13"/>
      <c r="PPK55" s="13"/>
      <c r="PPL55" s="13"/>
      <c r="PPM55" s="13"/>
      <c r="PPN55" s="13"/>
      <c r="PPO55" s="13"/>
      <c r="PPP55" s="13"/>
      <c r="PPQ55" s="13"/>
      <c r="PPR55" s="13"/>
      <c r="PPS55" s="13"/>
      <c r="PPT55" s="13"/>
      <c r="PPU55" s="13"/>
      <c r="PPV55" s="13"/>
      <c r="PPW55" s="13"/>
      <c r="PPX55" s="13"/>
      <c r="PPY55" s="13"/>
      <c r="PPZ55" s="13"/>
      <c r="PQA55" s="13"/>
      <c r="PQB55" s="13"/>
      <c r="PQC55" s="13"/>
      <c r="PQD55" s="13"/>
      <c r="PQE55" s="13"/>
      <c r="PQF55" s="13"/>
      <c r="PQG55" s="13"/>
      <c r="PQH55" s="13"/>
      <c r="PQI55" s="13"/>
      <c r="PQJ55" s="13"/>
      <c r="PQK55" s="13"/>
      <c r="PQL55" s="13"/>
      <c r="PQM55" s="13"/>
      <c r="PQN55" s="13"/>
      <c r="PQO55" s="13"/>
      <c r="PQP55" s="13"/>
      <c r="PQQ55" s="13"/>
      <c r="PQR55" s="13"/>
      <c r="PQS55" s="13"/>
      <c r="PQT55" s="13"/>
      <c r="PQU55" s="13"/>
      <c r="PQV55" s="13"/>
      <c r="PQW55" s="13"/>
      <c r="PQX55" s="13"/>
      <c r="PQY55" s="13"/>
      <c r="PQZ55" s="13"/>
      <c r="PRA55" s="13"/>
      <c r="PRB55" s="13"/>
      <c r="PRC55" s="13"/>
      <c r="PRD55" s="13"/>
      <c r="PRE55" s="13"/>
      <c r="PRF55" s="13"/>
      <c r="PRG55" s="13"/>
      <c r="PRH55" s="13"/>
      <c r="PRI55" s="13"/>
      <c r="PRJ55" s="13"/>
      <c r="PRK55" s="13"/>
      <c r="PRL55" s="13"/>
      <c r="PRM55" s="13"/>
      <c r="PRN55" s="13"/>
      <c r="PRO55" s="13"/>
      <c r="PRP55" s="13"/>
      <c r="PRQ55" s="13"/>
      <c r="PRR55" s="13"/>
      <c r="PRS55" s="13"/>
      <c r="PRT55" s="13"/>
      <c r="PRU55" s="13"/>
      <c r="PRV55" s="13"/>
      <c r="PRW55" s="13"/>
      <c r="PRX55" s="13"/>
      <c r="PRY55" s="13"/>
      <c r="PRZ55" s="13"/>
      <c r="PSA55" s="13"/>
      <c r="PSB55" s="13"/>
      <c r="PSC55" s="13"/>
      <c r="PSD55" s="13"/>
      <c r="PSE55" s="13"/>
      <c r="PSF55" s="13"/>
      <c r="PSG55" s="13"/>
      <c r="PSH55" s="13"/>
      <c r="PSI55" s="13"/>
      <c r="PSJ55" s="13"/>
      <c r="PSK55" s="13"/>
      <c r="PSL55" s="13"/>
      <c r="PSM55" s="13"/>
      <c r="PSN55" s="13"/>
      <c r="PSO55" s="13"/>
      <c r="PSP55" s="13"/>
      <c r="PSQ55" s="13"/>
      <c r="PSR55" s="13"/>
      <c r="PSS55" s="13"/>
      <c r="PST55" s="13"/>
      <c r="PSU55" s="13"/>
      <c r="PSV55" s="13"/>
      <c r="PSW55" s="13"/>
      <c r="PSX55" s="13"/>
      <c r="PSY55" s="13"/>
      <c r="PSZ55" s="13"/>
      <c r="PTA55" s="13"/>
      <c r="PTB55" s="13"/>
      <c r="PTC55" s="13"/>
      <c r="PTD55" s="13"/>
      <c r="PTE55" s="13"/>
      <c r="PTF55" s="13"/>
      <c r="PTG55" s="13"/>
      <c r="PTH55" s="13"/>
      <c r="PTI55" s="13"/>
      <c r="PTJ55" s="13"/>
      <c r="PTK55" s="13"/>
      <c r="PTL55" s="13"/>
      <c r="PTM55" s="13"/>
      <c r="PTN55" s="13"/>
      <c r="PTO55" s="13"/>
      <c r="PTP55" s="13"/>
      <c r="PTQ55" s="13"/>
      <c r="PTR55" s="13"/>
      <c r="PTS55" s="13"/>
      <c r="PTT55" s="13"/>
      <c r="PTU55" s="13"/>
      <c r="PTV55" s="13"/>
      <c r="PTW55" s="13"/>
      <c r="PTX55" s="13"/>
      <c r="PTY55" s="13"/>
      <c r="PTZ55" s="13"/>
      <c r="PUA55" s="13"/>
      <c r="PUB55" s="13"/>
      <c r="PUC55" s="13"/>
      <c r="PUD55" s="13"/>
      <c r="PUE55" s="13"/>
      <c r="PUF55" s="13"/>
      <c r="PUG55" s="13"/>
      <c r="PUH55" s="13"/>
      <c r="PUI55" s="13"/>
      <c r="PUJ55" s="13"/>
      <c r="PUK55" s="13"/>
      <c r="PUL55" s="13"/>
      <c r="PUM55" s="13"/>
      <c r="PUN55" s="13"/>
      <c r="PUO55" s="13"/>
      <c r="PUP55" s="13"/>
      <c r="PUQ55" s="13"/>
      <c r="PUR55" s="13"/>
      <c r="PUS55" s="13"/>
      <c r="PUT55" s="13"/>
      <c r="PUU55" s="13"/>
      <c r="PUV55" s="13"/>
      <c r="PUW55" s="13"/>
      <c r="PUX55" s="13"/>
      <c r="PUY55" s="13"/>
      <c r="PUZ55" s="13"/>
      <c r="PVA55" s="13"/>
      <c r="PVB55" s="13"/>
      <c r="PVC55" s="13"/>
      <c r="PVD55" s="13"/>
      <c r="PVE55" s="13"/>
      <c r="PVF55" s="13"/>
      <c r="PVG55" s="13"/>
      <c r="PVH55" s="13"/>
      <c r="PVI55" s="13"/>
      <c r="PVJ55" s="13"/>
      <c r="PVK55" s="13"/>
      <c r="PVL55" s="13"/>
      <c r="PVM55" s="13"/>
      <c r="PVN55" s="13"/>
      <c r="PVO55" s="13"/>
      <c r="PVP55" s="13"/>
      <c r="PVQ55" s="13"/>
      <c r="PVR55" s="13"/>
      <c r="PVS55" s="13"/>
      <c r="PVT55" s="13"/>
      <c r="PVU55" s="13"/>
      <c r="PVV55" s="13"/>
      <c r="PVW55" s="13"/>
      <c r="PVX55" s="13"/>
      <c r="PVY55" s="13"/>
      <c r="PVZ55" s="13"/>
      <c r="PWA55" s="13"/>
      <c r="PWB55" s="13"/>
      <c r="PWC55" s="13"/>
      <c r="PWD55" s="13"/>
      <c r="PWE55" s="13"/>
      <c r="PWF55" s="13"/>
      <c r="PWG55" s="13"/>
      <c r="PWH55" s="13"/>
      <c r="PWI55" s="13"/>
      <c r="PWJ55" s="13"/>
      <c r="PWK55" s="13"/>
      <c r="PWL55" s="13"/>
      <c r="PWM55" s="13"/>
      <c r="PWN55" s="13"/>
      <c r="PWO55" s="13"/>
      <c r="PWP55" s="13"/>
      <c r="PWQ55" s="13"/>
      <c r="PWR55" s="13"/>
      <c r="PWS55" s="13"/>
      <c r="PWT55" s="13"/>
      <c r="PWU55" s="13"/>
      <c r="PWV55" s="13"/>
      <c r="PWW55" s="13"/>
      <c r="PWX55" s="13"/>
      <c r="PWY55" s="13"/>
      <c r="PWZ55" s="13"/>
      <c r="PXA55" s="13"/>
      <c r="PXB55" s="13"/>
      <c r="PXC55" s="13"/>
      <c r="PXD55" s="13"/>
      <c r="PXE55" s="13"/>
      <c r="PXF55" s="13"/>
      <c r="PXG55" s="13"/>
      <c r="PXH55" s="13"/>
      <c r="PXI55" s="13"/>
      <c r="PXJ55" s="13"/>
      <c r="PXK55" s="13"/>
      <c r="PXL55" s="13"/>
      <c r="PXM55" s="13"/>
      <c r="PXN55" s="13"/>
      <c r="PXO55" s="13"/>
      <c r="PXP55" s="13"/>
      <c r="PXQ55" s="13"/>
      <c r="PXR55" s="13"/>
      <c r="PXS55" s="13"/>
      <c r="PXT55" s="13"/>
      <c r="PXU55" s="13"/>
      <c r="PXV55" s="13"/>
      <c r="PXW55" s="13"/>
      <c r="PXX55" s="13"/>
      <c r="PXY55" s="13"/>
      <c r="PXZ55" s="13"/>
      <c r="PYA55" s="13"/>
      <c r="PYB55" s="13"/>
      <c r="PYC55" s="13"/>
      <c r="PYD55" s="13"/>
      <c r="PYE55" s="13"/>
      <c r="PYF55" s="13"/>
      <c r="PYG55" s="13"/>
      <c r="PYH55" s="13"/>
      <c r="PYI55" s="13"/>
      <c r="PYJ55" s="13"/>
      <c r="PYK55" s="13"/>
      <c r="PYL55" s="13"/>
      <c r="PYM55" s="13"/>
      <c r="PYN55" s="13"/>
      <c r="PYO55" s="13"/>
      <c r="PYP55" s="13"/>
      <c r="PYQ55" s="13"/>
      <c r="PYR55" s="13"/>
      <c r="PYS55" s="13"/>
      <c r="PYT55" s="13"/>
      <c r="PYU55" s="13"/>
      <c r="PYV55" s="13"/>
      <c r="PYW55" s="13"/>
      <c r="PYX55" s="13"/>
      <c r="PYY55" s="13"/>
      <c r="PYZ55" s="13"/>
      <c r="PZA55" s="13"/>
      <c r="PZB55" s="13"/>
      <c r="PZC55" s="13"/>
      <c r="PZD55" s="13"/>
      <c r="PZE55" s="13"/>
      <c r="PZF55" s="13"/>
      <c r="PZG55" s="13"/>
      <c r="PZH55" s="13"/>
      <c r="PZI55" s="13"/>
      <c r="PZJ55" s="13"/>
      <c r="PZK55" s="13"/>
      <c r="PZL55" s="13"/>
      <c r="PZM55" s="13"/>
      <c r="PZN55" s="13"/>
      <c r="PZO55" s="13"/>
      <c r="PZP55" s="13"/>
      <c r="PZQ55" s="13"/>
      <c r="PZR55" s="13"/>
      <c r="PZS55" s="13"/>
      <c r="PZT55" s="13"/>
      <c r="PZU55" s="13"/>
      <c r="PZV55" s="13"/>
      <c r="PZW55" s="13"/>
      <c r="PZX55" s="13"/>
      <c r="PZY55" s="13"/>
      <c r="PZZ55" s="13"/>
      <c r="QAA55" s="13"/>
      <c r="QAB55" s="13"/>
      <c r="QAC55" s="13"/>
      <c r="QAD55" s="13"/>
      <c r="QAE55" s="13"/>
      <c r="QAF55" s="13"/>
      <c r="QAG55" s="13"/>
      <c r="QAH55" s="13"/>
      <c r="QAI55" s="13"/>
      <c r="QAJ55" s="13"/>
      <c r="QAK55" s="13"/>
      <c r="QAL55" s="13"/>
      <c r="QAM55" s="13"/>
      <c r="QAN55" s="13"/>
      <c r="QAO55" s="13"/>
      <c r="QAP55" s="13"/>
      <c r="QAQ55" s="13"/>
      <c r="QAR55" s="13"/>
      <c r="QAS55" s="13"/>
      <c r="QAT55" s="13"/>
      <c r="QAU55" s="13"/>
      <c r="QAV55" s="13"/>
      <c r="QAW55" s="13"/>
      <c r="QAX55" s="13"/>
      <c r="QAY55" s="13"/>
      <c r="QAZ55" s="13"/>
      <c r="QBA55" s="13"/>
      <c r="QBB55" s="13"/>
      <c r="QBC55" s="13"/>
      <c r="QBD55" s="13"/>
      <c r="QBE55" s="13"/>
      <c r="QBF55" s="13"/>
      <c r="QBG55" s="13"/>
      <c r="QBH55" s="13"/>
      <c r="QBI55" s="13"/>
      <c r="QBJ55" s="13"/>
      <c r="QBK55" s="13"/>
      <c r="QBL55" s="13"/>
      <c r="QBM55" s="13"/>
      <c r="QBN55" s="13"/>
      <c r="QBO55" s="13"/>
      <c r="QBP55" s="13"/>
      <c r="QBQ55" s="13"/>
      <c r="QBR55" s="13"/>
      <c r="QBS55" s="13"/>
      <c r="QBT55" s="13"/>
      <c r="QBU55" s="13"/>
      <c r="QBV55" s="13"/>
      <c r="QBW55" s="13"/>
      <c r="QBX55" s="13"/>
      <c r="QBY55" s="13"/>
      <c r="QBZ55" s="13"/>
      <c r="QCA55" s="13"/>
      <c r="QCB55" s="13"/>
      <c r="QCC55" s="13"/>
      <c r="QCD55" s="13"/>
      <c r="QCE55" s="13"/>
      <c r="QCF55" s="13"/>
      <c r="QCG55" s="13"/>
      <c r="QCH55" s="13"/>
      <c r="QCI55" s="13"/>
      <c r="QCJ55" s="13"/>
      <c r="QCK55" s="13"/>
      <c r="QCL55" s="13"/>
      <c r="QCM55" s="13"/>
      <c r="QCN55" s="13"/>
      <c r="QCO55" s="13"/>
      <c r="QCP55" s="13"/>
      <c r="QCQ55" s="13"/>
      <c r="QCR55" s="13"/>
      <c r="QCS55" s="13"/>
      <c r="QCT55" s="13"/>
      <c r="QCU55" s="13"/>
      <c r="QCV55" s="13"/>
      <c r="QCW55" s="13"/>
      <c r="QCX55" s="13"/>
      <c r="QCY55" s="13"/>
      <c r="QCZ55" s="13"/>
      <c r="QDA55" s="13"/>
      <c r="QDB55" s="13"/>
      <c r="QDC55" s="13"/>
      <c r="QDD55" s="13"/>
      <c r="QDE55" s="13"/>
      <c r="QDF55" s="13"/>
      <c r="QDG55" s="13"/>
      <c r="QDH55" s="13"/>
      <c r="QDI55" s="13"/>
      <c r="QDJ55" s="13"/>
      <c r="QDK55" s="13"/>
      <c r="QDL55" s="13"/>
      <c r="QDM55" s="13"/>
      <c r="QDN55" s="13"/>
      <c r="QDO55" s="13"/>
      <c r="QDP55" s="13"/>
      <c r="QDQ55" s="13"/>
      <c r="QDR55" s="13"/>
      <c r="QDS55" s="13"/>
      <c r="QDT55" s="13"/>
      <c r="QDU55" s="13"/>
      <c r="QDV55" s="13"/>
      <c r="QDW55" s="13"/>
      <c r="QDX55" s="13"/>
      <c r="QDY55" s="13"/>
      <c r="QDZ55" s="13"/>
      <c r="QEA55" s="13"/>
      <c r="QEB55" s="13"/>
      <c r="QEC55" s="13"/>
      <c r="QED55" s="13"/>
      <c r="QEE55" s="13"/>
      <c r="QEF55" s="13"/>
      <c r="QEG55" s="13"/>
      <c r="QEH55" s="13"/>
      <c r="QEI55" s="13"/>
      <c r="QEJ55" s="13"/>
      <c r="QEK55" s="13"/>
      <c r="QEL55" s="13"/>
      <c r="QEM55" s="13"/>
      <c r="QEN55" s="13"/>
      <c r="QEO55" s="13"/>
      <c r="QEP55" s="13"/>
      <c r="QEQ55" s="13"/>
      <c r="QER55" s="13"/>
      <c r="QES55" s="13"/>
      <c r="QET55" s="13"/>
      <c r="QEU55" s="13"/>
      <c r="QEV55" s="13"/>
      <c r="QEW55" s="13"/>
      <c r="QEX55" s="13"/>
      <c r="QEY55" s="13"/>
      <c r="QEZ55" s="13"/>
      <c r="QFA55" s="13"/>
      <c r="QFB55" s="13"/>
      <c r="QFC55" s="13"/>
      <c r="QFD55" s="13"/>
      <c r="QFE55" s="13"/>
      <c r="QFF55" s="13"/>
      <c r="QFG55" s="13"/>
      <c r="QFH55" s="13"/>
      <c r="QFI55" s="13"/>
      <c r="QFJ55" s="13"/>
      <c r="QFK55" s="13"/>
      <c r="QFL55" s="13"/>
      <c r="QFM55" s="13"/>
      <c r="QFN55" s="13"/>
      <c r="QFO55" s="13"/>
      <c r="QFP55" s="13"/>
      <c r="QFQ55" s="13"/>
      <c r="QFR55" s="13"/>
      <c r="QFS55" s="13"/>
      <c r="QFT55" s="13"/>
      <c r="QFU55" s="13"/>
      <c r="QFV55" s="13"/>
      <c r="QFW55" s="13"/>
      <c r="QFX55" s="13"/>
      <c r="QFY55" s="13"/>
      <c r="QFZ55" s="13"/>
      <c r="QGA55" s="13"/>
      <c r="QGB55" s="13"/>
      <c r="QGC55" s="13"/>
      <c r="QGD55" s="13"/>
      <c r="QGE55" s="13"/>
      <c r="QGF55" s="13"/>
      <c r="QGG55" s="13"/>
      <c r="QGH55" s="13"/>
      <c r="QGI55" s="13"/>
      <c r="QGJ55" s="13"/>
      <c r="QGK55" s="13"/>
      <c r="QGL55" s="13"/>
      <c r="QGM55" s="13"/>
      <c r="QGN55" s="13"/>
      <c r="QGO55" s="13"/>
      <c r="QGP55" s="13"/>
      <c r="QGQ55" s="13"/>
      <c r="QGR55" s="13"/>
      <c r="QGS55" s="13"/>
      <c r="QGT55" s="13"/>
      <c r="QGU55" s="13"/>
      <c r="QGV55" s="13"/>
      <c r="QGW55" s="13"/>
      <c r="QGX55" s="13"/>
      <c r="QGY55" s="13"/>
      <c r="QGZ55" s="13"/>
      <c r="QHA55" s="13"/>
      <c r="QHB55" s="13"/>
      <c r="QHC55" s="13"/>
      <c r="QHD55" s="13"/>
      <c r="QHE55" s="13"/>
      <c r="QHF55" s="13"/>
      <c r="QHG55" s="13"/>
      <c r="QHH55" s="13"/>
      <c r="QHI55" s="13"/>
      <c r="QHJ55" s="13"/>
      <c r="QHK55" s="13"/>
      <c r="QHL55" s="13"/>
      <c r="QHM55" s="13"/>
      <c r="QHN55" s="13"/>
      <c r="QHO55" s="13"/>
      <c r="QHP55" s="13"/>
      <c r="QHQ55" s="13"/>
      <c r="QHR55" s="13"/>
      <c r="QHS55" s="13"/>
      <c r="QHT55" s="13"/>
      <c r="QHU55" s="13"/>
      <c r="QHV55" s="13"/>
      <c r="QHW55" s="13"/>
      <c r="QHX55" s="13"/>
      <c r="QHY55" s="13"/>
      <c r="QHZ55" s="13"/>
      <c r="QIA55" s="13"/>
      <c r="QIB55" s="13"/>
      <c r="QIC55" s="13"/>
      <c r="QID55" s="13"/>
      <c r="QIE55" s="13"/>
      <c r="QIF55" s="13"/>
      <c r="QIG55" s="13"/>
      <c r="QIH55" s="13"/>
      <c r="QII55" s="13"/>
      <c r="QIJ55" s="13"/>
      <c r="QIK55" s="13"/>
      <c r="QIL55" s="13"/>
      <c r="QIM55" s="13"/>
      <c r="QIN55" s="13"/>
      <c r="QIO55" s="13"/>
      <c r="QIP55" s="13"/>
      <c r="QIQ55" s="13"/>
      <c r="QIR55" s="13"/>
      <c r="QIS55" s="13"/>
      <c r="QIT55" s="13"/>
      <c r="QIU55" s="13"/>
      <c r="QIV55" s="13"/>
      <c r="QIW55" s="13"/>
      <c r="QIX55" s="13"/>
      <c r="QIY55" s="13"/>
      <c r="QIZ55" s="13"/>
      <c r="QJA55" s="13"/>
      <c r="QJB55" s="13"/>
      <c r="QJC55" s="13"/>
      <c r="QJD55" s="13"/>
      <c r="QJE55" s="13"/>
      <c r="QJF55" s="13"/>
      <c r="QJG55" s="13"/>
      <c r="QJH55" s="13"/>
      <c r="QJI55" s="13"/>
      <c r="QJJ55" s="13"/>
      <c r="QJK55" s="13"/>
      <c r="QJL55" s="13"/>
      <c r="QJM55" s="13"/>
      <c r="QJN55" s="13"/>
      <c r="QJO55" s="13"/>
      <c r="QJP55" s="13"/>
      <c r="QJQ55" s="13"/>
      <c r="QJR55" s="13"/>
      <c r="QJS55" s="13"/>
      <c r="QJT55" s="13"/>
      <c r="QJU55" s="13"/>
      <c r="QJV55" s="13"/>
      <c r="QJW55" s="13"/>
      <c r="QJX55" s="13"/>
      <c r="QJY55" s="13"/>
      <c r="QJZ55" s="13"/>
      <c r="QKA55" s="13"/>
      <c r="QKB55" s="13"/>
      <c r="QKC55" s="13"/>
      <c r="QKD55" s="13"/>
      <c r="QKE55" s="13"/>
      <c r="QKF55" s="13"/>
      <c r="QKG55" s="13"/>
      <c r="QKH55" s="13"/>
      <c r="QKI55" s="13"/>
      <c r="QKJ55" s="13"/>
      <c r="QKK55" s="13"/>
      <c r="QKL55" s="13"/>
      <c r="QKM55" s="13"/>
      <c r="QKN55" s="13"/>
      <c r="QKO55" s="13"/>
      <c r="QKP55" s="13"/>
      <c r="QKQ55" s="13"/>
      <c r="QKR55" s="13"/>
      <c r="QKS55" s="13"/>
      <c r="QKT55" s="13"/>
      <c r="QKU55" s="13"/>
      <c r="QKV55" s="13"/>
      <c r="QKW55" s="13"/>
      <c r="QKX55" s="13"/>
      <c r="QKY55" s="13"/>
      <c r="QKZ55" s="13"/>
      <c r="QLA55" s="13"/>
      <c r="QLB55" s="13"/>
      <c r="QLC55" s="13"/>
      <c r="QLD55" s="13"/>
      <c r="QLE55" s="13"/>
      <c r="QLF55" s="13"/>
      <c r="QLG55" s="13"/>
      <c r="QLH55" s="13"/>
      <c r="QLI55" s="13"/>
      <c r="QLJ55" s="13"/>
      <c r="QLK55" s="13"/>
      <c r="QLL55" s="13"/>
      <c r="QLM55" s="13"/>
      <c r="QLN55" s="13"/>
      <c r="QLO55" s="13"/>
      <c r="QLP55" s="13"/>
      <c r="QLQ55" s="13"/>
      <c r="QLR55" s="13"/>
      <c r="QLS55" s="13"/>
      <c r="QLT55" s="13"/>
      <c r="QLU55" s="13"/>
      <c r="QLV55" s="13"/>
      <c r="QLW55" s="13"/>
      <c r="QLX55" s="13"/>
      <c r="QLY55" s="13"/>
      <c r="QLZ55" s="13"/>
      <c r="QMA55" s="13"/>
      <c r="QMB55" s="13"/>
      <c r="QMC55" s="13"/>
      <c r="QMD55" s="13"/>
      <c r="QME55" s="13"/>
      <c r="QMF55" s="13"/>
      <c r="QMG55" s="13"/>
      <c r="QMH55" s="13"/>
      <c r="QMI55" s="13"/>
      <c r="QMJ55" s="13"/>
      <c r="QMK55" s="13"/>
      <c r="QML55" s="13"/>
      <c r="QMM55" s="13"/>
      <c r="QMN55" s="13"/>
      <c r="QMO55" s="13"/>
      <c r="QMP55" s="13"/>
      <c r="QMQ55" s="13"/>
      <c r="QMR55" s="13"/>
      <c r="QMS55" s="13"/>
      <c r="QMT55" s="13"/>
      <c r="QMU55" s="13"/>
      <c r="QMV55" s="13"/>
      <c r="QMW55" s="13"/>
      <c r="QMX55" s="13"/>
      <c r="QMY55" s="13"/>
      <c r="QMZ55" s="13"/>
      <c r="QNA55" s="13"/>
      <c r="QNB55" s="13"/>
      <c r="QNC55" s="13"/>
      <c r="QND55" s="13"/>
      <c r="QNE55" s="13"/>
      <c r="QNF55" s="13"/>
      <c r="QNG55" s="13"/>
      <c r="QNH55" s="13"/>
      <c r="QNI55" s="13"/>
      <c r="QNJ55" s="13"/>
      <c r="QNK55" s="13"/>
      <c r="QNL55" s="13"/>
      <c r="QNM55" s="13"/>
      <c r="QNN55" s="13"/>
      <c r="QNO55" s="13"/>
      <c r="QNP55" s="13"/>
      <c r="QNQ55" s="13"/>
      <c r="QNR55" s="13"/>
      <c r="QNS55" s="13"/>
      <c r="QNT55" s="13"/>
      <c r="QNU55" s="13"/>
      <c r="QNV55" s="13"/>
      <c r="QNW55" s="13"/>
      <c r="QNX55" s="13"/>
      <c r="QNY55" s="13"/>
      <c r="QNZ55" s="13"/>
      <c r="QOA55" s="13"/>
      <c r="QOB55" s="13"/>
      <c r="QOC55" s="13"/>
      <c r="QOD55" s="13"/>
      <c r="QOE55" s="13"/>
      <c r="QOF55" s="13"/>
      <c r="QOG55" s="13"/>
      <c r="QOH55" s="13"/>
      <c r="QOI55" s="13"/>
      <c r="QOJ55" s="13"/>
      <c r="QOK55" s="13"/>
      <c r="QOL55" s="13"/>
      <c r="QOM55" s="13"/>
      <c r="QON55" s="13"/>
      <c r="QOO55" s="13"/>
      <c r="QOP55" s="13"/>
      <c r="QOQ55" s="13"/>
      <c r="QOR55" s="13"/>
      <c r="QOS55" s="13"/>
      <c r="QOT55" s="13"/>
      <c r="QOU55" s="13"/>
      <c r="QOV55" s="13"/>
      <c r="QOW55" s="13"/>
      <c r="QOX55" s="13"/>
      <c r="QOY55" s="13"/>
      <c r="QOZ55" s="13"/>
      <c r="QPA55" s="13"/>
      <c r="QPB55" s="13"/>
      <c r="QPC55" s="13"/>
      <c r="QPD55" s="13"/>
      <c r="QPE55" s="13"/>
      <c r="QPF55" s="13"/>
      <c r="QPG55" s="13"/>
      <c r="QPH55" s="13"/>
      <c r="QPI55" s="13"/>
      <c r="QPJ55" s="13"/>
      <c r="QPK55" s="13"/>
      <c r="QPL55" s="13"/>
      <c r="QPM55" s="13"/>
      <c r="QPN55" s="13"/>
      <c r="QPO55" s="13"/>
      <c r="QPP55" s="13"/>
      <c r="QPQ55" s="13"/>
      <c r="QPR55" s="13"/>
      <c r="QPS55" s="13"/>
      <c r="QPT55" s="13"/>
      <c r="QPU55" s="13"/>
      <c r="QPV55" s="13"/>
      <c r="QPW55" s="13"/>
      <c r="QPX55" s="13"/>
      <c r="QPY55" s="13"/>
      <c r="QPZ55" s="13"/>
      <c r="QQA55" s="13"/>
      <c r="QQB55" s="13"/>
      <c r="QQC55" s="13"/>
      <c r="QQD55" s="13"/>
      <c r="QQE55" s="13"/>
      <c r="QQF55" s="13"/>
      <c r="QQG55" s="13"/>
      <c r="QQH55" s="13"/>
      <c r="QQI55" s="13"/>
      <c r="QQJ55" s="13"/>
      <c r="QQK55" s="13"/>
      <c r="QQL55" s="13"/>
      <c r="QQM55" s="13"/>
      <c r="QQN55" s="13"/>
      <c r="QQO55" s="13"/>
      <c r="QQP55" s="13"/>
      <c r="QQQ55" s="13"/>
      <c r="QQR55" s="13"/>
      <c r="QQS55" s="13"/>
      <c r="QQT55" s="13"/>
      <c r="QQU55" s="13"/>
      <c r="QQV55" s="13"/>
      <c r="QQW55" s="13"/>
      <c r="QQX55" s="13"/>
      <c r="QQY55" s="13"/>
      <c r="QQZ55" s="13"/>
      <c r="QRA55" s="13"/>
      <c r="QRB55" s="13"/>
      <c r="QRC55" s="13"/>
      <c r="QRD55" s="13"/>
      <c r="QRE55" s="13"/>
      <c r="QRF55" s="13"/>
      <c r="QRG55" s="13"/>
      <c r="QRH55" s="13"/>
      <c r="QRI55" s="13"/>
      <c r="QRJ55" s="13"/>
      <c r="QRK55" s="13"/>
      <c r="QRL55" s="13"/>
      <c r="QRM55" s="13"/>
      <c r="QRN55" s="13"/>
      <c r="QRO55" s="13"/>
      <c r="QRP55" s="13"/>
      <c r="QRQ55" s="13"/>
      <c r="QRR55" s="13"/>
      <c r="QRS55" s="13"/>
      <c r="QRT55" s="13"/>
      <c r="QRU55" s="13"/>
      <c r="QRV55" s="13"/>
      <c r="QRW55" s="13"/>
      <c r="QRX55" s="13"/>
      <c r="QRY55" s="13"/>
      <c r="QRZ55" s="13"/>
      <c r="QSA55" s="13"/>
      <c r="QSB55" s="13"/>
      <c r="QSC55" s="13"/>
      <c r="QSD55" s="13"/>
      <c r="QSE55" s="13"/>
      <c r="QSF55" s="13"/>
      <c r="QSG55" s="13"/>
      <c r="QSH55" s="13"/>
      <c r="QSI55" s="13"/>
      <c r="QSJ55" s="13"/>
      <c r="QSK55" s="13"/>
      <c r="QSL55" s="13"/>
      <c r="QSM55" s="13"/>
      <c r="QSN55" s="13"/>
      <c r="QSO55" s="13"/>
      <c r="QSP55" s="13"/>
      <c r="QSQ55" s="13"/>
      <c r="QSR55" s="13"/>
      <c r="QSS55" s="13"/>
      <c r="QST55" s="13"/>
      <c r="QSU55" s="13"/>
      <c r="QSV55" s="13"/>
      <c r="QSW55" s="13"/>
      <c r="QSX55" s="13"/>
      <c r="QSY55" s="13"/>
      <c r="QSZ55" s="13"/>
      <c r="QTA55" s="13"/>
      <c r="QTB55" s="13"/>
      <c r="QTC55" s="13"/>
      <c r="QTD55" s="13"/>
      <c r="QTE55" s="13"/>
      <c r="QTF55" s="13"/>
      <c r="QTG55" s="13"/>
      <c r="QTH55" s="13"/>
      <c r="QTI55" s="13"/>
      <c r="QTJ55" s="13"/>
      <c r="QTK55" s="13"/>
      <c r="QTL55" s="13"/>
      <c r="QTM55" s="13"/>
      <c r="QTN55" s="13"/>
      <c r="QTO55" s="13"/>
      <c r="QTP55" s="13"/>
      <c r="QTQ55" s="13"/>
      <c r="QTR55" s="13"/>
      <c r="QTS55" s="13"/>
      <c r="QTT55" s="13"/>
      <c r="QTU55" s="13"/>
      <c r="QTV55" s="13"/>
      <c r="QTW55" s="13"/>
      <c r="QTX55" s="13"/>
      <c r="QTY55" s="13"/>
      <c r="QTZ55" s="13"/>
      <c r="QUA55" s="13"/>
      <c r="QUB55" s="13"/>
      <c r="QUC55" s="13"/>
      <c r="QUD55" s="13"/>
      <c r="QUE55" s="13"/>
      <c r="QUF55" s="13"/>
      <c r="QUG55" s="13"/>
      <c r="QUH55" s="13"/>
      <c r="QUI55" s="13"/>
      <c r="QUJ55" s="13"/>
      <c r="QUK55" s="13"/>
      <c r="QUL55" s="13"/>
      <c r="QUM55" s="13"/>
      <c r="QUN55" s="13"/>
      <c r="QUO55" s="13"/>
      <c r="QUP55" s="13"/>
      <c r="QUQ55" s="13"/>
      <c r="QUR55" s="13"/>
      <c r="QUS55" s="13"/>
      <c r="QUT55" s="13"/>
      <c r="QUU55" s="13"/>
      <c r="QUV55" s="13"/>
      <c r="QUW55" s="13"/>
      <c r="QUX55" s="13"/>
      <c r="QUY55" s="13"/>
      <c r="QUZ55" s="13"/>
      <c r="QVA55" s="13"/>
      <c r="QVB55" s="13"/>
      <c r="QVC55" s="13"/>
      <c r="QVD55" s="13"/>
      <c r="QVE55" s="13"/>
      <c r="QVF55" s="13"/>
      <c r="QVG55" s="13"/>
      <c r="QVH55" s="13"/>
      <c r="QVI55" s="13"/>
      <c r="QVJ55" s="13"/>
      <c r="QVK55" s="13"/>
      <c r="QVL55" s="13"/>
      <c r="QVM55" s="13"/>
      <c r="QVN55" s="13"/>
      <c r="QVO55" s="13"/>
      <c r="QVP55" s="13"/>
      <c r="QVQ55" s="13"/>
      <c r="QVR55" s="13"/>
      <c r="QVS55" s="13"/>
      <c r="QVT55" s="13"/>
      <c r="QVU55" s="13"/>
      <c r="QVV55" s="13"/>
      <c r="QVW55" s="13"/>
      <c r="QVX55" s="13"/>
      <c r="QVY55" s="13"/>
      <c r="QVZ55" s="13"/>
      <c r="QWA55" s="13"/>
      <c r="QWB55" s="13"/>
      <c r="QWC55" s="13"/>
      <c r="QWD55" s="13"/>
      <c r="QWE55" s="13"/>
      <c r="QWF55" s="13"/>
      <c r="QWG55" s="13"/>
      <c r="QWH55" s="13"/>
      <c r="QWI55" s="13"/>
      <c r="QWJ55" s="13"/>
      <c r="QWK55" s="13"/>
      <c r="QWL55" s="13"/>
      <c r="QWM55" s="13"/>
      <c r="QWN55" s="13"/>
      <c r="QWO55" s="13"/>
      <c r="QWP55" s="13"/>
      <c r="QWQ55" s="13"/>
      <c r="QWR55" s="13"/>
      <c r="QWS55" s="13"/>
      <c r="QWT55" s="13"/>
      <c r="QWU55" s="13"/>
      <c r="QWV55" s="13"/>
      <c r="QWW55" s="13"/>
      <c r="QWX55" s="13"/>
      <c r="QWY55" s="13"/>
      <c r="QWZ55" s="13"/>
      <c r="QXA55" s="13"/>
      <c r="QXB55" s="13"/>
      <c r="QXC55" s="13"/>
      <c r="QXD55" s="13"/>
      <c r="QXE55" s="13"/>
      <c r="QXF55" s="13"/>
      <c r="QXG55" s="13"/>
      <c r="QXH55" s="13"/>
      <c r="QXI55" s="13"/>
      <c r="QXJ55" s="13"/>
      <c r="QXK55" s="13"/>
      <c r="QXL55" s="13"/>
      <c r="QXM55" s="13"/>
      <c r="QXN55" s="13"/>
      <c r="QXO55" s="13"/>
      <c r="QXP55" s="13"/>
      <c r="QXQ55" s="13"/>
      <c r="QXR55" s="13"/>
      <c r="QXS55" s="13"/>
      <c r="QXT55" s="13"/>
      <c r="QXU55" s="13"/>
      <c r="QXV55" s="13"/>
      <c r="QXW55" s="13"/>
      <c r="QXX55" s="13"/>
      <c r="QXY55" s="13"/>
      <c r="QXZ55" s="13"/>
      <c r="QYA55" s="13"/>
      <c r="QYB55" s="13"/>
      <c r="QYC55" s="13"/>
      <c r="QYD55" s="13"/>
      <c r="QYE55" s="13"/>
      <c r="QYF55" s="13"/>
      <c r="QYG55" s="13"/>
      <c r="QYH55" s="13"/>
      <c r="QYI55" s="13"/>
      <c r="QYJ55" s="13"/>
      <c r="QYK55" s="13"/>
      <c r="QYL55" s="13"/>
      <c r="QYM55" s="13"/>
      <c r="QYN55" s="13"/>
      <c r="QYO55" s="13"/>
      <c r="QYP55" s="13"/>
      <c r="QYQ55" s="13"/>
      <c r="QYR55" s="13"/>
      <c r="QYS55" s="13"/>
      <c r="QYT55" s="13"/>
      <c r="QYU55" s="13"/>
      <c r="QYV55" s="13"/>
      <c r="QYW55" s="13"/>
      <c r="QYX55" s="13"/>
      <c r="QYY55" s="13"/>
      <c r="QYZ55" s="13"/>
      <c r="QZA55" s="13"/>
      <c r="QZB55" s="13"/>
      <c r="QZC55" s="13"/>
      <c r="QZD55" s="13"/>
      <c r="QZE55" s="13"/>
      <c r="QZF55" s="13"/>
      <c r="QZG55" s="13"/>
      <c r="QZH55" s="13"/>
      <c r="QZI55" s="13"/>
      <c r="QZJ55" s="13"/>
      <c r="QZK55" s="13"/>
      <c r="QZL55" s="13"/>
      <c r="QZM55" s="13"/>
      <c r="QZN55" s="13"/>
      <c r="QZO55" s="13"/>
      <c r="QZP55" s="13"/>
      <c r="QZQ55" s="13"/>
      <c r="QZR55" s="13"/>
      <c r="QZS55" s="13"/>
      <c r="QZT55" s="13"/>
      <c r="QZU55" s="13"/>
      <c r="QZV55" s="13"/>
      <c r="QZW55" s="13"/>
      <c r="QZX55" s="13"/>
      <c r="QZY55" s="13"/>
      <c r="QZZ55" s="13"/>
      <c r="RAA55" s="13"/>
      <c r="RAB55" s="13"/>
      <c r="RAC55" s="13"/>
      <c r="RAD55" s="13"/>
      <c r="RAE55" s="13"/>
      <c r="RAF55" s="13"/>
      <c r="RAG55" s="13"/>
      <c r="RAH55" s="13"/>
      <c r="RAI55" s="13"/>
      <c r="RAJ55" s="13"/>
      <c r="RAK55" s="13"/>
      <c r="RAL55" s="13"/>
      <c r="RAM55" s="13"/>
      <c r="RAN55" s="13"/>
      <c r="RAO55" s="13"/>
      <c r="RAP55" s="13"/>
      <c r="RAQ55" s="13"/>
      <c r="RAR55" s="13"/>
      <c r="RAS55" s="13"/>
      <c r="RAT55" s="13"/>
      <c r="RAU55" s="13"/>
      <c r="RAV55" s="13"/>
      <c r="RAW55" s="13"/>
      <c r="RAX55" s="13"/>
      <c r="RAY55" s="13"/>
      <c r="RAZ55" s="13"/>
      <c r="RBA55" s="13"/>
      <c r="RBB55" s="13"/>
      <c r="RBC55" s="13"/>
      <c r="RBD55" s="13"/>
      <c r="RBE55" s="13"/>
      <c r="RBF55" s="13"/>
      <c r="RBG55" s="13"/>
      <c r="RBH55" s="13"/>
      <c r="RBI55" s="13"/>
      <c r="RBJ55" s="13"/>
      <c r="RBK55" s="13"/>
      <c r="RBL55" s="13"/>
      <c r="RBM55" s="13"/>
      <c r="RBN55" s="13"/>
      <c r="RBO55" s="13"/>
      <c r="RBP55" s="13"/>
      <c r="RBQ55" s="13"/>
      <c r="RBR55" s="13"/>
      <c r="RBS55" s="13"/>
      <c r="RBT55" s="13"/>
      <c r="RBU55" s="13"/>
      <c r="RBV55" s="13"/>
      <c r="RBW55" s="13"/>
      <c r="RBX55" s="13"/>
      <c r="RBY55" s="13"/>
      <c r="RBZ55" s="13"/>
      <c r="RCA55" s="13"/>
      <c r="RCB55" s="13"/>
      <c r="RCC55" s="13"/>
      <c r="RCD55" s="13"/>
      <c r="RCE55" s="13"/>
      <c r="RCF55" s="13"/>
      <c r="RCG55" s="13"/>
      <c r="RCH55" s="13"/>
      <c r="RCI55" s="13"/>
      <c r="RCJ55" s="13"/>
      <c r="RCK55" s="13"/>
      <c r="RCL55" s="13"/>
      <c r="RCM55" s="13"/>
      <c r="RCN55" s="13"/>
      <c r="RCO55" s="13"/>
      <c r="RCP55" s="13"/>
      <c r="RCQ55" s="13"/>
      <c r="RCR55" s="13"/>
      <c r="RCS55" s="13"/>
      <c r="RCT55" s="13"/>
      <c r="RCU55" s="13"/>
      <c r="RCV55" s="13"/>
      <c r="RCW55" s="13"/>
      <c r="RCX55" s="13"/>
      <c r="RCY55" s="13"/>
      <c r="RCZ55" s="13"/>
      <c r="RDA55" s="13"/>
      <c r="RDB55" s="13"/>
      <c r="RDC55" s="13"/>
      <c r="RDD55" s="13"/>
      <c r="RDE55" s="13"/>
      <c r="RDF55" s="13"/>
      <c r="RDG55" s="13"/>
      <c r="RDH55" s="13"/>
      <c r="RDI55" s="13"/>
      <c r="RDJ55" s="13"/>
      <c r="RDK55" s="13"/>
      <c r="RDL55" s="13"/>
      <c r="RDM55" s="13"/>
      <c r="RDN55" s="13"/>
      <c r="RDO55" s="13"/>
      <c r="RDP55" s="13"/>
      <c r="RDQ55" s="13"/>
      <c r="RDR55" s="13"/>
      <c r="RDS55" s="13"/>
      <c r="RDT55" s="13"/>
      <c r="RDU55" s="13"/>
      <c r="RDV55" s="13"/>
      <c r="RDW55" s="13"/>
      <c r="RDX55" s="13"/>
      <c r="RDY55" s="13"/>
      <c r="RDZ55" s="13"/>
      <c r="REA55" s="13"/>
      <c r="REB55" s="13"/>
      <c r="REC55" s="13"/>
      <c r="RED55" s="13"/>
      <c r="REE55" s="13"/>
      <c r="REF55" s="13"/>
      <c r="REG55" s="13"/>
      <c r="REH55" s="13"/>
      <c r="REI55" s="13"/>
      <c r="REJ55" s="13"/>
      <c r="REK55" s="13"/>
      <c r="REL55" s="13"/>
      <c r="REM55" s="13"/>
      <c r="REN55" s="13"/>
      <c r="REO55" s="13"/>
      <c r="REP55" s="13"/>
      <c r="REQ55" s="13"/>
      <c r="RER55" s="13"/>
      <c r="RES55" s="13"/>
      <c r="RET55" s="13"/>
      <c r="REU55" s="13"/>
      <c r="REV55" s="13"/>
      <c r="REW55" s="13"/>
      <c r="REX55" s="13"/>
      <c r="REY55" s="13"/>
      <c r="REZ55" s="13"/>
      <c r="RFA55" s="13"/>
      <c r="RFB55" s="13"/>
      <c r="RFC55" s="13"/>
      <c r="RFD55" s="13"/>
      <c r="RFE55" s="13"/>
      <c r="RFF55" s="13"/>
      <c r="RFG55" s="13"/>
      <c r="RFH55" s="13"/>
      <c r="RFI55" s="13"/>
      <c r="RFJ55" s="13"/>
      <c r="RFK55" s="13"/>
      <c r="RFL55" s="13"/>
      <c r="RFM55" s="13"/>
      <c r="RFN55" s="13"/>
      <c r="RFO55" s="13"/>
      <c r="RFP55" s="13"/>
      <c r="RFQ55" s="13"/>
      <c r="RFR55" s="13"/>
      <c r="RFS55" s="13"/>
      <c r="RFT55" s="13"/>
      <c r="RFU55" s="13"/>
      <c r="RFV55" s="13"/>
      <c r="RFW55" s="13"/>
      <c r="RFX55" s="13"/>
      <c r="RFY55" s="13"/>
      <c r="RFZ55" s="13"/>
      <c r="RGA55" s="13"/>
      <c r="RGB55" s="13"/>
      <c r="RGC55" s="13"/>
      <c r="RGD55" s="13"/>
      <c r="RGE55" s="13"/>
      <c r="RGF55" s="13"/>
      <c r="RGG55" s="13"/>
      <c r="RGH55" s="13"/>
      <c r="RGI55" s="13"/>
      <c r="RGJ55" s="13"/>
      <c r="RGK55" s="13"/>
      <c r="RGL55" s="13"/>
      <c r="RGM55" s="13"/>
      <c r="RGN55" s="13"/>
      <c r="RGO55" s="13"/>
      <c r="RGP55" s="13"/>
      <c r="RGQ55" s="13"/>
      <c r="RGR55" s="13"/>
      <c r="RGS55" s="13"/>
      <c r="RGT55" s="13"/>
      <c r="RGU55" s="13"/>
      <c r="RGV55" s="13"/>
      <c r="RGW55" s="13"/>
      <c r="RGX55" s="13"/>
      <c r="RGY55" s="13"/>
      <c r="RGZ55" s="13"/>
      <c r="RHA55" s="13"/>
      <c r="RHB55" s="13"/>
      <c r="RHC55" s="13"/>
      <c r="RHD55" s="13"/>
      <c r="RHE55" s="13"/>
      <c r="RHF55" s="13"/>
      <c r="RHG55" s="13"/>
      <c r="RHH55" s="13"/>
      <c r="RHI55" s="13"/>
      <c r="RHJ55" s="13"/>
      <c r="RHK55" s="13"/>
      <c r="RHL55" s="13"/>
      <c r="RHM55" s="13"/>
      <c r="RHN55" s="13"/>
      <c r="RHO55" s="13"/>
      <c r="RHP55" s="13"/>
      <c r="RHQ55" s="13"/>
      <c r="RHR55" s="13"/>
      <c r="RHS55" s="13"/>
      <c r="RHT55" s="13"/>
      <c r="RHU55" s="13"/>
      <c r="RHV55" s="13"/>
      <c r="RHW55" s="13"/>
      <c r="RHX55" s="13"/>
      <c r="RHY55" s="13"/>
      <c r="RHZ55" s="13"/>
      <c r="RIA55" s="13"/>
      <c r="RIB55" s="13"/>
      <c r="RIC55" s="13"/>
      <c r="RID55" s="13"/>
      <c r="RIE55" s="13"/>
      <c r="RIF55" s="13"/>
      <c r="RIG55" s="13"/>
      <c r="RIH55" s="13"/>
      <c r="RII55" s="13"/>
      <c r="RIJ55" s="13"/>
      <c r="RIK55" s="13"/>
      <c r="RIL55" s="13"/>
      <c r="RIM55" s="13"/>
      <c r="RIN55" s="13"/>
      <c r="RIO55" s="13"/>
      <c r="RIP55" s="13"/>
      <c r="RIQ55" s="13"/>
      <c r="RIR55" s="13"/>
      <c r="RIS55" s="13"/>
      <c r="RIT55" s="13"/>
      <c r="RIU55" s="13"/>
      <c r="RIV55" s="13"/>
      <c r="RIW55" s="13"/>
      <c r="RIX55" s="13"/>
      <c r="RIY55" s="13"/>
      <c r="RIZ55" s="13"/>
      <c r="RJA55" s="13"/>
      <c r="RJB55" s="13"/>
      <c r="RJC55" s="13"/>
      <c r="RJD55" s="13"/>
      <c r="RJE55" s="13"/>
      <c r="RJF55" s="13"/>
      <c r="RJG55" s="13"/>
      <c r="RJH55" s="13"/>
      <c r="RJI55" s="13"/>
      <c r="RJJ55" s="13"/>
      <c r="RJK55" s="13"/>
      <c r="RJL55" s="13"/>
      <c r="RJM55" s="13"/>
      <c r="RJN55" s="13"/>
      <c r="RJO55" s="13"/>
      <c r="RJP55" s="13"/>
      <c r="RJQ55" s="13"/>
      <c r="RJR55" s="13"/>
      <c r="RJS55" s="13"/>
      <c r="RJT55" s="13"/>
      <c r="RJU55" s="13"/>
      <c r="RJV55" s="13"/>
      <c r="RJW55" s="13"/>
      <c r="RJX55" s="13"/>
      <c r="RJY55" s="13"/>
      <c r="RJZ55" s="13"/>
      <c r="RKA55" s="13"/>
      <c r="RKB55" s="13"/>
      <c r="RKC55" s="13"/>
      <c r="RKD55" s="13"/>
      <c r="RKE55" s="13"/>
      <c r="RKF55" s="13"/>
      <c r="RKG55" s="13"/>
      <c r="RKH55" s="13"/>
      <c r="RKI55" s="13"/>
      <c r="RKJ55" s="13"/>
      <c r="RKK55" s="13"/>
      <c r="RKL55" s="13"/>
      <c r="RKM55" s="13"/>
      <c r="RKN55" s="13"/>
      <c r="RKO55" s="13"/>
      <c r="RKP55" s="13"/>
      <c r="RKQ55" s="13"/>
      <c r="RKR55" s="13"/>
      <c r="RKS55" s="13"/>
      <c r="RKT55" s="13"/>
      <c r="RKU55" s="13"/>
      <c r="RKV55" s="13"/>
      <c r="RKW55" s="13"/>
      <c r="RKX55" s="13"/>
      <c r="RKY55" s="13"/>
      <c r="RKZ55" s="13"/>
      <c r="RLA55" s="13"/>
      <c r="RLB55" s="13"/>
      <c r="RLC55" s="13"/>
      <c r="RLD55" s="13"/>
      <c r="RLE55" s="13"/>
      <c r="RLF55" s="13"/>
      <c r="RLG55" s="13"/>
      <c r="RLH55" s="13"/>
      <c r="RLI55" s="13"/>
      <c r="RLJ55" s="13"/>
      <c r="RLK55" s="13"/>
      <c r="RLL55" s="13"/>
      <c r="RLM55" s="13"/>
      <c r="RLN55" s="13"/>
      <c r="RLO55" s="13"/>
      <c r="RLP55" s="13"/>
      <c r="RLQ55" s="13"/>
      <c r="RLR55" s="13"/>
      <c r="RLS55" s="13"/>
      <c r="RLT55" s="13"/>
      <c r="RLU55" s="13"/>
      <c r="RLV55" s="13"/>
      <c r="RLW55" s="13"/>
      <c r="RLX55" s="13"/>
      <c r="RLY55" s="13"/>
      <c r="RLZ55" s="13"/>
      <c r="RMA55" s="13"/>
      <c r="RMB55" s="13"/>
      <c r="RMC55" s="13"/>
      <c r="RMD55" s="13"/>
      <c r="RME55" s="13"/>
      <c r="RMF55" s="13"/>
      <c r="RMG55" s="13"/>
      <c r="RMH55" s="13"/>
      <c r="RMI55" s="13"/>
      <c r="RMJ55" s="13"/>
      <c r="RMK55" s="13"/>
      <c r="RML55" s="13"/>
      <c r="RMM55" s="13"/>
      <c r="RMN55" s="13"/>
      <c r="RMO55" s="13"/>
      <c r="RMP55" s="13"/>
      <c r="RMQ55" s="13"/>
      <c r="RMR55" s="13"/>
      <c r="RMS55" s="13"/>
      <c r="RMT55" s="13"/>
      <c r="RMU55" s="13"/>
      <c r="RMV55" s="13"/>
      <c r="RMW55" s="13"/>
      <c r="RMX55" s="13"/>
      <c r="RMY55" s="13"/>
      <c r="RMZ55" s="13"/>
      <c r="RNA55" s="13"/>
      <c r="RNB55" s="13"/>
      <c r="RNC55" s="13"/>
      <c r="RND55" s="13"/>
      <c r="RNE55" s="13"/>
      <c r="RNF55" s="13"/>
      <c r="RNG55" s="13"/>
      <c r="RNH55" s="13"/>
      <c r="RNI55" s="13"/>
      <c r="RNJ55" s="13"/>
      <c r="RNK55" s="13"/>
      <c r="RNL55" s="13"/>
      <c r="RNM55" s="13"/>
      <c r="RNN55" s="13"/>
      <c r="RNO55" s="13"/>
      <c r="RNP55" s="13"/>
      <c r="RNQ55" s="13"/>
      <c r="RNR55" s="13"/>
      <c r="RNS55" s="13"/>
      <c r="RNT55" s="13"/>
      <c r="RNU55" s="13"/>
      <c r="RNV55" s="13"/>
      <c r="RNW55" s="13"/>
      <c r="RNX55" s="13"/>
      <c r="RNY55" s="13"/>
      <c r="RNZ55" s="13"/>
      <c r="ROA55" s="13"/>
      <c r="ROB55" s="13"/>
      <c r="ROC55" s="13"/>
      <c r="ROD55" s="13"/>
      <c r="ROE55" s="13"/>
      <c r="ROF55" s="13"/>
      <c r="ROG55" s="13"/>
      <c r="ROH55" s="13"/>
      <c r="ROI55" s="13"/>
      <c r="ROJ55" s="13"/>
      <c r="ROK55" s="13"/>
      <c r="ROL55" s="13"/>
      <c r="ROM55" s="13"/>
      <c r="RON55" s="13"/>
      <c r="ROO55" s="13"/>
      <c r="ROP55" s="13"/>
      <c r="ROQ55" s="13"/>
      <c r="ROR55" s="13"/>
      <c r="ROS55" s="13"/>
      <c r="ROT55" s="13"/>
      <c r="ROU55" s="13"/>
      <c r="ROV55" s="13"/>
      <c r="ROW55" s="13"/>
      <c r="ROX55" s="13"/>
      <c r="ROY55" s="13"/>
      <c r="ROZ55" s="13"/>
      <c r="RPA55" s="13"/>
      <c r="RPB55" s="13"/>
      <c r="RPC55" s="13"/>
      <c r="RPD55" s="13"/>
      <c r="RPE55" s="13"/>
      <c r="RPF55" s="13"/>
      <c r="RPG55" s="13"/>
      <c r="RPH55" s="13"/>
      <c r="RPI55" s="13"/>
      <c r="RPJ55" s="13"/>
      <c r="RPK55" s="13"/>
      <c r="RPL55" s="13"/>
      <c r="RPM55" s="13"/>
      <c r="RPN55" s="13"/>
      <c r="RPO55" s="13"/>
      <c r="RPP55" s="13"/>
      <c r="RPQ55" s="13"/>
      <c r="RPR55" s="13"/>
      <c r="RPS55" s="13"/>
      <c r="RPT55" s="13"/>
      <c r="RPU55" s="13"/>
      <c r="RPV55" s="13"/>
      <c r="RPW55" s="13"/>
      <c r="RPX55" s="13"/>
      <c r="RPY55" s="13"/>
      <c r="RPZ55" s="13"/>
      <c r="RQA55" s="13"/>
      <c r="RQB55" s="13"/>
      <c r="RQC55" s="13"/>
      <c r="RQD55" s="13"/>
      <c r="RQE55" s="13"/>
      <c r="RQF55" s="13"/>
      <c r="RQG55" s="13"/>
      <c r="RQH55" s="13"/>
      <c r="RQI55" s="13"/>
      <c r="RQJ55" s="13"/>
      <c r="RQK55" s="13"/>
      <c r="RQL55" s="13"/>
      <c r="RQM55" s="13"/>
      <c r="RQN55" s="13"/>
      <c r="RQO55" s="13"/>
      <c r="RQP55" s="13"/>
      <c r="RQQ55" s="13"/>
      <c r="RQR55" s="13"/>
      <c r="RQS55" s="13"/>
      <c r="RQT55" s="13"/>
      <c r="RQU55" s="13"/>
      <c r="RQV55" s="13"/>
      <c r="RQW55" s="13"/>
      <c r="RQX55" s="13"/>
      <c r="RQY55" s="13"/>
      <c r="RQZ55" s="13"/>
      <c r="RRA55" s="13"/>
      <c r="RRB55" s="13"/>
      <c r="RRC55" s="13"/>
      <c r="RRD55" s="13"/>
      <c r="RRE55" s="13"/>
      <c r="RRF55" s="13"/>
      <c r="RRG55" s="13"/>
      <c r="RRH55" s="13"/>
      <c r="RRI55" s="13"/>
      <c r="RRJ55" s="13"/>
      <c r="RRK55" s="13"/>
      <c r="RRL55" s="13"/>
      <c r="RRM55" s="13"/>
      <c r="RRN55" s="13"/>
      <c r="RRO55" s="13"/>
      <c r="RRP55" s="13"/>
      <c r="RRQ55" s="13"/>
      <c r="RRR55" s="13"/>
      <c r="RRS55" s="13"/>
      <c r="RRT55" s="13"/>
      <c r="RRU55" s="13"/>
      <c r="RRV55" s="13"/>
      <c r="RRW55" s="13"/>
      <c r="RRX55" s="13"/>
      <c r="RRY55" s="13"/>
      <c r="RRZ55" s="13"/>
      <c r="RSA55" s="13"/>
      <c r="RSB55" s="13"/>
      <c r="RSC55" s="13"/>
      <c r="RSD55" s="13"/>
      <c r="RSE55" s="13"/>
      <c r="RSF55" s="13"/>
      <c r="RSG55" s="13"/>
      <c r="RSH55" s="13"/>
      <c r="RSI55" s="13"/>
      <c r="RSJ55" s="13"/>
      <c r="RSK55" s="13"/>
      <c r="RSL55" s="13"/>
      <c r="RSM55" s="13"/>
      <c r="RSN55" s="13"/>
      <c r="RSO55" s="13"/>
      <c r="RSP55" s="13"/>
      <c r="RSQ55" s="13"/>
      <c r="RSR55" s="13"/>
      <c r="RSS55" s="13"/>
      <c r="RST55" s="13"/>
      <c r="RSU55" s="13"/>
      <c r="RSV55" s="13"/>
      <c r="RSW55" s="13"/>
      <c r="RSX55" s="13"/>
      <c r="RSY55" s="13"/>
      <c r="RSZ55" s="13"/>
      <c r="RTA55" s="13"/>
      <c r="RTB55" s="13"/>
      <c r="RTC55" s="13"/>
      <c r="RTD55" s="13"/>
      <c r="RTE55" s="13"/>
      <c r="RTF55" s="13"/>
      <c r="RTG55" s="13"/>
      <c r="RTH55" s="13"/>
      <c r="RTI55" s="13"/>
      <c r="RTJ55" s="13"/>
      <c r="RTK55" s="13"/>
      <c r="RTL55" s="13"/>
      <c r="RTM55" s="13"/>
      <c r="RTN55" s="13"/>
      <c r="RTO55" s="13"/>
      <c r="RTP55" s="13"/>
      <c r="RTQ55" s="13"/>
      <c r="RTR55" s="13"/>
      <c r="RTS55" s="13"/>
      <c r="RTT55" s="13"/>
      <c r="RTU55" s="13"/>
      <c r="RTV55" s="13"/>
      <c r="RTW55" s="13"/>
      <c r="RTX55" s="13"/>
      <c r="RTY55" s="13"/>
      <c r="RTZ55" s="13"/>
      <c r="RUA55" s="13"/>
      <c r="RUB55" s="13"/>
      <c r="RUC55" s="13"/>
      <c r="RUD55" s="13"/>
      <c r="RUE55" s="13"/>
      <c r="RUF55" s="13"/>
      <c r="RUG55" s="13"/>
      <c r="RUH55" s="13"/>
      <c r="RUI55" s="13"/>
      <c r="RUJ55" s="13"/>
      <c r="RUK55" s="13"/>
      <c r="RUL55" s="13"/>
      <c r="RUM55" s="13"/>
      <c r="RUN55" s="13"/>
      <c r="RUO55" s="13"/>
      <c r="RUP55" s="13"/>
      <c r="RUQ55" s="13"/>
      <c r="RUR55" s="13"/>
      <c r="RUS55" s="13"/>
      <c r="RUT55" s="13"/>
      <c r="RUU55" s="13"/>
      <c r="RUV55" s="13"/>
      <c r="RUW55" s="13"/>
      <c r="RUX55" s="13"/>
      <c r="RUY55" s="13"/>
      <c r="RUZ55" s="13"/>
      <c r="RVA55" s="13"/>
      <c r="RVB55" s="13"/>
      <c r="RVC55" s="13"/>
      <c r="RVD55" s="13"/>
      <c r="RVE55" s="13"/>
      <c r="RVF55" s="13"/>
      <c r="RVG55" s="13"/>
      <c r="RVH55" s="13"/>
      <c r="RVI55" s="13"/>
      <c r="RVJ55" s="13"/>
      <c r="RVK55" s="13"/>
      <c r="RVL55" s="13"/>
      <c r="RVM55" s="13"/>
      <c r="RVN55" s="13"/>
      <c r="RVO55" s="13"/>
      <c r="RVP55" s="13"/>
      <c r="RVQ55" s="13"/>
      <c r="RVR55" s="13"/>
      <c r="RVS55" s="13"/>
      <c r="RVT55" s="13"/>
      <c r="RVU55" s="13"/>
      <c r="RVV55" s="13"/>
      <c r="RVW55" s="13"/>
      <c r="RVX55" s="13"/>
      <c r="RVY55" s="13"/>
      <c r="RVZ55" s="13"/>
      <c r="RWA55" s="13"/>
      <c r="RWB55" s="13"/>
      <c r="RWC55" s="13"/>
      <c r="RWD55" s="13"/>
      <c r="RWE55" s="13"/>
      <c r="RWF55" s="13"/>
      <c r="RWG55" s="13"/>
      <c r="RWH55" s="13"/>
      <c r="RWI55" s="13"/>
      <c r="RWJ55" s="13"/>
      <c r="RWK55" s="13"/>
      <c r="RWL55" s="13"/>
      <c r="RWM55" s="13"/>
      <c r="RWN55" s="13"/>
      <c r="RWO55" s="13"/>
      <c r="RWP55" s="13"/>
      <c r="RWQ55" s="13"/>
      <c r="RWR55" s="13"/>
      <c r="RWS55" s="13"/>
      <c r="RWT55" s="13"/>
      <c r="RWU55" s="13"/>
      <c r="RWV55" s="13"/>
      <c r="RWW55" s="13"/>
      <c r="RWX55" s="13"/>
      <c r="RWY55" s="13"/>
      <c r="RWZ55" s="13"/>
      <c r="RXA55" s="13"/>
      <c r="RXB55" s="13"/>
      <c r="RXC55" s="13"/>
      <c r="RXD55" s="13"/>
      <c r="RXE55" s="13"/>
      <c r="RXF55" s="13"/>
      <c r="RXG55" s="13"/>
      <c r="RXH55" s="13"/>
      <c r="RXI55" s="13"/>
      <c r="RXJ55" s="13"/>
      <c r="RXK55" s="13"/>
      <c r="RXL55" s="13"/>
      <c r="RXM55" s="13"/>
      <c r="RXN55" s="13"/>
      <c r="RXO55" s="13"/>
      <c r="RXP55" s="13"/>
      <c r="RXQ55" s="13"/>
      <c r="RXR55" s="13"/>
      <c r="RXS55" s="13"/>
      <c r="RXT55" s="13"/>
      <c r="RXU55" s="13"/>
      <c r="RXV55" s="13"/>
      <c r="RXW55" s="13"/>
      <c r="RXX55" s="13"/>
      <c r="RXY55" s="13"/>
      <c r="RXZ55" s="13"/>
      <c r="RYA55" s="13"/>
      <c r="RYB55" s="13"/>
      <c r="RYC55" s="13"/>
      <c r="RYD55" s="13"/>
      <c r="RYE55" s="13"/>
      <c r="RYF55" s="13"/>
      <c r="RYG55" s="13"/>
      <c r="RYH55" s="13"/>
      <c r="RYI55" s="13"/>
      <c r="RYJ55" s="13"/>
      <c r="RYK55" s="13"/>
      <c r="RYL55" s="13"/>
      <c r="RYM55" s="13"/>
      <c r="RYN55" s="13"/>
      <c r="RYO55" s="13"/>
      <c r="RYP55" s="13"/>
      <c r="RYQ55" s="13"/>
      <c r="RYR55" s="13"/>
      <c r="RYS55" s="13"/>
      <c r="RYT55" s="13"/>
      <c r="RYU55" s="13"/>
      <c r="RYV55" s="13"/>
      <c r="RYW55" s="13"/>
      <c r="RYX55" s="13"/>
      <c r="RYY55" s="13"/>
      <c r="RYZ55" s="13"/>
      <c r="RZA55" s="13"/>
      <c r="RZB55" s="13"/>
      <c r="RZC55" s="13"/>
      <c r="RZD55" s="13"/>
      <c r="RZE55" s="13"/>
      <c r="RZF55" s="13"/>
      <c r="RZG55" s="13"/>
      <c r="RZH55" s="13"/>
      <c r="RZI55" s="13"/>
      <c r="RZJ55" s="13"/>
      <c r="RZK55" s="13"/>
      <c r="RZL55" s="13"/>
      <c r="RZM55" s="13"/>
      <c r="RZN55" s="13"/>
      <c r="RZO55" s="13"/>
      <c r="RZP55" s="13"/>
      <c r="RZQ55" s="13"/>
      <c r="RZR55" s="13"/>
      <c r="RZS55" s="13"/>
      <c r="RZT55" s="13"/>
      <c r="RZU55" s="13"/>
      <c r="RZV55" s="13"/>
      <c r="RZW55" s="13"/>
      <c r="RZX55" s="13"/>
      <c r="RZY55" s="13"/>
      <c r="RZZ55" s="13"/>
      <c r="SAA55" s="13"/>
      <c r="SAB55" s="13"/>
      <c r="SAC55" s="13"/>
      <c r="SAD55" s="13"/>
      <c r="SAE55" s="13"/>
      <c r="SAF55" s="13"/>
      <c r="SAG55" s="13"/>
      <c r="SAH55" s="13"/>
      <c r="SAI55" s="13"/>
      <c r="SAJ55" s="13"/>
      <c r="SAK55" s="13"/>
      <c r="SAL55" s="13"/>
      <c r="SAM55" s="13"/>
      <c r="SAN55" s="13"/>
      <c r="SAO55" s="13"/>
      <c r="SAP55" s="13"/>
      <c r="SAQ55" s="13"/>
      <c r="SAR55" s="13"/>
      <c r="SAS55" s="13"/>
      <c r="SAT55" s="13"/>
      <c r="SAU55" s="13"/>
      <c r="SAV55" s="13"/>
      <c r="SAW55" s="13"/>
      <c r="SAX55" s="13"/>
      <c r="SAY55" s="13"/>
      <c r="SAZ55" s="13"/>
      <c r="SBA55" s="13"/>
      <c r="SBB55" s="13"/>
      <c r="SBC55" s="13"/>
      <c r="SBD55" s="13"/>
      <c r="SBE55" s="13"/>
      <c r="SBF55" s="13"/>
      <c r="SBG55" s="13"/>
      <c r="SBH55" s="13"/>
      <c r="SBI55" s="13"/>
      <c r="SBJ55" s="13"/>
      <c r="SBK55" s="13"/>
      <c r="SBL55" s="13"/>
      <c r="SBM55" s="13"/>
      <c r="SBN55" s="13"/>
      <c r="SBO55" s="13"/>
      <c r="SBP55" s="13"/>
      <c r="SBQ55" s="13"/>
      <c r="SBR55" s="13"/>
      <c r="SBS55" s="13"/>
      <c r="SBT55" s="13"/>
      <c r="SBU55" s="13"/>
      <c r="SBV55" s="13"/>
      <c r="SBW55" s="13"/>
      <c r="SBX55" s="13"/>
      <c r="SBY55" s="13"/>
      <c r="SBZ55" s="13"/>
      <c r="SCA55" s="13"/>
      <c r="SCB55" s="13"/>
      <c r="SCC55" s="13"/>
      <c r="SCD55" s="13"/>
      <c r="SCE55" s="13"/>
      <c r="SCF55" s="13"/>
      <c r="SCG55" s="13"/>
      <c r="SCH55" s="13"/>
      <c r="SCI55" s="13"/>
      <c r="SCJ55" s="13"/>
      <c r="SCK55" s="13"/>
      <c r="SCL55" s="13"/>
      <c r="SCM55" s="13"/>
      <c r="SCN55" s="13"/>
      <c r="SCO55" s="13"/>
      <c r="SCP55" s="13"/>
      <c r="SCQ55" s="13"/>
      <c r="SCR55" s="13"/>
      <c r="SCS55" s="13"/>
      <c r="SCT55" s="13"/>
      <c r="SCU55" s="13"/>
      <c r="SCV55" s="13"/>
      <c r="SCW55" s="13"/>
      <c r="SCX55" s="13"/>
      <c r="SCY55" s="13"/>
      <c r="SCZ55" s="13"/>
      <c r="SDA55" s="13"/>
      <c r="SDB55" s="13"/>
      <c r="SDC55" s="13"/>
      <c r="SDD55" s="13"/>
      <c r="SDE55" s="13"/>
      <c r="SDF55" s="13"/>
      <c r="SDG55" s="13"/>
      <c r="SDH55" s="13"/>
      <c r="SDI55" s="13"/>
      <c r="SDJ55" s="13"/>
      <c r="SDK55" s="13"/>
      <c r="SDL55" s="13"/>
      <c r="SDM55" s="13"/>
      <c r="SDN55" s="13"/>
      <c r="SDO55" s="13"/>
      <c r="SDP55" s="13"/>
      <c r="SDQ55" s="13"/>
      <c r="SDR55" s="13"/>
      <c r="SDS55" s="13"/>
      <c r="SDT55" s="13"/>
      <c r="SDU55" s="13"/>
      <c r="SDV55" s="13"/>
      <c r="SDW55" s="13"/>
      <c r="SDX55" s="13"/>
      <c r="SDY55" s="13"/>
      <c r="SDZ55" s="13"/>
      <c r="SEA55" s="13"/>
      <c r="SEB55" s="13"/>
      <c r="SEC55" s="13"/>
      <c r="SED55" s="13"/>
      <c r="SEE55" s="13"/>
      <c r="SEF55" s="13"/>
      <c r="SEG55" s="13"/>
      <c r="SEH55" s="13"/>
      <c r="SEI55" s="13"/>
      <c r="SEJ55" s="13"/>
      <c r="SEK55" s="13"/>
      <c r="SEL55" s="13"/>
      <c r="SEM55" s="13"/>
      <c r="SEN55" s="13"/>
      <c r="SEO55" s="13"/>
      <c r="SEP55" s="13"/>
      <c r="SEQ55" s="13"/>
      <c r="SER55" s="13"/>
      <c r="SES55" s="13"/>
      <c r="SET55" s="13"/>
      <c r="SEU55" s="13"/>
      <c r="SEV55" s="13"/>
      <c r="SEW55" s="13"/>
      <c r="SEX55" s="13"/>
      <c r="SEY55" s="13"/>
      <c r="SEZ55" s="13"/>
      <c r="SFA55" s="13"/>
      <c r="SFB55" s="13"/>
      <c r="SFC55" s="13"/>
      <c r="SFD55" s="13"/>
      <c r="SFE55" s="13"/>
      <c r="SFF55" s="13"/>
      <c r="SFG55" s="13"/>
      <c r="SFH55" s="13"/>
      <c r="SFI55" s="13"/>
      <c r="SFJ55" s="13"/>
      <c r="SFK55" s="13"/>
      <c r="SFL55" s="13"/>
      <c r="SFM55" s="13"/>
      <c r="SFN55" s="13"/>
      <c r="SFO55" s="13"/>
      <c r="SFP55" s="13"/>
      <c r="SFQ55" s="13"/>
      <c r="SFR55" s="13"/>
      <c r="SFS55" s="13"/>
      <c r="SFT55" s="13"/>
      <c r="SFU55" s="13"/>
      <c r="SFV55" s="13"/>
      <c r="SFW55" s="13"/>
      <c r="SFX55" s="13"/>
      <c r="SFY55" s="13"/>
      <c r="SFZ55" s="13"/>
      <c r="SGA55" s="13"/>
      <c r="SGB55" s="13"/>
      <c r="SGC55" s="13"/>
      <c r="SGD55" s="13"/>
      <c r="SGE55" s="13"/>
      <c r="SGF55" s="13"/>
      <c r="SGG55" s="13"/>
      <c r="SGH55" s="13"/>
      <c r="SGI55" s="13"/>
      <c r="SGJ55" s="13"/>
      <c r="SGK55" s="13"/>
      <c r="SGL55" s="13"/>
      <c r="SGM55" s="13"/>
      <c r="SGN55" s="13"/>
      <c r="SGO55" s="13"/>
      <c r="SGP55" s="13"/>
      <c r="SGQ55" s="13"/>
      <c r="SGR55" s="13"/>
      <c r="SGS55" s="13"/>
      <c r="SGT55" s="13"/>
      <c r="SGU55" s="13"/>
      <c r="SGV55" s="13"/>
      <c r="SGW55" s="13"/>
      <c r="SGX55" s="13"/>
      <c r="SGY55" s="13"/>
      <c r="SGZ55" s="13"/>
      <c r="SHA55" s="13"/>
      <c r="SHB55" s="13"/>
      <c r="SHC55" s="13"/>
      <c r="SHD55" s="13"/>
      <c r="SHE55" s="13"/>
      <c r="SHF55" s="13"/>
      <c r="SHG55" s="13"/>
      <c r="SHH55" s="13"/>
      <c r="SHI55" s="13"/>
      <c r="SHJ55" s="13"/>
      <c r="SHK55" s="13"/>
      <c r="SHL55" s="13"/>
      <c r="SHM55" s="13"/>
      <c r="SHN55" s="13"/>
      <c r="SHO55" s="13"/>
      <c r="SHP55" s="13"/>
      <c r="SHQ55" s="13"/>
      <c r="SHR55" s="13"/>
      <c r="SHS55" s="13"/>
      <c r="SHT55" s="13"/>
      <c r="SHU55" s="13"/>
      <c r="SHV55" s="13"/>
      <c r="SHW55" s="13"/>
      <c r="SHX55" s="13"/>
      <c r="SHY55" s="13"/>
      <c r="SHZ55" s="13"/>
      <c r="SIA55" s="13"/>
      <c r="SIB55" s="13"/>
      <c r="SIC55" s="13"/>
      <c r="SID55" s="13"/>
      <c r="SIE55" s="13"/>
      <c r="SIF55" s="13"/>
      <c r="SIG55" s="13"/>
      <c r="SIH55" s="13"/>
      <c r="SII55" s="13"/>
      <c r="SIJ55" s="13"/>
      <c r="SIK55" s="13"/>
      <c r="SIL55" s="13"/>
      <c r="SIM55" s="13"/>
      <c r="SIN55" s="13"/>
      <c r="SIO55" s="13"/>
      <c r="SIP55" s="13"/>
      <c r="SIQ55" s="13"/>
      <c r="SIR55" s="13"/>
      <c r="SIS55" s="13"/>
      <c r="SIT55" s="13"/>
      <c r="SIU55" s="13"/>
      <c r="SIV55" s="13"/>
      <c r="SIW55" s="13"/>
      <c r="SIX55" s="13"/>
      <c r="SIY55" s="13"/>
      <c r="SIZ55" s="13"/>
      <c r="SJA55" s="13"/>
      <c r="SJB55" s="13"/>
      <c r="SJC55" s="13"/>
      <c r="SJD55" s="13"/>
      <c r="SJE55" s="13"/>
      <c r="SJF55" s="13"/>
      <c r="SJG55" s="13"/>
      <c r="SJH55" s="13"/>
      <c r="SJI55" s="13"/>
      <c r="SJJ55" s="13"/>
      <c r="SJK55" s="13"/>
      <c r="SJL55" s="13"/>
      <c r="SJM55" s="13"/>
      <c r="SJN55" s="13"/>
      <c r="SJO55" s="13"/>
      <c r="SJP55" s="13"/>
      <c r="SJQ55" s="13"/>
      <c r="SJR55" s="13"/>
      <c r="SJS55" s="13"/>
      <c r="SJT55" s="13"/>
      <c r="SJU55" s="13"/>
      <c r="SJV55" s="13"/>
      <c r="SJW55" s="13"/>
      <c r="SJX55" s="13"/>
      <c r="SJY55" s="13"/>
      <c r="SJZ55" s="13"/>
      <c r="SKA55" s="13"/>
      <c r="SKB55" s="13"/>
      <c r="SKC55" s="13"/>
      <c r="SKD55" s="13"/>
      <c r="SKE55" s="13"/>
      <c r="SKF55" s="13"/>
      <c r="SKG55" s="13"/>
      <c r="SKH55" s="13"/>
      <c r="SKI55" s="13"/>
      <c r="SKJ55" s="13"/>
      <c r="SKK55" s="13"/>
      <c r="SKL55" s="13"/>
      <c r="SKM55" s="13"/>
      <c r="SKN55" s="13"/>
      <c r="SKO55" s="13"/>
      <c r="SKP55" s="13"/>
      <c r="SKQ55" s="13"/>
      <c r="SKR55" s="13"/>
      <c r="SKS55" s="13"/>
      <c r="SKT55" s="13"/>
      <c r="SKU55" s="13"/>
      <c r="SKV55" s="13"/>
      <c r="SKW55" s="13"/>
      <c r="SKX55" s="13"/>
      <c r="SKY55" s="13"/>
      <c r="SKZ55" s="13"/>
      <c r="SLA55" s="13"/>
      <c r="SLB55" s="13"/>
      <c r="SLC55" s="13"/>
      <c r="SLD55" s="13"/>
      <c r="SLE55" s="13"/>
      <c r="SLF55" s="13"/>
      <c r="SLG55" s="13"/>
      <c r="SLH55" s="13"/>
      <c r="SLI55" s="13"/>
      <c r="SLJ55" s="13"/>
      <c r="SLK55" s="13"/>
      <c r="SLL55" s="13"/>
      <c r="SLM55" s="13"/>
      <c r="SLN55" s="13"/>
      <c r="SLO55" s="13"/>
      <c r="SLP55" s="13"/>
      <c r="SLQ55" s="13"/>
      <c r="SLR55" s="13"/>
      <c r="SLS55" s="13"/>
      <c r="SLT55" s="13"/>
      <c r="SLU55" s="13"/>
      <c r="SLV55" s="13"/>
      <c r="SLW55" s="13"/>
      <c r="SLX55" s="13"/>
      <c r="SLY55" s="13"/>
      <c r="SLZ55" s="13"/>
      <c r="SMA55" s="13"/>
      <c r="SMB55" s="13"/>
      <c r="SMC55" s="13"/>
      <c r="SMD55" s="13"/>
      <c r="SME55" s="13"/>
      <c r="SMF55" s="13"/>
      <c r="SMG55" s="13"/>
      <c r="SMH55" s="13"/>
      <c r="SMI55" s="13"/>
      <c r="SMJ55" s="13"/>
      <c r="SMK55" s="13"/>
      <c r="SML55" s="13"/>
      <c r="SMM55" s="13"/>
      <c r="SMN55" s="13"/>
      <c r="SMO55" s="13"/>
      <c r="SMP55" s="13"/>
      <c r="SMQ55" s="13"/>
      <c r="SMR55" s="13"/>
      <c r="SMS55" s="13"/>
      <c r="SMT55" s="13"/>
      <c r="SMU55" s="13"/>
      <c r="SMV55" s="13"/>
      <c r="SMW55" s="13"/>
      <c r="SMX55" s="13"/>
      <c r="SMY55" s="13"/>
      <c r="SMZ55" s="13"/>
      <c r="SNA55" s="13"/>
      <c r="SNB55" s="13"/>
      <c r="SNC55" s="13"/>
      <c r="SND55" s="13"/>
      <c r="SNE55" s="13"/>
      <c r="SNF55" s="13"/>
      <c r="SNG55" s="13"/>
      <c r="SNH55" s="13"/>
      <c r="SNI55" s="13"/>
      <c r="SNJ55" s="13"/>
      <c r="SNK55" s="13"/>
      <c r="SNL55" s="13"/>
      <c r="SNM55" s="13"/>
      <c r="SNN55" s="13"/>
      <c r="SNO55" s="13"/>
      <c r="SNP55" s="13"/>
      <c r="SNQ55" s="13"/>
      <c r="SNR55" s="13"/>
      <c r="SNS55" s="13"/>
      <c r="SNT55" s="13"/>
      <c r="SNU55" s="13"/>
      <c r="SNV55" s="13"/>
      <c r="SNW55" s="13"/>
      <c r="SNX55" s="13"/>
      <c r="SNY55" s="13"/>
      <c r="SNZ55" s="13"/>
      <c r="SOA55" s="13"/>
      <c r="SOB55" s="13"/>
      <c r="SOC55" s="13"/>
      <c r="SOD55" s="13"/>
      <c r="SOE55" s="13"/>
      <c r="SOF55" s="13"/>
      <c r="SOG55" s="13"/>
      <c r="SOH55" s="13"/>
      <c r="SOI55" s="13"/>
      <c r="SOJ55" s="13"/>
      <c r="SOK55" s="13"/>
      <c r="SOL55" s="13"/>
      <c r="SOM55" s="13"/>
      <c r="SON55" s="13"/>
      <c r="SOO55" s="13"/>
      <c r="SOP55" s="13"/>
      <c r="SOQ55" s="13"/>
      <c r="SOR55" s="13"/>
      <c r="SOS55" s="13"/>
      <c r="SOT55" s="13"/>
      <c r="SOU55" s="13"/>
      <c r="SOV55" s="13"/>
      <c r="SOW55" s="13"/>
      <c r="SOX55" s="13"/>
      <c r="SOY55" s="13"/>
      <c r="SOZ55" s="13"/>
      <c r="SPA55" s="13"/>
      <c r="SPB55" s="13"/>
      <c r="SPC55" s="13"/>
      <c r="SPD55" s="13"/>
      <c r="SPE55" s="13"/>
      <c r="SPF55" s="13"/>
      <c r="SPG55" s="13"/>
      <c r="SPH55" s="13"/>
      <c r="SPI55" s="13"/>
      <c r="SPJ55" s="13"/>
      <c r="SPK55" s="13"/>
      <c r="SPL55" s="13"/>
      <c r="SPM55" s="13"/>
      <c r="SPN55" s="13"/>
      <c r="SPO55" s="13"/>
      <c r="SPP55" s="13"/>
      <c r="SPQ55" s="13"/>
      <c r="SPR55" s="13"/>
      <c r="SPS55" s="13"/>
      <c r="SPT55" s="13"/>
      <c r="SPU55" s="13"/>
      <c r="SPV55" s="13"/>
      <c r="SPW55" s="13"/>
      <c r="SPX55" s="13"/>
      <c r="SPY55" s="13"/>
      <c r="SPZ55" s="13"/>
      <c r="SQA55" s="13"/>
      <c r="SQB55" s="13"/>
      <c r="SQC55" s="13"/>
      <c r="SQD55" s="13"/>
      <c r="SQE55" s="13"/>
      <c r="SQF55" s="13"/>
      <c r="SQG55" s="13"/>
      <c r="SQH55" s="13"/>
      <c r="SQI55" s="13"/>
      <c r="SQJ55" s="13"/>
      <c r="SQK55" s="13"/>
      <c r="SQL55" s="13"/>
      <c r="SQM55" s="13"/>
      <c r="SQN55" s="13"/>
      <c r="SQO55" s="13"/>
      <c r="SQP55" s="13"/>
      <c r="SQQ55" s="13"/>
      <c r="SQR55" s="13"/>
      <c r="SQS55" s="13"/>
      <c r="SQT55" s="13"/>
      <c r="SQU55" s="13"/>
      <c r="SQV55" s="13"/>
      <c r="SQW55" s="13"/>
      <c r="SQX55" s="13"/>
      <c r="SQY55" s="13"/>
      <c r="SQZ55" s="13"/>
      <c r="SRA55" s="13"/>
      <c r="SRB55" s="13"/>
      <c r="SRC55" s="13"/>
      <c r="SRD55" s="13"/>
      <c r="SRE55" s="13"/>
      <c r="SRF55" s="13"/>
      <c r="SRG55" s="13"/>
      <c r="SRH55" s="13"/>
      <c r="SRI55" s="13"/>
      <c r="SRJ55" s="13"/>
      <c r="SRK55" s="13"/>
      <c r="SRL55" s="13"/>
      <c r="SRM55" s="13"/>
      <c r="SRN55" s="13"/>
      <c r="SRO55" s="13"/>
      <c r="SRP55" s="13"/>
      <c r="SRQ55" s="13"/>
      <c r="SRR55" s="13"/>
      <c r="SRS55" s="13"/>
      <c r="SRT55" s="13"/>
      <c r="SRU55" s="13"/>
      <c r="SRV55" s="13"/>
      <c r="SRW55" s="13"/>
      <c r="SRX55" s="13"/>
      <c r="SRY55" s="13"/>
      <c r="SRZ55" s="13"/>
      <c r="SSA55" s="13"/>
      <c r="SSB55" s="13"/>
      <c r="SSC55" s="13"/>
      <c r="SSD55" s="13"/>
      <c r="SSE55" s="13"/>
      <c r="SSF55" s="13"/>
      <c r="SSG55" s="13"/>
      <c r="SSH55" s="13"/>
      <c r="SSI55" s="13"/>
      <c r="SSJ55" s="13"/>
      <c r="SSK55" s="13"/>
      <c r="SSL55" s="13"/>
      <c r="SSM55" s="13"/>
      <c r="SSN55" s="13"/>
      <c r="SSO55" s="13"/>
      <c r="SSP55" s="13"/>
      <c r="SSQ55" s="13"/>
      <c r="SSR55" s="13"/>
      <c r="SSS55" s="13"/>
      <c r="SST55" s="13"/>
      <c r="SSU55" s="13"/>
      <c r="SSV55" s="13"/>
      <c r="SSW55" s="13"/>
      <c r="SSX55" s="13"/>
      <c r="SSY55" s="13"/>
      <c r="SSZ55" s="13"/>
      <c r="STA55" s="13"/>
      <c r="STB55" s="13"/>
      <c r="STC55" s="13"/>
      <c r="STD55" s="13"/>
      <c r="STE55" s="13"/>
      <c r="STF55" s="13"/>
      <c r="STG55" s="13"/>
      <c r="STH55" s="13"/>
      <c r="STI55" s="13"/>
      <c r="STJ55" s="13"/>
      <c r="STK55" s="13"/>
      <c r="STL55" s="13"/>
      <c r="STM55" s="13"/>
      <c r="STN55" s="13"/>
      <c r="STO55" s="13"/>
      <c r="STP55" s="13"/>
      <c r="STQ55" s="13"/>
      <c r="STR55" s="13"/>
      <c r="STS55" s="13"/>
      <c r="STT55" s="13"/>
      <c r="STU55" s="13"/>
      <c r="STV55" s="13"/>
      <c r="STW55" s="13"/>
      <c r="STX55" s="13"/>
      <c r="STY55" s="13"/>
      <c r="STZ55" s="13"/>
      <c r="SUA55" s="13"/>
      <c r="SUB55" s="13"/>
      <c r="SUC55" s="13"/>
      <c r="SUD55" s="13"/>
      <c r="SUE55" s="13"/>
      <c r="SUF55" s="13"/>
      <c r="SUG55" s="13"/>
      <c r="SUH55" s="13"/>
      <c r="SUI55" s="13"/>
      <c r="SUJ55" s="13"/>
      <c r="SUK55" s="13"/>
      <c r="SUL55" s="13"/>
      <c r="SUM55" s="13"/>
      <c r="SUN55" s="13"/>
      <c r="SUO55" s="13"/>
      <c r="SUP55" s="13"/>
      <c r="SUQ55" s="13"/>
      <c r="SUR55" s="13"/>
      <c r="SUS55" s="13"/>
      <c r="SUT55" s="13"/>
      <c r="SUU55" s="13"/>
      <c r="SUV55" s="13"/>
      <c r="SUW55" s="13"/>
      <c r="SUX55" s="13"/>
      <c r="SUY55" s="13"/>
      <c r="SUZ55" s="13"/>
      <c r="SVA55" s="13"/>
      <c r="SVB55" s="13"/>
      <c r="SVC55" s="13"/>
      <c r="SVD55" s="13"/>
      <c r="SVE55" s="13"/>
      <c r="SVF55" s="13"/>
      <c r="SVG55" s="13"/>
      <c r="SVH55" s="13"/>
      <c r="SVI55" s="13"/>
      <c r="SVJ55" s="13"/>
      <c r="SVK55" s="13"/>
      <c r="SVL55" s="13"/>
      <c r="SVM55" s="13"/>
      <c r="SVN55" s="13"/>
      <c r="SVO55" s="13"/>
      <c r="SVP55" s="13"/>
      <c r="SVQ55" s="13"/>
      <c r="SVR55" s="13"/>
      <c r="SVS55" s="13"/>
      <c r="SVT55" s="13"/>
      <c r="SVU55" s="13"/>
      <c r="SVV55" s="13"/>
      <c r="SVW55" s="13"/>
      <c r="SVX55" s="13"/>
      <c r="SVY55" s="13"/>
      <c r="SVZ55" s="13"/>
      <c r="SWA55" s="13"/>
      <c r="SWB55" s="13"/>
      <c r="SWC55" s="13"/>
      <c r="SWD55" s="13"/>
      <c r="SWE55" s="13"/>
      <c r="SWF55" s="13"/>
      <c r="SWG55" s="13"/>
      <c r="SWH55" s="13"/>
      <c r="SWI55" s="13"/>
      <c r="SWJ55" s="13"/>
      <c r="SWK55" s="13"/>
      <c r="SWL55" s="13"/>
      <c r="SWM55" s="13"/>
      <c r="SWN55" s="13"/>
      <c r="SWO55" s="13"/>
      <c r="SWP55" s="13"/>
      <c r="SWQ55" s="13"/>
      <c r="SWR55" s="13"/>
      <c r="SWS55" s="13"/>
      <c r="SWT55" s="13"/>
      <c r="SWU55" s="13"/>
      <c r="SWV55" s="13"/>
      <c r="SWW55" s="13"/>
      <c r="SWX55" s="13"/>
      <c r="SWY55" s="13"/>
      <c r="SWZ55" s="13"/>
      <c r="SXA55" s="13"/>
      <c r="SXB55" s="13"/>
      <c r="SXC55" s="13"/>
      <c r="SXD55" s="13"/>
      <c r="SXE55" s="13"/>
      <c r="SXF55" s="13"/>
      <c r="SXG55" s="13"/>
      <c r="SXH55" s="13"/>
      <c r="SXI55" s="13"/>
      <c r="SXJ55" s="13"/>
      <c r="SXK55" s="13"/>
      <c r="SXL55" s="13"/>
      <c r="SXM55" s="13"/>
      <c r="SXN55" s="13"/>
      <c r="SXO55" s="13"/>
      <c r="SXP55" s="13"/>
      <c r="SXQ55" s="13"/>
      <c r="SXR55" s="13"/>
      <c r="SXS55" s="13"/>
      <c r="SXT55" s="13"/>
      <c r="SXU55" s="13"/>
      <c r="SXV55" s="13"/>
      <c r="SXW55" s="13"/>
      <c r="SXX55" s="13"/>
      <c r="SXY55" s="13"/>
      <c r="SXZ55" s="13"/>
      <c r="SYA55" s="13"/>
      <c r="SYB55" s="13"/>
      <c r="SYC55" s="13"/>
      <c r="SYD55" s="13"/>
      <c r="SYE55" s="13"/>
      <c r="SYF55" s="13"/>
      <c r="SYG55" s="13"/>
      <c r="SYH55" s="13"/>
      <c r="SYI55" s="13"/>
      <c r="SYJ55" s="13"/>
      <c r="SYK55" s="13"/>
      <c r="SYL55" s="13"/>
      <c r="SYM55" s="13"/>
      <c r="SYN55" s="13"/>
      <c r="SYO55" s="13"/>
      <c r="SYP55" s="13"/>
      <c r="SYQ55" s="13"/>
      <c r="SYR55" s="13"/>
      <c r="SYS55" s="13"/>
      <c r="SYT55" s="13"/>
      <c r="SYU55" s="13"/>
      <c r="SYV55" s="13"/>
      <c r="SYW55" s="13"/>
      <c r="SYX55" s="13"/>
      <c r="SYY55" s="13"/>
      <c r="SYZ55" s="13"/>
      <c r="SZA55" s="13"/>
      <c r="SZB55" s="13"/>
      <c r="SZC55" s="13"/>
      <c r="SZD55" s="13"/>
      <c r="SZE55" s="13"/>
      <c r="SZF55" s="13"/>
      <c r="SZG55" s="13"/>
      <c r="SZH55" s="13"/>
      <c r="SZI55" s="13"/>
      <c r="SZJ55" s="13"/>
      <c r="SZK55" s="13"/>
      <c r="SZL55" s="13"/>
      <c r="SZM55" s="13"/>
      <c r="SZN55" s="13"/>
      <c r="SZO55" s="13"/>
      <c r="SZP55" s="13"/>
      <c r="SZQ55" s="13"/>
      <c r="SZR55" s="13"/>
      <c r="SZS55" s="13"/>
      <c r="SZT55" s="13"/>
      <c r="SZU55" s="13"/>
      <c r="SZV55" s="13"/>
      <c r="SZW55" s="13"/>
      <c r="SZX55" s="13"/>
      <c r="SZY55" s="13"/>
      <c r="SZZ55" s="13"/>
      <c r="TAA55" s="13"/>
      <c r="TAB55" s="13"/>
      <c r="TAC55" s="13"/>
      <c r="TAD55" s="13"/>
      <c r="TAE55" s="13"/>
      <c r="TAF55" s="13"/>
      <c r="TAG55" s="13"/>
      <c r="TAH55" s="13"/>
      <c r="TAI55" s="13"/>
      <c r="TAJ55" s="13"/>
      <c r="TAK55" s="13"/>
      <c r="TAL55" s="13"/>
      <c r="TAM55" s="13"/>
      <c r="TAN55" s="13"/>
      <c r="TAO55" s="13"/>
      <c r="TAP55" s="13"/>
      <c r="TAQ55" s="13"/>
      <c r="TAR55" s="13"/>
      <c r="TAS55" s="13"/>
      <c r="TAT55" s="13"/>
      <c r="TAU55" s="13"/>
      <c r="TAV55" s="13"/>
      <c r="TAW55" s="13"/>
      <c r="TAX55" s="13"/>
      <c r="TAY55" s="13"/>
      <c r="TAZ55" s="13"/>
      <c r="TBA55" s="13"/>
      <c r="TBB55" s="13"/>
      <c r="TBC55" s="13"/>
      <c r="TBD55" s="13"/>
      <c r="TBE55" s="13"/>
      <c r="TBF55" s="13"/>
      <c r="TBG55" s="13"/>
      <c r="TBH55" s="13"/>
      <c r="TBI55" s="13"/>
      <c r="TBJ55" s="13"/>
      <c r="TBK55" s="13"/>
      <c r="TBL55" s="13"/>
      <c r="TBM55" s="13"/>
      <c r="TBN55" s="13"/>
      <c r="TBO55" s="13"/>
      <c r="TBP55" s="13"/>
      <c r="TBQ55" s="13"/>
      <c r="TBR55" s="13"/>
      <c r="TBS55" s="13"/>
      <c r="TBT55" s="13"/>
      <c r="TBU55" s="13"/>
      <c r="TBV55" s="13"/>
      <c r="TBW55" s="13"/>
      <c r="TBX55" s="13"/>
      <c r="TBY55" s="13"/>
      <c r="TBZ55" s="13"/>
      <c r="TCA55" s="13"/>
      <c r="TCB55" s="13"/>
      <c r="TCC55" s="13"/>
      <c r="TCD55" s="13"/>
      <c r="TCE55" s="13"/>
      <c r="TCF55" s="13"/>
      <c r="TCG55" s="13"/>
      <c r="TCH55" s="13"/>
      <c r="TCI55" s="13"/>
      <c r="TCJ55" s="13"/>
      <c r="TCK55" s="13"/>
      <c r="TCL55" s="13"/>
      <c r="TCM55" s="13"/>
      <c r="TCN55" s="13"/>
      <c r="TCO55" s="13"/>
      <c r="TCP55" s="13"/>
      <c r="TCQ55" s="13"/>
      <c r="TCR55" s="13"/>
      <c r="TCS55" s="13"/>
      <c r="TCT55" s="13"/>
      <c r="TCU55" s="13"/>
      <c r="TCV55" s="13"/>
      <c r="TCW55" s="13"/>
      <c r="TCX55" s="13"/>
      <c r="TCY55" s="13"/>
      <c r="TCZ55" s="13"/>
      <c r="TDA55" s="13"/>
      <c r="TDB55" s="13"/>
      <c r="TDC55" s="13"/>
      <c r="TDD55" s="13"/>
      <c r="TDE55" s="13"/>
      <c r="TDF55" s="13"/>
      <c r="TDG55" s="13"/>
      <c r="TDH55" s="13"/>
      <c r="TDI55" s="13"/>
      <c r="TDJ55" s="13"/>
      <c r="TDK55" s="13"/>
      <c r="TDL55" s="13"/>
      <c r="TDM55" s="13"/>
      <c r="TDN55" s="13"/>
      <c r="TDO55" s="13"/>
      <c r="TDP55" s="13"/>
      <c r="TDQ55" s="13"/>
      <c r="TDR55" s="13"/>
      <c r="TDS55" s="13"/>
      <c r="TDT55" s="13"/>
      <c r="TDU55" s="13"/>
      <c r="TDV55" s="13"/>
      <c r="TDW55" s="13"/>
      <c r="TDX55" s="13"/>
      <c r="TDY55" s="13"/>
      <c r="TDZ55" s="13"/>
      <c r="TEA55" s="13"/>
      <c r="TEB55" s="13"/>
      <c r="TEC55" s="13"/>
      <c r="TED55" s="13"/>
      <c r="TEE55" s="13"/>
      <c r="TEF55" s="13"/>
      <c r="TEG55" s="13"/>
      <c r="TEH55" s="13"/>
      <c r="TEI55" s="13"/>
      <c r="TEJ55" s="13"/>
      <c r="TEK55" s="13"/>
      <c r="TEL55" s="13"/>
      <c r="TEM55" s="13"/>
      <c r="TEN55" s="13"/>
      <c r="TEO55" s="13"/>
      <c r="TEP55" s="13"/>
      <c r="TEQ55" s="13"/>
      <c r="TER55" s="13"/>
      <c r="TES55" s="13"/>
      <c r="TET55" s="13"/>
      <c r="TEU55" s="13"/>
      <c r="TEV55" s="13"/>
      <c r="TEW55" s="13"/>
      <c r="TEX55" s="13"/>
      <c r="TEY55" s="13"/>
      <c r="TEZ55" s="13"/>
      <c r="TFA55" s="13"/>
      <c r="TFB55" s="13"/>
      <c r="TFC55" s="13"/>
      <c r="TFD55" s="13"/>
      <c r="TFE55" s="13"/>
      <c r="TFF55" s="13"/>
      <c r="TFG55" s="13"/>
      <c r="TFH55" s="13"/>
      <c r="TFI55" s="13"/>
      <c r="TFJ55" s="13"/>
      <c r="TFK55" s="13"/>
      <c r="TFL55" s="13"/>
      <c r="TFM55" s="13"/>
      <c r="TFN55" s="13"/>
      <c r="TFO55" s="13"/>
      <c r="TFP55" s="13"/>
      <c r="TFQ55" s="13"/>
      <c r="TFR55" s="13"/>
      <c r="TFS55" s="13"/>
      <c r="TFT55" s="13"/>
      <c r="TFU55" s="13"/>
      <c r="TFV55" s="13"/>
      <c r="TFW55" s="13"/>
      <c r="TFX55" s="13"/>
      <c r="TFY55" s="13"/>
      <c r="TFZ55" s="13"/>
      <c r="TGA55" s="13"/>
      <c r="TGB55" s="13"/>
      <c r="TGC55" s="13"/>
      <c r="TGD55" s="13"/>
      <c r="TGE55" s="13"/>
      <c r="TGF55" s="13"/>
      <c r="TGG55" s="13"/>
      <c r="TGH55" s="13"/>
      <c r="TGI55" s="13"/>
      <c r="TGJ55" s="13"/>
      <c r="TGK55" s="13"/>
      <c r="TGL55" s="13"/>
      <c r="TGM55" s="13"/>
      <c r="TGN55" s="13"/>
      <c r="TGO55" s="13"/>
      <c r="TGP55" s="13"/>
      <c r="TGQ55" s="13"/>
      <c r="TGR55" s="13"/>
      <c r="TGS55" s="13"/>
      <c r="TGT55" s="13"/>
      <c r="TGU55" s="13"/>
      <c r="TGV55" s="13"/>
      <c r="TGW55" s="13"/>
      <c r="TGX55" s="13"/>
      <c r="TGY55" s="13"/>
      <c r="TGZ55" s="13"/>
      <c r="THA55" s="13"/>
      <c r="THB55" s="13"/>
      <c r="THC55" s="13"/>
      <c r="THD55" s="13"/>
      <c r="THE55" s="13"/>
      <c r="THF55" s="13"/>
      <c r="THG55" s="13"/>
      <c r="THH55" s="13"/>
      <c r="THI55" s="13"/>
      <c r="THJ55" s="13"/>
      <c r="THK55" s="13"/>
      <c r="THL55" s="13"/>
      <c r="THM55" s="13"/>
      <c r="THN55" s="13"/>
      <c r="THO55" s="13"/>
      <c r="THP55" s="13"/>
      <c r="THQ55" s="13"/>
      <c r="THR55" s="13"/>
      <c r="THS55" s="13"/>
      <c r="THT55" s="13"/>
      <c r="THU55" s="13"/>
      <c r="THV55" s="13"/>
      <c r="THW55" s="13"/>
      <c r="THX55" s="13"/>
      <c r="THY55" s="13"/>
      <c r="THZ55" s="13"/>
      <c r="TIA55" s="13"/>
      <c r="TIB55" s="13"/>
      <c r="TIC55" s="13"/>
      <c r="TID55" s="13"/>
      <c r="TIE55" s="13"/>
      <c r="TIF55" s="13"/>
      <c r="TIG55" s="13"/>
      <c r="TIH55" s="13"/>
      <c r="TII55" s="13"/>
      <c r="TIJ55" s="13"/>
      <c r="TIK55" s="13"/>
      <c r="TIL55" s="13"/>
      <c r="TIM55" s="13"/>
      <c r="TIN55" s="13"/>
      <c r="TIO55" s="13"/>
      <c r="TIP55" s="13"/>
      <c r="TIQ55" s="13"/>
      <c r="TIR55" s="13"/>
      <c r="TIS55" s="13"/>
      <c r="TIT55" s="13"/>
      <c r="TIU55" s="13"/>
      <c r="TIV55" s="13"/>
      <c r="TIW55" s="13"/>
      <c r="TIX55" s="13"/>
      <c r="TIY55" s="13"/>
      <c r="TIZ55" s="13"/>
      <c r="TJA55" s="13"/>
      <c r="TJB55" s="13"/>
      <c r="TJC55" s="13"/>
      <c r="TJD55" s="13"/>
      <c r="TJE55" s="13"/>
      <c r="TJF55" s="13"/>
      <c r="TJG55" s="13"/>
      <c r="TJH55" s="13"/>
      <c r="TJI55" s="13"/>
      <c r="TJJ55" s="13"/>
      <c r="TJK55" s="13"/>
      <c r="TJL55" s="13"/>
      <c r="TJM55" s="13"/>
      <c r="TJN55" s="13"/>
      <c r="TJO55" s="13"/>
      <c r="TJP55" s="13"/>
      <c r="TJQ55" s="13"/>
      <c r="TJR55" s="13"/>
      <c r="TJS55" s="13"/>
      <c r="TJT55" s="13"/>
      <c r="TJU55" s="13"/>
      <c r="TJV55" s="13"/>
      <c r="TJW55" s="13"/>
      <c r="TJX55" s="13"/>
      <c r="TJY55" s="13"/>
      <c r="TJZ55" s="13"/>
      <c r="TKA55" s="13"/>
      <c r="TKB55" s="13"/>
      <c r="TKC55" s="13"/>
      <c r="TKD55" s="13"/>
      <c r="TKE55" s="13"/>
      <c r="TKF55" s="13"/>
      <c r="TKG55" s="13"/>
      <c r="TKH55" s="13"/>
      <c r="TKI55" s="13"/>
      <c r="TKJ55" s="13"/>
      <c r="TKK55" s="13"/>
      <c r="TKL55" s="13"/>
      <c r="TKM55" s="13"/>
      <c r="TKN55" s="13"/>
      <c r="TKO55" s="13"/>
      <c r="TKP55" s="13"/>
      <c r="TKQ55" s="13"/>
      <c r="TKR55" s="13"/>
      <c r="TKS55" s="13"/>
      <c r="TKT55" s="13"/>
      <c r="TKU55" s="13"/>
      <c r="TKV55" s="13"/>
      <c r="TKW55" s="13"/>
      <c r="TKX55" s="13"/>
      <c r="TKY55" s="13"/>
      <c r="TKZ55" s="13"/>
      <c r="TLA55" s="13"/>
      <c r="TLB55" s="13"/>
      <c r="TLC55" s="13"/>
      <c r="TLD55" s="13"/>
      <c r="TLE55" s="13"/>
      <c r="TLF55" s="13"/>
      <c r="TLG55" s="13"/>
      <c r="TLH55" s="13"/>
      <c r="TLI55" s="13"/>
      <c r="TLJ55" s="13"/>
      <c r="TLK55" s="13"/>
      <c r="TLL55" s="13"/>
      <c r="TLM55" s="13"/>
      <c r="TLN55" s="13"/>
      <c r="TLO55" s="13"/>
      <c r="TLP55" s="13"/>
      <c r="TLQ55" s="13"/>
      <c r="TLR55" s="13"/>
      <c r="TLS55" s="13"/>
      <c r="TLT55" s="13"/>
      <c r="TLU55" s="13"/>
      <c r="TLV55" s="13"/>
      <c r="TLW55" s="13"/>
      <c r="TLX55" s="13"/>
      <c r="TLY55" s="13"/>
      <c r="TLZ55" s="13"/>
      <c r="TMA55" s="13"/>
      <c r="TMB55" s="13"/>
      <c r="TMC55" s="13"/>
      <c r="TMD55" s="13"/>
      <c r="TME55" s="13"/>
      <c r="TMF55" s="13"/>
      <c r="TMG55" s="13"/>
      <c r="TMH55" s="13"/>
      <c r="TMI55" s="13"/>
      <c r="TMJ55" s="13"/>
      <c r="TMK55" s="13"/>
      <c r="TML55" s="13"/>
      <c r="TMM55" s="13"/>
      <c r="TMN55" s="13"/>
      <c r="TMO55" s="13"/>
      <c r="TMP55" s="13"/>
      <c r="TMQ55" s="13"/>
      <c r="TMR55" s="13"/>
      <c r="TMS55" s="13"/>
      <c r="TMT55" s="13"/>
      <c r="TMU55" s="13"/>
      <c r="TMV55" s="13"/>
      <c r="TMW55" s="13"/>
      <c r="TMX55" s="13"/>
      <c r="TMY55" s="13"/>
      <c r="TMZ55" s="13"/>
      <c r="TNA55" s="13"/>
      <c r="TNB55" s="13"/>
      <c r="TNC55" s="13"/>
      <c r="TND55" s="13"/>
      <c r="TNE55" s="13"/>
      <c r="TNF55" s="13"/>
      <c r="TNG55" s="13"/>
      <c r="TNH55" s="13"/>
      <c r="TNI55" s="13"/>
      <c r="TNJ55" s="13"/>
      <c r="TNK55" s="13"/>
      <c r="TNL55" s="13"/>
      <c r="TNM55" s="13"/>
      <c r="TNN55" s="13"/>
      <c r="TNO55" s="13"/>
      <c r="TNP55" s="13"/>
      <c r="TNQ55" s="13"/>
      <c r="TNR55" s="13"/>
      <c r="TNS55" s="13"/>
      <c r="TNT55" s="13"/>
      <c r="TNU55" s="13"/>
      <c r="TNV55" s="13"/>
      <c r="TNW55" s="13"/>
      <c r="TNX55" s="13"/>
      <c r="TNY55" s="13"/>
      <c r="TNZ55" s="13"/>
      <c r="TOA55" s="13"/>
      <c r="TOB55" s="13"/>
      <c r="TOC55" s="13"/>
      <c r="TOD55" s="13"/>
      <c r="TOE55" s="13"/>
      <c r="TOF55" s="13"/>
      <c r="TOG55" s="13"/>
      <c r="TOH55" s="13"/>
      <c r="TOI55" s="13"/>
      <c r="TOJ55" s="13"/>
      <c r="TOK55" s="13"/>
      <c r="TOL55" s="13"/>
      <c r="TOM55" s="13"/>
      <c r="TON55" s="13"/>
      <c r="TOO55" s="13"/>
      <c r="TOP55" s="13"/>
      <c r="TOQ55" s="13"/>
      <c r="TOR55" s="13"/>
      <c r="TOS55" s="13"/>
      <c r="TOT55" s="13"/>
      <c r="TOU55" s="13"/>
      <c r="TOV55" s="13"/>
      <c r="TOW55" s="13"/>
      <c r="TOX55" s="13"/>
      <c r="TOY55" s="13"/>
      <c r="TOZ55" s="13"/>
      <c r="TPA55" s="13"/>
      <c r="TPB55" s="13"/>
      <c r="TPC55" s="13"/>
      <c r="TPD55" s="13"/>
      <c r="TPE55" s="13"/>
      <c r="TPF55" s="13"/>
      <c r="TPG55" s="13"/>
      <c r="TPH55" s="13"/>
      <c r="TPI55" s="13"/>
      <c r="TPJ55" s="13"/>
      <c r="TPK55" s="13"/>
      <c r="TPL55" s="13"/>
      <c r="TPM55" s="13"/>
      <c r="TPN55" s="13"/>
      <c r="TPO55" s="13"/>
      <c r="TPP55" s="13"/>
      <c r="TPQ55" s="13"/>
      <c r="TPR55" s="13"/>
      <c r="TPS55" s="13"/>
      <c r="TPT55" s="13"/>
      <c r="TPU55" s="13"/>
      <c r="TPV55" s="13"/>
      <c r="TPW55" s="13"/>
      <c r="TPX55" s="13"/>
      <c r="TPY55" s="13"/>
      <c r="TPZ55" s="13"/>
      <c r="TQA55" s="13"/>
      <c r="TQB55" s="13"/>
      <c r="TQC55" s="13"/>
      <c r="TQD55" s="13"/>
      <c r="TQE55" s="13"/>
      <c r="TQF55" s="13"/>
      <c r="TQG55" s="13"/>
      <c r="TQH55" s="13"/>
      <c r="TQI55" s="13"/>
      <c r="TQJ55" s="13"/>
      <c r="TQK55" s="13"/>
      <c r="TQL55" s="13"/>
      <c r="TQM55" s="13"/>
      <c r="TQN55" s="13"/>
      <c r="TQO55" s="13"/>
      <c r="TQP55" s="13"/>
      <c r="TQQ55" s="13"/>
      <c r="TQR55" s="13"/>
      <c r="TQS55" s="13"/>
      <c r="TQT55" s="13"/>
      <c r="TQU55" s="13"/>
      <c r="TQV55" s="13"/>
      <c r="TQW55" s="13"/>
      <c r="TQX55" s="13"/>
      <c r="TQY55" s="13"/>
      <c r="TQZ55" s="13"/>
      <c r="TRA55" s="13"/>
      <c r="TRB55" s="13"/>
      <c r="TRC55" s="13"/>
      <c r="TRD55" s="13"/>
      <c r="TRE55" s="13"/>
      <c r="TRF55" s="13"/>
      <c r="TRG55" s="13"/>
      <c r="TRH55" s="13"/>
      <c r="TRI55" s="13"/>
      <c r="TRJ55" s="13"/>
      <c r="TRK55" s="13"/>
      <c r="TRL55" s="13"/>
      <c r="TRM55" s="13"/>
      <c r="TRN55" s="13"/>
      <c r="TRO55" s="13"/>
      <c r="TRP55" s="13"/>
      <c r="TRQ55" s="13"/>
      <c r="TRR55" s="13"/>
      <c r="TRS55" s="13"/>
      <c r="TRT55" s="13"/>
      <c r="TRU55" s="13"/>
      <c r="TRV55" s="13"/>
      <c r="TRW55" s="13"/>
      <c r="TRX55" s="13"/>
      <c r="TRY55" s="13"/>
      <c r="TRZ55" s="13"/>
      <c r="TSA55" s="13"/>
      <c r="TSB55" s="13"/>
      <c r="TSC55" s="13"/>
      <c r="TSD55" s="13"/>
      <c r="TSE55" s="13"/>
      <c r="TSF55" s="13"/>
      <c r="TSG55" s="13"/>
      <c r="TSH55" s="13"/>
      <c r="TSI55" s="13"/>
      <c r="TSJ55" s="13"/>
      <c r="TSK55" s="13"/>
      <c r="TSL55" s="13"/>
      <c r="TSM55" s="13"/>
      <c r="TSN55" s="13"/>
      <c r="TSO55" s="13"/>
      <c r="TSP55" s="13"/>
      <c r="TSQ55" s="13"/>
      <c r="TSR55" s="13"/>
      <c r="TSS55" s="13"/>
      <c r="TST55" s="13"/>
      <c r="TSU55" s="13"/>
      <c r="TSV55" s="13"/>
      <c r="TSW55" s="13"/>
      <c r="TSX55" s="13"/>
      <c r="TSY55" s="13"/>
      <c r="TSZ55" s="13"/>
      <c r="TTA55" s="13"/>
      <c r="TTB55" s="13"/>
      <c r="TTC55" s="13"/>
      <c r="TTD55" s="13"/>
      <c r="TTE55" s="13"/>
      <c r="TTF55" s="13"/>
      <c r="TTG55" s="13"/>
      <c r="TTH55" s="13"/>
      <c r="TTI55" s="13"/>
      <c r="TTJ55" s="13"/>
      <c r="TTK55" s="13"/>
      <c r="TTL55" s="13"/>
      <c r="TTM55" s="13"/>
      <c r="TTN55" s="13"/>
      <c r="TTO55" s="13"/>
      <c r="TTP55" s="13"/>
      <c r="TTQ55" s="13"/>
      <c r="TTR55" s="13"/>
      <c r="TTS55" s="13"/>
      <c r="TTT55" s="13"/>
      <c r="TTU55" s="13"/>
      <c r="TTV55" s="13"/>
      <c r="TTW55" s="13"/>
      <c r="TTX55" s="13"/>
      <c r="TTY55" s="13"/>
      <c r="TTZ55" s="13"/>
      <c r="TUA55" s="13"/>
      <c r="TUB55" s="13"/>
      <c r="TUC55" s="13"/>
      <c r="TUD55" s="13"/>
      <c r="TUE55" s="13"/>
      <c r="TUF55" s="13"/>
      <c r="TUG55" s="13"/>
      <c r="TUH55" s="13"/>
      <c r="TUI55" s="13"/>
      <c r="TUJ55" s="13"/>
      <c r="TUK55" s="13"/>
      <c r="TUL55" s="13"/>
      <c r="TUM55" s="13"/>
      <c r="TUN55" s="13"/>
      <c r="TUO55" s="13"/>
      <c r="TUP55" s="13"/>
      <c r="TUQ55" s="13"/>
      <c r="TUR55" s="13"/>
      <c r="TUS55" s="13"/>
      <c r="TUT55" s="13"/>
      <c r="TUU55" s="13"/>
      <c r="TUV55" s="13"/>
      <c r="TUW55" s="13"/>
      <c r="TUX55" s="13"/>
      <c r="TUY55" s="13"/>
      <c r="TUZ55" s="13"/>
      <c r="TVA55" s="13"/>
      <c r="TVB55" s="13"/>
      <c r="TVC55" s="13"/>
      <c r="TVD55" s="13"/>
      <c r="TVE55" s="13"/>
      <c r="TVF55" s="13"/>
      <c r="TVG55" s="13"/>
      <c r="TVH55" s="13"/>
      <c r="TVI55" s="13"/>
      <c r="TVJ55" s="13"/>
      <c r="TVK55" s="13"/>
      <c r="TVL55" s="13"/>
      <c r="TVM55" s="13"/>
      <c r="TVN55" s="13"/>
      <c r="TVO55" s="13"/>
      <c r="TVP55" s="13"/>
      <c r="TVQ55" s="13"/>
      <c r="TVR55" s="13"/>
      <c r="TVS55" s="13"/>
      <c r="TVT55" s="13"/>
      <c r="TVU55" s="13"/>
      <c r="TVV55" s="13"/>
      <c r="TVW55" s="13"/>
      <c r="TVX55" s="13"/>
      <c r="TVY55" s="13"/>
      <c r="TVZ55" s="13"/>
      <c r="TWA55" s="13"/>
      <c r="TWB55" s="13"/>
      <c r="TWC55" s="13"/>
      <c r="TWD55" s="13"/>
      <c r="TWE55" s="13"/>
      <c r="TWF55" s="13"/>
      <c r="TWG55" s="13"/>
      <c r="TWH55" s="13"/>
      <c r="TWI55" s="13"/>
      <c r="TWJ55" s="13"/>
      <c r="TWK55" s="13"/>
      <c r="TWL55" s="13"/>
      <c r="TWM55" s="13"/>
      <c r="TWN55" s="13"/>
      <c r="TWO55" s="13"/>
      <c r="TWP55" s="13"/>
      <c r="TWQ55" s="13"/>
      <c r="TWR55" s="13"/>
      <c r="TWS55" s="13"/>
      <c r="TWT55" s="13"/>
      <c r="TWU55" s="13"/>
      <c r="TWV55" s="13"/>
      <c r="TWW55" s="13"/>
      <c r="TWX55" s="13"/>
      <c r="TWY55" s="13"/>
      <c r="TWZ55" s="13"/>
      <c r="TXA55" s="13"/>
      <c r="TXB55" s="13"/>
      <c r="TXC55" s="13"/>
      <c r="TXD55" s="13"/>
      <c r="TXE55" s="13"/>
      <c r="TXF55" s="13"/>
      <c r="TXG55" s="13"/>
      <c r="TXH55" s="13"/>
      <c r="TXI55" s="13"/>
      <c r="TXJ55" s="13"/>
      <c r="TXK55" s="13"/>
      <c r="TXL55" s="13"/>
      <c r="TXM55" s="13"/>
      <c r="TXN55" s="13"/>
      <c r="TXO55" s="13"/>
      <c r="TXP55" s="13"/>
      <c r="TXQ55" s="13"/>
      <c r="TXR55" s="13"/>
      <c r="TXS55" s="13"/>
      <c r="TXT55" s="13"/>
      <c r="TXU55" s="13"/>
      <c r="TXV55" s="13"/>
      <c r="TXW55" s="13"/>
      <c r="TXX55" s="13"/>
      <c r="TXY55" s="13"/>
      <c r="TXZ55" s="13"/>
      <c r="TYA55" s="13"/>
      <c r="TYB55" s="13"/>
      <c r="TYC55" s="13"/>
      <c r="TYD55" s="13"/>
      <c r="TYE55" s="13"/>
      <c r="TYF55" s="13"/>
      <c r="TYG55" s="13"/>
      <c r="TYH55" s="13"/>
      <c r="TYI55" s="13"/>
      <c r="TYJ55" s="13"/>
      <c r="TYK55" s="13"/>
      <c r="TYL55" s="13"/>
      <c r="TYM55" s="13"/>
      <c r="TYN55" s="13"/>
      <c r="TYO55" s="13"/>
      <c r="TYP55" s="13"/>
      <c r="TYQ55" s="13"/>
      <c r="TYR55" s="13"/>
      <c r="TYS55" s="13"/>
      <c r="TYT55" s="13"/>
      <c r="TYU55" s="13"/>
      <c r="TYV55" s="13"/>
      <c r="TYW55" s="13"/>
      <c r="TYX55" s="13"/>
      <c r="TYY55" s="13"/>
      <c r="TYZ55" s="13"/>
      <c r="TZA55" s="13"/>
      <c r="TZB55" s="13"/>
      <c r="TZC55" s="13"/>
      <c r="TZD55" s="13"/>
      <c r="TZE55" s="13"/>
      <c r="TZF55" s="13"/>
      <c r="TZG55" s="13"/>
      <c r="TZH55" s="13"/>
      <c r="TZI55" s="13"/>
      <c r="TZJ55" s="13"/>
      <c r="TZK55" s="13"/>
      <c r="TZL55" s="13"/>
      <c r="TZM55" s="13"/>
      <c r="TZN55" s="13"/>
      <c r="TZO55" s="13"/>
      <c r="TZP55" s="13"/>
      <c r="TZQ55" s="13"/>
      <c r="TZR55" s="13"/>
      <c r="TZS55" s="13"/>
      <c r="TZT55" s="13"/>
      <c r="TZU55" s="13"/>
      <c r="TZV55" s="13"/>
      <c r="TZW55" s="13"/>
      <c r="TZX55" s="13"/>
      <c r="TZY55" s="13"/>
      <c r="TZZ55" s="13"/>
      <c r="UAA55" s="13"/>
      <c r="UAB55" s="13"/>
      <c r="UAC55" s="13"/>
      <c r="UAD55" s="13"/>
      <c r="UAE55" s="13"/>
      <c r="UAF55" s="13"/>
      <c r="UAG55" s="13"/>
      <c r="UAH55" s="13"/>
      <c r="UAI55" s="13"/>
      <c r="UAJ55" s="13"/>
      <c r="UAK55" s="13"/>
      <c r="UAL55" s="13"/>
      <c r="UAM55" s="13"/>
      <c r="UAN55" s="13"/>
      <c r="UAO55" s="13"/>
      <c r="UAP55" s="13"/>
      <c r="UAQ55" s="13"/>
      <c r="UAR55" s="13"/>
      <c r="UAS55" s="13"/>
      <c r="UAT55" s="13"/>
      <c r="UAU55" s="13"/>
      <c r="UAV55" s="13"/>
      <c r="UAW55" s="13"/>
      <c r="UAX55" s="13"/>
      <c r="UAY55" s="13"/>
      <c r="UAZ55" s="13"/>
      <c r="UBA55" s="13"/>
      <c r="UBB55" s="13"/>
      <c r="UBC55" s="13"/>
      <c r="UBD55" s="13"/>
      <c r="UBE55" s="13"/>
      <c r="UBF55" s="13"/>
      <c r="UBG55" s="13"/>
      <c r="UBH55" s="13"/>
      <c r="UBI55" s="13"/>
      <c r="UBJ55" s="13"/>
      <c r="UBK55" s="13"/>
      <c r="UBL55" s="13"/>
      <c r="UBM55" s="13"/>
      <c r="UBN55" s="13"/>
      <c r="UBO55" s="13"/>
      <c r="UBP55" s="13"/>
      <c r="UBQ55" s="13"/>
      <c r="UBR55" s="13"/>
      <c r="UBS55" s="13"/>
      <c r="UBT55" s="13"/>
      <c r="UBU55" s="13"/>
      <c r="UBV55" s="13"/>
      <c r="UBW55" s="13"/>
      <c r="UBX55" s="13"/>
      <c r="UBY55" s="13"/>
      <c r="UBZ55" s="13"/>
      <c r="UCA55" s="13"/>
      <c r="UCB55" s="13"/>
      <c r="UCC55" s="13"/>
      <c r="UCD55" s="13"/>
      <c r="UCE55" s="13"/>
      <c r="UCF55" s="13"/>
      <c r="UCG55" s="13"/>
      <c r="UCH55" s="13"/>
      <c r="UCI55" s="13"/>
      <c r="UCJ55" s="13"/>
      <c r="UCK55" s="13"/>
      <c r="UCL55" s="13"/>
      <c r="UCM55" s="13"/>
      <c r="UCN55" s="13"/>
      <c r="UCO55" s="13"/>
      <c r="UCP55" s="13"/>
      <c r="UCQ55" s="13"/>
      <c r="UCR55" s="13"/>
      <c r="UCS55" s="13"/>
      <c r="UCT55" s="13"/>
      <c r="UCU55" s="13"/>
      <c r="UCV55" s="13"/>
      <c r="UCW55" s="13"/>
      <c r="UCX55" s="13"/>
      <c r="UCY55" s="13"/>
      <c r="UCZ55" s="13"/>
      <c r="UDA55" s="13"/>
      <c r="UDB55" s="13"/>
      <c r="UDC55" s="13"/>
      <c r="UDD55" s="13"/>
      <c r="UDE55" s="13"/>
      <c r="UDF55" s="13"/>
      <c r="UDG55" s="13"/>
      <c r="UDH55" s="13"/>
      <c r="UDI55" s="13"/>
      <c r="UDJ55" s="13"/>
      <c r="UDK55" s="13"/>
      <c r="UDL55" s="13"/>
      <c r="UDM55" s="13"/>
      <c r="UDN55" s="13"/>
      <c r="UDO55" s="13"/>
      <c r="UDP55" s="13"/>
      <c r="UDQ55" s="13"/>
      <c r="UDR55" s="13"/>
      <c r="UDS55" s="13"/>
      <c r="UDT55" s="13"/>
      <c r="UDU55" s="13"/>
      <c r="UDV55" s="13"/>
      <c r="UDW55" s="13"/>
      <c r="UDX55" s="13"/>
      <c r="UDY55" s="13"/>
      <c r="UDZ55" s="13"/>
      <c r="UEA55" s="13"/>
      <c r="UEB55" s="13"/>
      <c r="UEC55" s="13"/>
      <c r="UED55" s="13"/>
      <c r="UEE55" s="13"/>
      <c r="UEF55" s="13"/>
      <c r="UEG55" s="13"/>
      <c r="UEH55" s="13"/>
      <c r="UEI55" s="13"/>
      <c r="UEJ55" s="13"/>
      <c r="UEK55" s="13"/>
      <c r="UEL55" s="13"/>
      <c r="UEM55" s="13"/>
      <c r="UEN55" s="13"/>
      <c r="UEO55" s="13"/>
      <c r="UEP55" s="13"/>
      <c r="UEQ55" s="13"/>
      <c r="UER55" s="13"/>
      <c r="UES55" s="13"/>
      <c r="UET55" s="13"/>
      <c r="UEU55" s="13"/>
      <c r="UEV55" s="13"/>
      <c r="UEW55" s="13"/>
      <c r="UEX55" s="13"/>
      <c r="UEY55" s="13"/>
      <c r="UEZ55" s="13"/>
      <c r="UFA55" s="13"/>
      <c r="UFB55" s="13"/>
      <c r="UFC55" s="13"/>
      <c r="UFD55" s="13"/>
      <c r="UFE55" s="13"/>
      <c r="UFF55" s="13"/>
      <c r="UFG55" s="13"/>
      <c r="UFH55" s="13"/>
      <c r="UFI55" s="13"/>
      <c r="UFJ55" s="13"/>
      <c r="UFK55" s="13"/>
      <c r="UFL55" s="13"/>
      <c r="UFM55" s="13"/>
      <c r="UFN55" s="13"/>
      <c r="UFO55" s="13"/>
      <c r="UFP55" s="13"/>
      <c r="UFQ55" s="13"/>
      <c r="UFR55" s="13"/>
      <c r="UFS55" s="13"/>
      <c r="UFT55" s="13"/>
      <c r="UFU55" s="13"/>
      <c r="UFV55" s="13"/>
      <c r="UFW55" s="13"/>
      <c r="UFX55" s="13"/>
      <c r="UFY55" s="13"/>
      <c r="UFZ55" s="13"/>
      <c r="UGA55" s="13"/>
      <c r="UGB55" s="13"/>
      <c r="UGC55" s="13"/>
      <c r="UGD55" s="13"/>
      <c r="UGE55" s="13"/>
      <c r="UGF55" s="13"/>
      <c r="UGG55" s="13"/>
      <c r="UGH55" s="13"/>
      <c r="UGI55" s="13"/>
      <c r="UGJ55" s="13"/>
      <c r="UGK55" s="13"/>
      <c r="UGL55" s="13"/>
      <c r="UGM55" s="13"/>
      <c r="UGN55" s="13"/>
      <c r="UGO55" s="13"/>
      <c r="UGP55" s="13"/>
      <c r="UGQ55" s="13"/>
      <c r="UGR55" s="13"/>
      <c r="UGS55" s="13"/>
      <c r="UGT55" s="13"/>
      <c r="UGU55" s="13"/>
      <c r="UGV55" s="13"/>
      <c r="UGW55" s="13"/>
      <c r="UGX55" s="13"/>
      <c r="UGY55" s="13"/>
      <c r="UGZ55" s="13"/>
      <c r="UHA55" s="13"/>
      <c r="UHB55" s="13"/>
      <c r="UHC55" s="13"/>
      <c r="UHD55" s="13"/>
      <c r="UHE55" s="13"/>
      <c r="UHF55" s="13"/>
      <c r="UHG55" s="13"/>
      <c r="UHH55" s="13"/>
      <c r="UHI55" s="13"/>
      <c r="UHJ55" s="13"/>
      <c r="UHK55" s="13"/>
      <c r="UHL55" s="13"/>
      <c r="UHM55" s="13"/>
      <c r="UHN55" s="13"/>
      <c r="UHO55" s="13"/>
      <c r="UHP55" s="13"/>
      <c r="UHQ55" s="13"/>
      <c r="UHR55" s="13"/>
      <c r="UHS55" s="13"/>
      <c r="UHT55" s="13"/>
      <c r="UHU55" s="13"/>
      <c r="UHV55" s="13"/>
      <c r="UHW55" s="13"/>
      <c r="UHX55" s="13"/>
      <c r="UHY55" s="13"/>
      <c r="UHZ55" s="13"/>
      <c r="UIA55" s="13"/>
      <c r="UIB55" s="13"/>
      <c r="UIC55" s="13"/>
      <c r="UID55" s="13"/>
      <c r="UIE55" s="13"/>
      <c r="UIF55" s="13"/>
      <c r="UIG55" s="13"/>
      <c r="UIH55" s="13"/>
      <c r="UII55" s="13"/>
      <c r="UIJ55" s="13"/>
      <c r="UIK55" s="13"/>
      <c r="UIL55" s="13"/>
      <c r="UIM55" s="13"/>
      <c r="UIN55" s="13"/>
      <c r="UIO55" s="13"/>
      <c r="UIP55" s="13"/>
      <c r="UIQ55" s="13"/>
      <c r="UIR55" s="13"/>
      <c r="UIS55" s="13"/>
      <c r="UIT55" s="13"/>
      <c r="UIU55" s="13"/>
      <c r="UIV55" s="13"/>
      <c r="UIW55" s="13"/>
      <c r="UIX55" s="13"/>
      <c r="UIY55" s="13"/>
      <c r="UIZ55" s="13"/>
      <c r="UJA55" s="13"/>
      <c r="UJB55" s="13"/>
      <c r="UJC55" s="13"/>
      <c r="UJD55" s="13"/>
      <c r="UJE55" s="13"/>
      <c r="UJF55" s="13"/>
      <c r="UJG55" s="13"/>
      <c r="UJH55" s="13"/>
      <c r="UJI55" s="13"/>
      <c r="UJJ55" s="13"/>
      <c r="UJK55" s="13"/>
      <c r="UJL55" s="13"/>
      <c r="UJM55" s="13"/>
      <c r="UJN55" s="13"/>
      <c r="UJO55" s="13"/>
      <c r="UJP55" s="13"/>
      <c r="UJQ55" s="13"/>
      <c r="UJR55" s="13"/>
      <c r="UJS55" s="13"/>
      <c r="UJT55" s="13"/>
      <c r="UJU55" s="13"/>
      <c r="UJV55" s="13"/>
      <c r="UJW55" s="13"/>
      <c r="UJX55" s="13"/>
      <c r="UJY55" s="13"/>
      <c r="UJZ55" s="13"/>
      <c r="UKA55" s="13"/>
      <c r="UKB55" s="13"/>
      <c r="UKC55" s="13"/>
      <c r="UKD55" s="13"/>
      <c r="UKE55" s="13"/>
      <c r="UKF55" s="13"/>
      <c r="UKG55" s="13"/>
      <c r="UKH55" s="13"/>
      <c r="UKI55" s="13"/>
      <c r="UKJ55" s="13"/>
      <c r="UKK55" s="13"/>
      <c r="UKL55" s="13"/>
      <c r="UKM55" s="13"/>
      <c r="UKN55" s="13"/>
      <c r="UKO55" s="13"/>
      <c r="UKP55" s="13"/>
      <c r="UKQ55" s="13"/>
      <c r="UKR55" s="13"/>
      <c r="UKS55" s="13"/>
      <c r="UKT55" s="13"/>
      <c r="UKU55" s="13"/>
      <c r="UKV55" s="13"/>
      <c r="UKW55" s="13"/>
      <c r="UKX55" s="13"/>
      <c r="UKY55" s="13"/>
      <c r="UKZ55" s="13"/>
      <c r="ULA55" s="13"/>
      <c r="ULB55" s="13"/>
      <c r="ULC55" s="13"/>
      <c r="ULD55" s="13"/>
      <c r="ULE55" s="13"/>
      <c r="ULF55" s="13"/>
      <c r="ULG55" s="13"/>
      <c r="ULH55" s="13"/>
      <c r="ULI55" s="13"/>
      <c r="ULJ55" s="13"/>
      <c r="ULK55" s="13"/>
      <c r="ULL55" s="13"/>
      <c r="ULM55" s="13"/>
      <c r="ULN55" s="13"/>
      <c r="ULO55" s="13"/>
      <c r="ULP55" s="13"/>
      <c r="ULQ55" s="13"/>
      <c r="ULR55" s="13"/>
      <c r="ULS55" s="13"/>
      <c r="ULT55" s="13"/>
      <c r="ULU55" s="13"/>
      <c r="ULV55" s="13"/>
      <c r="ULW55" s="13"/>
      <c r="ULX55" s="13"/>
      <c r="ULY55" s="13"/>
      <c r="ULZ55" s="13"/>
      <c r="UMA55" s="13"/>
      <c r="UMB55" s="13"/>
      <c r="UMC55" s="13"/>
      <c r="UMD55" s="13"/>
      <c r="UME55" s="13"/>
      <c r="UMF55" s="13"/>
      <c r="UMG55" s="13"/>
      <c r="UMH55" s="13"/>
      <c r="UMI55" s="13"/>
      <c r="UMJ55" s="13"/>
      <c r="UMK55" s="13"/>
      <c r="UML55" s="13"/>
      <c r="UMM55" s="13"/>
      <c r="UMN55" s="13"/>
      <c r="UMO55" s="13"/>
      <c r="UMP55" s="13"/>
      <c r="UMQ55" s="13"/>
      <c r="UMR55" s="13"/>
      <c r="UMS55" s="13"/>
      <c r="UMT55" s="13"/>
      <c r="UMU55" s="13"/>
      <c r="UMV55" s="13"/>
      <c r="UMW55" s="13"/>
      <c r="UMX55" s="13"/>
      <c r="UMY55" s="13"/>
      <c r="UMZ55" s="13"/>
      <c r="UNA55" s="13"/>
      <c r="UNB55" s="13"/>
      <c r="UNC55" s="13"/>
      <c r="UND55" s="13"/>
      <c r="UNE55" s="13"/>
      <c r="UNF55" s="13"/>
      <c r="UNG55" s="13"/>
      <c r="UNH55" s="13"/>
      <c r="UNI55" s="13"/>
      <c r="UNJ55" s="13"/>
      <c r="UNK55" s="13"/>
      <c r="UNL55" s="13"/>
      <c r="UNM55" s="13"/>
      <c r="UNN55" s="13"/>
      <c r="UNO55" s="13"/>
      <c r="UNP55" s="13"/>
      <c r="UNQ55" s="13"/>
      <c r="UNR55" s="13"/>
      <c r="UNS55" s="13"/>
      <c r="UNT55" s="13"/>
      <c r="UNU55" s="13"/>
      <c r="UNV55" s="13"/>
      <c r="UNW55" s="13"/>
      <c r="UNX55" s="13"/>
      <c r="UNY55" s="13"/>
      <c r="UNZ55" s="13"/>
      <c r="UOA55" s="13"/>
      <c r="UOB55" s="13"/>
      <c r="UOC55" s="13"/>
      <c r="UOD55" s="13"/>
      <c r="UOE55" s="13"/>
      <c r="UOF55" s="13"/>
      <c r="UOG55" s="13"/>
      <c r="UOH55" s="13"/>
      <c r="UOI55" s="13"/>
      <c r="UOJ55" s="13"/>
      <c r="UOK55" s="13"/>
      <c r="UOL55" s="13"/>
      <c r="UOM55" s="13"/>
      <c r="UON55" s="13"/>
      <c r="UOO55" s="13"/>
      <c r="UOP55" s="13"/>
      <c r="UOQ55" s="13"/>
      <c r="UOR55" s="13"/>
      <c r="UOS55" s="13"/>
      <c r="UOT55" s="13"/>
      <c r="UOU55" s="13"/>
      <c r="UOV55" s="13"/>
      <c r="UOW55" s="13"/>
      <c r="UOX55" s="13"/>
      <c r="UOY55" s="13"/>
      <c r="UOZ55" s="13"/>
      <c r="UPA55" s="13"/>
      <c r="UPB55" s="13"/>
      <c r="UPC55" s="13"/>
      <c r="UPD55" s="13"/>
      <c r="UPE55" s="13"/>
      <c r="UPF55" s="13"/>
      <c r="UPG55" s="13"/>
      <c r="UPH55" s="13"/>
      <c r="UPI55" s="13"/>
      <c r="UPJ55" s="13"/>
      <c r="UPK55" s="13"/>
      <c r="UPL55" s="13"/>
      <c r="UPM55" s="13"/>
      <c r="UPN55" s="13"/>
      <c r="UPO55" s="13"/>
      <c r="UPP55" s="13"/>
      <c r="UPQ55" s="13"/>
      <c r="UPR55" s="13"/>
      <c r="UPS55" s="13"/>
      <c r="UPT55" s="13"/>
      <c r="UPU55" s="13"/>
      <c r="UPV55" s="13"/>
      <c r="UPW55" s="13"/>
      <c r="UPX55" s="13"/>
      <c r="UPY55" s="13"/>
      <c r="UPZ55" s="13"/>
      <c r="UQA55" s="13"/>
      <c r="UQB55" s="13"/>
      <c r="UQC55" s="13"/>
      <c r="UQD55" s="13"/>
      <c r="UQE55" s="13"/>
      <c r="UQF55" s="13"/>
      <c r="UQG55" s="13"/>
      <c r="UQH55" s="13"/>
      <c r="UQI55" s="13"/>
      <c r="UQJ55" s="13"/>
      <c r="UQK55" s="13"/>
      <c r="UQL55" s="13"/>
      <c r="UQM55" s="13"/>
      <c r="UQN55" s="13"/>
      <c r="UQO55" s="13"/>
      <c r="UQP55" s="13"/>
      <c r="UQQ55" s="13"/>
      <c r="UQR55" s="13"/>
      <c r="UQS55" s="13"/>
      <c r="UQT55" s="13"/>
      <c r="UQU55" s="13"/>
      <c r="UQV55" s="13"/>
      <c r="UQW55" s="13"/>
      <c r="UQX55" s="13"/>
      <c r="UQY55" s="13"/>
      <c r="UQZ55" s="13"/>
      <c r="URA55" s="13"/>
      <c r="URB55" s="13"/>
      <c r="URC55" s="13"/>
      <c r="URD55" s="13"/>
      <c r="URE55" s="13"/>
      <c r="URF55" s="13"/>
      <c r="URG55" s="13"/>
      <c r="URH55" s="13"/>
      <c r="URI55" s="13"/>
      <c r="URJ55" s="13"/>
      <c r="URK55" s="13"/>
      <c r="URL55" s="13"/>
      <c r="URM55" s="13"/>
      <c r="URN55" s="13"/>
      <c r="URO55" s="13"/>
      <c r="URP55" s="13"/>
      <c r="URQ55" s="13"/>
      <c r="URR55" s="13"/>
      <c r="URS55" s="13"/>
      <c r="URT55" s="13"/>
      <c r="URU55" s="13"/>
      <c r="URV55" s="13"/>
      <c r="URW55" s="13"/>
      <c r="URX55" s="13"/>
      <c r="URY55" s="13"/>
      <c r="URZ55" s="13"/>
      <c r="USA55" s="13"/>
      <c r="USB55" s="13"/>
      <c r="USC55" s="13"/>
      <c r="USD55" s="13"/>
      <c r="USE55" s="13"/>
      <c r="USF55" s="13"/>
      <c r="USG55" s="13"/>
      <c r="USH55" s="13"/>
      <c r="USI55" s="13"/>
      <c r="USJ55" s="13"/>
      <c r="USK55" s="13"/>
      <c r="USL55" s="13"/>
      <c r="USM55" s="13"/>
      <c r="USN55" s="13"/>
      <c r="USO55" s="13"/>
      <c r="USP55" s="13"/>
      <c r="USQ55" s="13"/>
      <c r="USR55" s="13"/>
      <c r="USS55" s="13"/>
      <c r="UST55" s="13"/>
      <c r="USU55" s="13"/>
      <c r="USV55" s="13"/>
      <c r="USW55" s="13"/>
      <c r="USX55" s="13"/>
      <c r="USY55" s="13"/>
      <c r="USZ55" s="13"/>
      <c r="UTA55" s="13"/>
      <c r="UTB55" s="13"/>
      <c r="UTC55" s="13"/>
      <c r="UTD55" s="13"/>
      <c r="UTE55" s="13"/>
      <c r="UTF55" s="13"/>
      <c r="UTG55" s="13"/>
      <c r="UTH55" s="13"/>
      <c r="UTI55" s="13"/>
      <c r="UTJ55" s="13"/>
      <c r="UTK55" s="13"/>
      <c r="UTL55" s="13"/>
      <c r="UTM55" s="13"/>
      <c r="UTN55" s="13"/>
      <c r="UTO55" s="13"/>
      <c r="UTP55" s="13"/>
      <c r="UTQ55" s="13"/>
      <c r="UTR55" s="13"/>
      <c r="UTS55" s="13"/>
      <c r="UTT55" s="13"/>
      <c r="UTU55" s="13"/>
      <c r="UTV55" s="13"/>
      <c r="UTW55" s="13"/>
      <c r="UTX55" s="13"/>
      <c r="UTY55" s="13"/>
      <c r="UTZ55" s="13"/>
      <c r="UUA55" s="13"/>
      <c r="UUB55" s="13"/>
      <c r="UUC55" s="13"/>
      <c r="UUD55" s="13"/>
      <c r="UUE55" s="13"/>
      <c r="UUF55" s="13"/>
      <c r="UUG55" s="13"/>
      <c r="UUH55" s="13"/>
      <c r="UUI55" s="13"/>
      <c r="UUJ55" s="13"/>
      <c r="UUK55" s="13"/>
      <c r="UUL55" s="13"/>
      <c r="UUM55" s="13"/>
      <c r="UUN55" s="13"/>
      <c r="UUO55" s="13"/>
      <c r="UUP55" s="13"/>
      <c r="UUQ55" s="13"/>
      <c r="UUR55" s="13"/>
      <c r="UUS55" s="13"/>
      <c r="UUT55" s="13"/>
      <c r="UUU55" s="13"/>
      <c r="UUV55" s="13"/>
      <c r="UUW55" s="13"/>
      <c r="UUX55" s="13"/>
      <c r="UUY55" s="13"/>
      <c r="UUZ55" s="13"/>
      <c r="UVA55" s="13"/>
      <c r="UVB55" s="13"/>
      <c r="UVC55" s="13"/>
      <c r="UVD55" s="13"/>
      <c r="UVE55" s="13"/>
      <c r="UVF55" s="13"/>
      <c r="UVG55" s="13"/>
      <c r="UVH55" s="13"/>
      <c r="UVI55" s="13"/>
      <c r="UVJ55" s="13"/>
      <c r="UVK55" s="13"/>
      <c r="UVL55" s="13"/>
      <c r="UVM55" s="13"/>
      <c r="UVN55" s="13"/>
      <c r="UVO55" s="13"/>
      <c r="UVP55" s="13"/>
      <c r="UVQ55" s="13"/>
      <c r="UVR55" s="13"/>
      <c r="UVS55" s="13"/>
      <c r="UVT55" s="13"/>
      <c r="UVU55" s="13"/>
      <c r="UVV55" s="13"/>
      <c r="UVW55" s="13"/>
      <c r="UVX55" s="13"/>
      <c r="UVY55" s="13"/>
      <c r="UVZ55" s="13"/>
      <c r="UWA55" s="13"/>
      <c r="UWB55" s="13"/>
      <c r="UWC55" s="13"/>
      <c r="UWD55" s="13"/>
      <c r="UWE55" s="13"/>
      <c r="UWF55" s="13"/>
      <c r="UWG55" s="13"/>
      <c r="UWH55" s="13"/>
      <c r="UWI55" s="13"/>
      <c r="UWJ55" s="13"/>
      <c r="UWK55" s="13"/>
      <c r="UWL55" s="13"/>
      <c r="UWM55" s="13"/>
      <c r="UWN55" s="13"/>
      <c r="UWO55" s="13"/>
      <c r="UWP55" s="13"/>
      <c r="UWQ55" s="13"/>
      <c r="UWR55" s="13"/>
      <c r="UWS55" s="13"/>
      <c r="UWT55" s="13"/>
      <c r="UWU55" s="13"/>
      <c r="UWV55" s="13"/>
      <c r="UWW55" s="13"/>
      <c r="UWX55" s="13"/>
      <c r="UWY55" s="13"/>
      <c r="UWZ55" s="13"/>
      <c r="UXA55" s="13"/>
      <c r="UXB55" s="13"/>
      <c r="UXC55" s="13"/>
      <c r="UXD55" s="13"/>
      <c r="UXE55" s="13"/>
      <c r="UXF55" s="13"/>
      <c r="UXG55" s="13"/>
      <c r="UXH55" s="13"/>
      <c r="UXI55" s="13"/>
      <c r="UXJ55" s="13"/>
      <c r="UXK55" s="13"/>
      <c r="UXL55" s="13"/>
      <c r="UXM55" s="13"/>
      <c r="UXN55" s="13"/>
      <c r="UXO55" s="13"/>
      <c r="UXP55" s="13"/>
      <c r="UXQ55" s="13"/>
      <c r="UXR55" s="13"/>
      <c r="UXS55" s="13"/>
      <c r="UXT55" s="13"/>
      <c r="UXU55" s="13"/>
      <c r="UXV55" s="13"/>
      <c r="UXW55" s="13"/>
      <c r="UXX55" s="13"/>
      <c r="UXY55" s="13"/>
      <c r="UXZ55" s="13"/>
      <c r="UYA55" s="13"/>
      <c r="UYB55" s="13"/>
      <c r="UYC55" s="13"/>
      <c r="UYD55" s="13"/>
      <c r="UYE55" s="13"/>
      <c r="UYF55" s="13"/>
      <c r="UYG55" s="13"/>
      <c r="UYH55" s="13"/>
      <c r="UYI55" s="13"/>
      <c r="UYJ55" s="13"/>
      <c r="UYK55" s="13"/>
      <c r="UYL55" s="13"/>
      <c r="UYM55" s="13"/>
      <c r="UYN55" s="13"/>
      <c r="UYO55" s="13"/>
      <c r="UYP55" s="13"/>
      <c r="UYQ55" s="13"/>
      <c r="UYR55" s="13"/>
      <c r="UYS55" s="13"/>
      <c r="UYT55" s="13"/>
      <c r="UYU55" s="13"/>
      <c r="UYV55" s="13"/>
      <c r="UYW55" s="13"/>
      <c r="UYX55" s="13"/>
      <c r="UYY55" s="13"/>
      <c r="UYZ55" s="13"/>
      <c r="UZA55" s="13"/>
      <c r="UZB55" s="13"/>
      <c r="UZC55" s="13"/>
      <c r="UZD55" s="13"/>
      <c r="UZE55" s="13"/>
      <c r="UZF55" s="13"/>
      <c r="UZG55" s="13"/>
      <c r="UZH55" s="13"/>
      <c r="UZI55" s="13"/>
      <c r="UZJ55" s="13"/>
      <c r="UZK55" s="13"/>
      <c r="UZL55" s="13"/>
      <c r="UZM55" s="13"/>
      <c r="UZN55" s="13"/>
      <c r="UZO55" s="13"/>
      <c r="UZP55" s="13"/>
      <c r="UZQ55" s="13"/>
      <c r="UZR55" s="13"/>
      <c r="UZS55" s="13"/>
      <c r="UZT55" s="13"/>
      <c r="UZU55" s="13"/>
      <c r="UZV55" s="13"/>
      <c r="UZW55" s="13"/>
      <c r="UZX55" s="13"/>
      <c r="UZY55" s="13"/>
      <c r="UZZ55" s="13"/>
      <c r="VAA55" s="13"/>
      <c r="VAB55" s="13"/>
      <c r="VAC55" s="13"/>
      <c r="VAD55" s="13"/>
      <c r="VAE55" s="13"/>
      <c r="VAF55" s="13"/>
      <c r="VAG55" s="13"/>
      <c r="VAH55" s="13"/>
      <c r="VAI55" s="13"/>
      <c r="VAJ55" s="13"/>
      <c r="VAK55" s="13"/>
      <c r="VAL55" s="13"/>
      <c r="VAM55" s="13"/>
      <c r="VAN55" s="13"/>
      <c r="VAO55" s="13"/>
      <c r="VAP55" s="13"/>
      <c r="VAQ55" s="13"/>
      <c r="VAR55" s="13"/>
      <c r="VAS55" s="13"/>
      <c r="VAT55" s="13"/>
      <c r="VAU55" s="13"/>
      <c r="VAV55" s="13"/>
      <c r="VAW55" s="13"/>
      <c r="VAX55" s="13"/>
      <c r="VAY55" s="13"/>
      <c r="VAZ55" s="13"/>
      <c r="VBA55" s="13"/>
      <c r="VBB55" s="13"/>
      <c r="VBC55" s="13"/>
      <c r="VBD55" s="13"/>
      <c r="VBE55" s="13"/>
      <c r="VBF55" s="13"/>
      <c r="VBG55" s="13"/>
      <c r="VBH55" s="13"/>
      <c r="VBI55" s="13"/>
      <c r="VBJ55" s="13"/>
      <c r="VBK55" s="13"/>
      <c r="VBL55" s="13"/>
      <c r="VBM55" s="13"/>
      <c r="VBN55" s="13"/>
      <c r="VBO55" s="13"/>
      <c r="VBP55" s="13"/>
      <c r="VBQ55" s="13"/>
      <c r="VBR55" s="13"/>
      <c r="VBS55" s="13"/>
      <c r="VBT55" s="13"/>
      <c r="VBU55" s="13"/>
      <c r="VBV55" s="13"/>
      <c r="VBW55" s="13"/>
      <c r="VBX55" s="13"/>
      <c r="VBY55" s="13"/>
      <c r="VBZ55" s="13"/>
      <c r="VCA55" s="13"/>
      <c r="VCB55" s="13"/>
      <c r="VCC55" s="13"/>
      <c r="VCD55" s="13"/>
      <c r="VCE55" s="13"/>
      <c r="VCF55" s="13"/>
      <c r="VCG55" s="13"/>
      <c r="VCH55" s="13"/>
      <c r="VCI55" s="13"/>
      <c r="VCJ55" s="13"/>
      <c r="VCK55" s="13"/>
      <c r="VCL55" s="13"/>
      <c r="VCM55" s="13"/>
      <c r="VCN55" s="13"/>
      <c r="VCO55" s="13"/>
      <c r="VCP55" s="13"/>
      <c r="VCQ55" s="13"/>
      <c r="VCR55" s="13"/>
      <c r="VCS55" s="13"/>
      <c r="VCT55" s="13"/>
      <c r="VCU55" s="13"/>
      <c r="VCV55" s="13"/>
      <c r="VCW55" s="13"/>
      <c r="VCX55" s="13"/>
      <c r="VCY55" s="13"/>
      <c r="VCZ55" s="13"/>
      <c r="VDA55" s="13"/>
      <c r="VDB55" s="13"/>
      <c r="VDC55" s="13"/>
      <c r="VDD55" s="13"/>
      <c r="VDE55" s="13"/>
      <c r="VDF55" s="13"/>
      <c r="VDG55" s="13"/>
      <c r="VDH55" s="13"/>
      <c r="VDI55" s="13"/>
      <c r="VDJ55" s="13"/>
      <c r="VDK55" s="13"/>
      <c r="VDL55" s="13"/>
      <c r="VDM55" s="13"/>
      <c r="VDN55" s="13"/>
      <c r="VDO55" s="13"/>
      <c r="VDP55" s="13"/>
      <c r="VDQ55" s="13"/>
      <c r="VDR55" s="13"/>
      <c r="VDS55" s="13"/>
      <c r="VDT55" s="13"/>
      <c r="VDU55" s="13"/>
      <c r="VDV55" s="13"/>
      <c r="VDW55" s="13"/>
      <c r="VDX55" s="13"/>
      <c r="VDY55" s="13"/>
      <c r="VDZ55" s="13"/>
      <c r="VEA55" s="13"/>
      <c r="VEB55" s="13"/>
      <c r="VEC55" s="13"/>
      <c r="VED55" s="13"/>
      <c r="VEE55" s="13"/>
      <c r="VEF55" s="13"/>
      <c r="VEG55" s="13"/>
      <c r="VEH55" s="13"/>
      <c r="VEI55" s="13"/>
      <c r="VEJ55" s="13"/>
      <c r="VEK55" s="13"/>
      <c r="VEL55" s="13"/>
      <c r="VEM55" s="13"/>
      <c r="VEN55" s="13"/>
      <c r="VEO55" s="13"/>
      <c r="VEP55" s="13"/>
      <c r="VEQ55" s="13"/>
      <c r="VER55" s="13"/>
      <c r="VES55" s="13"/>
      <c r="VET55" s="13"/>
      <c r="VEU55" s="13"/>
      <c r="VEV55" s="13"/>
      <c r="VEW55" s="13"/>
      <c r="VEX55" s="13"/>
      <c r="VEY55" s="13"/>
      <c r="VEZ55" s="13"/>
      <c r="VFA55" s="13"/>
      <c r="VFB55" s="13"/>
      <c r="VFC55" s="13"/>
      <c r="VFD55" s="13"/>
      <c r="VFE55" s="13"/>
      <c r="VFF55" s="13"/>
      <c r="VFG55" s="13"/>
      <c r="VFH55" s="13"/>
      <c r="VFI55" s="13"/>
      <c r="VFJ55" s="13"/>
      <c r="VFK55" s="13"/>
      <c r="VFL55" s="13"/>
      <c r="VFM55" s="13"/>
      <c r="VFN55" s="13"/>
      <c r="VFO55" s="13"/>
      <c r="VFP55" s="13"/>
      <c r="VFQ55" s="13"/>
      <c r="VFR55" s="13"/>
      <c r="VFS55" s="13"/>
      <c r="VFT55" s="13"/>
      <c r="VFU55" s="13"/>
      <c r="VFV55" s="13"/>
      <c r="VFW55" s="13"/>
      <c r="VFX55" s="13"/>
      <c r="VFY55" s="13"/>
      <c r="VFZ55" s="13"/>
      <c r="VGA55" s="13"/>
      <c r="VGB55" s="13"/>
      <c r="VGC55" s="13"/>
      <c r="VGD55" s="13"/>
      <c r="VGE55" s="13"/>
      <c r="VGF55" s="13"/>
      <c r="VGG55" s="13"/>
      <c r="VGH55" s="13"/>
      <c r="VGI55" s="13"/>
      <c r="VGJ55" s="13"/>
      <c r="VGK55" s="13"/>
      <c r="VGL55" s="13"/>
      <c r="VGM55" s="13"/>
      <c r="VGN55" s="13"/>
      <c r="VGO55" s="13"/>
      <c r="VGP55" s="13"/>
      <c r="VGQ55" s="13"/>
      <c r="VGR55" s="13"/>
      <c r="VGS55" s="13"/>
      <c r="VGT55" s="13"/>
      <c r="VGU55" s="13"/>
      <c r="VGV55" s="13"/>
      <c r="VGW55" s="13"/>
      <c r="VGX55" s="13"/>
      <c r="VGY55" s="13"/>
      <c r="VGZ55" s="13"/>
      <c r="VHA55" s="13"/>
      <c r="VHB55" s="13"/>
      <c r="VHC55" s="13"/>
      <c r="VHD55" s="13"/>
      <c r="VHE55" s="13"/>
      <c r="VHF55" s="13"/>
      <c r="VHG55" s="13"/>
      <c r="VHH55" s="13"/>
      <c r="VHI55" s="13"/>
      <c r="VHJ55" s="13"/>
      <c r="VHK55" s="13"/>
      <c r="VHL55" s="13"/>
      <c r="VHM55" s="13"/>
      <c r="VHN55" s="13"/>
      <c r="VHO55" s="13"/>
      <c r="VHP55" s="13"/>
      <c r="VHQ55" s="13"/>
      <c r="VHR55" s="13"/>
      <c r="VHS55" s="13"/>
      <c r="VHT55" s="13"/>
      <c r="VHU55" s="13"/>
      <c r="VHV55" s="13"/>
      <c r="VHW55" s="13"/>
      <c r="VHX55" s="13"/>
      <c r="VHY55" s="13"/>
      <c r="VHZ55" s="13"/>
      <c r="VIA55" s="13"/>
      <c r="VIB55" s="13"/>
      <c r="VIC55" s="13"/>
      <c r="VID55" s="13"/>
      <c r="VIE55" s="13"/>
      <c r="VIF55" s="13"/>
      <c r="VIG55" s="13"/>
      <c r="VIH55" s="13"/>
      <c r="VII55" s="13"/>
      <c r="VIJ55" s="13"/>
      <c r="VIK55" s="13"/>
      <c r="VIL55" s="13"/>
      <c r="VIM55" s="13"/>
      <c r="VIN55" s="13"/>
      <c r="VIO55" s="13"/>
      <c r="VIP55" s="13"/>
      <c r="VIQ55" s="13"/>
      <c r="VIR55" s="13"/>
      <c r="VIS55" s="13"/>
      <c r="VIT55" s="13"/>
      <c r="VIU55" s="13"/>
      <c r="VIV55" s="13"/>
      <c r="VIW55" s="13"/>
      <c r="VIX55" s="13"/>
      <c r="VIY55" s="13"/>
      <c r="VIZ55" s="13"/>
      <c r="VJA55" s="13"/>
      <c r="VJB55" s="13"/>
      <c r="VJC55" s="13"/>
      <c r="VJD55" s="13"/>
      <c r="VJE55" s="13"/>
      <c r="VJF55" s="13"/>
      <c r="VJG55" s="13"/>
      <c r="VJH55" s="13"/>
      <c r="VJI55" s="13"/>
      <c r="VJJ55" s="13"/>
      <c r="VJK55" s="13"/>
      <c r="VJL55" s="13"/>
      <c r="VJM55" s="13"/>
      <c r="VJN55" s="13"/>
      <c r="VJO55" s="13"/>
      <c r="VJP55" s="13"/>
      <c r="VJQ55" s="13"/>
      <c r="VJR55" s="13"/>
      <c r="VJS55" s="13"/>
      <c r="VJT55" s="13"/>
      <c r="VJU55" s="13"/>
      <c r="VJV55" s="13"/>
      <c r="VJW55" s="13"/>
      <c r="VJX55" s="13"/>
      <c r="VJY55" s="13"/>
      <c r="VJZ55" s="13"/>
      <c r="VKA55" s="13"/>
      <c r="VKB55" s="13"/>
      <c r="VKC55" s="13"/>
      <c r="VKD55" s="13"/>
      <c r="VKE55" s="13"/>
      <c r="VKF55" s="13"/>
      <c r="VKG55" s="13"/>
      <c r="VKH55" s="13"/>
      <c r="VKI55" s="13"/>
      <c r="VKJ55" s="13"/>
      <c r="VKK55" s="13"/>
      <c r="VKL55" s="13"/>
      <c r="VKM55" s="13"/>
      <c r="VKN55" s="13"/>
      <c r="VKO55" s="13"/>
      <c r="VKP55" s="13"/>
      <c r="VKQ55" s="13"/>
      <c r="VKR55" s="13"/>
      <c r="VKS55" s="13"/>
      <c r="VKT55" s="13"/>
      <c r="VKU55" s="13"/>
      <c r="VKV55" s="13"/>
      <c r="VKW55" s="13"/>
      <c r="VKX55" s="13"/>
      <c r="VKY55" s="13"/>
      <c r="VKZ55" s="13"/>
      <c r="VLA55" s="13"/>
      <c r="VLB55" s="13"/>
      <c r="VLC55" s="13"/>
      <c r="VLD55" s="13"/>
      <c r="VLE55" s="13"/>
      <c r="VLF55" s="13"/>
      <c r="VLG55" s="13"/>
      <c r="VLH55" s="13"/>
      <c r="VLI55" s="13"/>
      <c r="VLJ55" s="13"/>
      <c r="VLK55" s="13"/>
      <c r="VLL55" s="13"/>
      <c r="VLM55" s="13"/>
      <c r="VLN55" s="13"/>
      <c r="VLO55" s="13"/>
      <c r="VLP55" s="13"/>
      <c r="VLQ55" s="13"/>
      <c r="VLR55" s="13"/>
      <c r="VLS55" s="13"/>
      <c r="VLT55" s="13"/>
      <c r="VLU55" s="13"/>
      <c r="VLV55" s="13"/>
      <c r="VLW55" s="13"/>
      <c r="VLX55" s="13"/>
      <c r="VLY55" s="13"/>
      <c r="VLZ55" s="13"/>
      <c r="VMA55" s="13"/>
      <c r="VMB55" s="13"/>
      <c r="VMC55" s="13"/>
      <c r="VMD55" s="13"/>
      <c r="VME55" s="13"/>
      <c r="VMF55" s="13"/>
      <c r="VMG55" s="13"/>
      <c r="VMH55" s="13"/>
      <c r="VMI55" s="13"/>
      <c r="VMJ55" s="13"/>
      <c r="VMK55" s="13"/>
      <c r="VML55" s="13"/>
      <c r="VMM55" s="13"/>
      <c r="VMN55" s="13"/>
      <c r="VMO55" s="13"/>
      <c r="VMP55" s="13"/>
      <c r="VMQ55" s="13"/>
      <c r="VMR55" s="13"/>
      <c r="VMS55" s="13"/>
      <c r="VMT55" s="13"/>
      <c r="VMU55" s="13"/>
      <c r="VMV55" s="13"/>
      <c r="VMW55" s="13"/>
      <c r="VMX55" s="13"/>
      <c r="VMY55" s="13"/>
      <c r="VMZ55" s="13"/>
      <c r="VNA55" s="13"/>
      <c r="VNB55" s="13"/>
      <c r="VNC55" s="13"/>
      <c r="VND55" s="13"/>
      <c r="VNE55" s="13"/>
      <c r="VNF55" s="13"/>
      <c r="VNG55" s="13"/>
      <c r="VNH55" s="13"/>
      <c r="VNI55" s="13"/>
      <c r="VNJ55" s="13"/>
      <c r="VNK55" s="13"/>
      <c r="VNL55" s="13"/>
      <c r="VNM55" s="13"/>
      <c r="VNN55" s="13"/>
      <c r="VNO55" s="13"/>
      <c r="VNP55" s="13"/>
      <c r="VNQ55" s="13"/>
      <c r="VNR55" s="13"/>
      <c r="VNS55" s="13"/>
      <c r="VNT55" s="13"/>
      <c r="VNU55" s="13"/>
      <c r="VNV55" s="13"/>
      <c r="VNW55" s="13"/>
      <c r="VNX55" s="13"/>
      <c r="VNY55" s="13"/>
      <c r="VNZ55" s="13"/>
      <c r="VOA55" s="13"/>
      <c r="VOB55" s="13"/>
      <c r="VOC55" s="13"/>
      <c r="VOD55" s="13"/>
      <c r="VOE55" s="13"/>
      <c r="VOF55" s="13"/>
      <c r="VOG55" s="13"/>
      <c r="VOH55" s="13"/>
      <c r="VOI55" s="13"/>
      <c r="VOJ55" s="13"/>
      <c r="VOK55" s="13"/>
      <c r="VOL55" s="13"/>
      <c r="VOM55" s="13"/>
      <c r="VON55" s="13"/>
      <c r="VOO55" s="13"/>
      <c r="VOP55" s="13"/>
      <c r="VOQ55" s="13"/>
      <c r="VOR55" s="13"/>
      <c r="VOS55" s="13"/>
      <c r="VOT55" s="13"/>
      <c r="VOU55" s="13"/>
      <c r="VOV55" s="13"/>
      <c r="VOW55" s="13"/>
      <c r="VOX55" s="13"/>
      <c r="VOY55" s="13"/>
      <c r="VOZ55" s="13"/>
      <c r="VPA55" s="13"/>
      <c r="VPB55" s="13"/>
      <c r="VPC55" s="13"/>
      <c r="VPD55" s="13"/>
      <c r="VPE55" s="13"/>
      <c r="VPF55" s="13"/>
      <c r="VPG55" s="13"/>
      <c r="VPH55" s="13"/>
      <c r="VPI55" s="13"/>
      <c r="VPJ55" s="13"/>
      <c r="VPK55" s="13"/>
      <c r="VPL55" s="13"/>
      <c r="VPM55" s="13"/>
      <c r="VPN55" s="13"/>
      <c r="VPO55" s="13"/>
      <c r="VPP55" s="13"/>
      <c r="VPQ55" s="13"/>
      <c r="VPR55" s="13"/>
      <c r="VPS55" s="13"/>
      <c r="VPT55" s="13"/>
      <c r="VPU55" s="13"/>
      <c r="VPV55" s="13"/>
      <c r="VPW55" s="13"/>
      <c r="VPX55" s="13"/>
      <c r="VPY55" s="13"/>
      <c r="VPZ55" s="13"/>
      <c r="VQA55" s="13"/>
      <c r="VQB55" s="13"/>
      <c r="VQC55" s="13"/>
      <c r="VQD55" s="13"/>
      <c r="VQE55" s="13"/>
      <c r="VQF55" s="13"/>
      <c r="VQG55" s="13"/>
      <c r="VQH55" s="13"/>
      <c r="VQI55" s="13"/>
      <c r="VQJ55" s="13"/>
      <c r="VQK55" s="13"/>
      <c r="VQL55" s="13"/>
      <c r="VQM55" s="13"/>
      <c r="VQN55" s="13"/>
      <c r="VQO55" s="13"/>
      <c r="VQP55" s="13"/>
      <c r="VQQ55" s="13"/>
      <c r="VQR55" s="13"/>
      <c r="VQS55" s="13"/>
      <c r="VQT55" s="13"/>
      <c r="VQU55" s="13"/>
      <c r="VQV55" s="13"/>
      <c r="VQW55" s="13"/>
      <c r="VQX55" s="13"/>
      <c r="VQY55" s="13"/>
      <c r="VQZ55" s="13"/>
      <c r="VRA55" s="13"/>
      <c r="VRB55" s="13"/>
      <c r="VRC55" s="13"/>
      <c r="VRD55" s="13"/>
      <c r="VRE55" s="13"/>
      <c r="VRF55" s="13"/>
      <c r="VRG55" s="13"/>
      <c r="VRH55" s="13"/>
      <c r="VRI55" s="13"/>
      <c r="VRJ55" s="13"/>
      <c r="VRK55" s="13"/>
      <c r="VRL55" s="13"/>
      <c r="VRM55" s="13"/>
      <c r="VRN55" s="13"/>
      <c r="VRO55" s="13"/>
      <c r="VRP55" s="13"/>
      <c r="VRQ55" s="13"/>
      <c r="VRR55" s="13"/>
      <c r="VRS55" s="13"/>
      <c r="VRT55" s="13"/>
      <c r="VRU55" s="13"/>
      <c r="VRV55" s="13"/>
      <c r="VRW55" s="13"/>
      <c r="VRX55" s="13"/>
      <c r="VRY55" s="13"/>
      <c r="VRZ55" s="13"/>
      <c r="VSA55" s="13"/>
      <c r="VSB55" s="13"/>
      <c r="VSC55" s="13"/>
      <c r="VSD55" s="13"/>
      <c r="VSE55" s="13"/>
      <c r="VSF55" s="13"/>
      <c r="VSG55" s="13"/>
      <c r="VSH55" s="13"/>
      <c r="VSI55" s="13"/>
      <c r="VSJ55" s="13"/>
      <c r="VSK55" s="13"/>
      <c r="VSL55" s="13"/>
      <c r="VSM55" s="13"/>
      <c r="VSN55" s="13"/>
      <c r="VSO55" s="13"/>
      <c r="VSP55" s="13"/>
      <c r="VSQ55" s="13"/>
      <c r="VSR55" s="13"/>
      <c r="VSS55" s="13"/>
      <c r="VST55" s="13"/>
      <c r="VSU55" s="13"/>
      <c r="VSV55" s="13"/>
      <c r="VSW55" s="13"/>
      <c r="VSX55" s="13"/>
      <c r="VSY55" s="13"/>
      <c r="VSZ55" s="13"/>
      <c r="VTA55" s="13"/>
      <c r="VTB55" s="13"/>
      <c r="VTC55" s="13"/>
      <c r="VTD55" s="13"/>
      <c r="VTE55" s="13"/>
      <c r="VTF55" s="13"/>
      <c r="VTG55" s="13"/>
      <c r="VTH55" s="13"/>
      <c r="VTI55" s="13"/>
      <c r="VTJ55" s="13"/>
      <c r="VTK55" s="13"/>
      <c r="VTL55" s="13"/>
      <c r="VTM55" s="13"/>
      <c r="VTN55" s="13"/>
      <c r="VTO55" s="13"/>
      <c r="VTP55" s="13"/>
      <c r="VTQ55" s="13"/>
      <c r="VTR55" s="13"/>
      <c r="VTS55" s="13"/>
      <c r="VTT55" s="13"/>
      <c r="VTU55" s="13"/>
      <c r="VTV55" s="13"/>
      <c r="VTW55" s="13"/>
      <c r="VTX55" s="13"/>
      <c r="VTY55" s="13"/>
      <c r="VTZ55" s="13"/>
      <c r="VUA55" s="13"/>
      <c r="VUB55" s="13"/>
      <c r="VUC55" s="13"/>
      <c r="VUD55" s="13"/>
      <c r="VUE55" s="13"/>
      <c r="VUF55" s="13"/>
      <c r="VUG55" s="13"/>
      <c r="VUH55" s="13"/>
      <c r="VUI55" s="13"/>
      <c r="VUJ55" s="13"/>
      <c r="VUK55" s="13"/>
      <c r="VUL55" s="13"/>
      <c r="VUM55" s="13"/>
      <c r="VUN55" s="13"/>
      <c r="VUO55" s="13"/>
      <c r="VUP55" s="13"/>
      <c r="VUQ55" s="13"/>
      <c r="VUR55" s="13"/>
      <c r="VUS55" s="13"/>
      <c r="VUT55" s="13"/>
      <c r="VUU55" s="13"/>
      <c r="VUV55" s="13"/>
      <c r="VUW55" s="13"/>
      <c r="VUX55" s="13"/>
      <c r="VUY55" s="13"/>
      <c r="VUZ55" s="13"/>
      <c r="VVA55" s="13"/>
      <c r="VVB55" s="13"/>
      <c r="VVC55" s="13"/>
      <c r="VVD55" s="13"/>
      <c r="VVE55" s="13"/>
      <c r="VVF55" s="13"/>
      <c r="VVG55" s="13"/>
      <c r="VVH55" s="13"/>
      <c r="VVI55" s="13"/>
      <c r="VVJ55" s="13"/>
      <c r="VVK55" s="13"/>
      <c r="VVL55" s="13"/>
      <c r="VVM55" s="13"/>
      <c r="VVN55" s="13"/>
      <c r="VVO55" s="13"/>
      <c r="VVP55" s="13"/>
      <c r="VVQ55" s="13"/>
      <c r="VVR55" s="13"/>
      <c r="VVS55" s="13"/>
      <c r="VVT55" s="13"/>
      <c r="VVU55" s="13"/>
      <c r="VVV55" s="13"/>
      <c r="VVW55" s="13"/>
      <c r="VVX55" s="13"/>
      <c r="VVY55" s="13"/>
      <c r="VVZ55" s="13"/>
      <c r="VWA55" s="13"/>
      <c r="VWB55" s="13"/>
      <c r="VWC55" s="13"/>
      <c r="VWD55" s="13"/>
      <c r="VWE55" s="13"/>
      <c r="VWF55" s="13"/>
      <c r="VWG55" s="13"/>
      <c r="VWH55" s="13"/>
      <c r="VWI55" s="13"/>
      <c r="VWJ55" s="13"/>
      <c r="VWK55" s="13"/>
      <c r="VWL55" s="13"/>
      <c r="VWM55" s="13"/>
      <c r="VWN55" s="13"/>
      <c r="VWO55" s="13"/>
      <c r="VWP55" s="13"/>
      <c r="VWQ55" s="13"/>
      <c r="VWR55" s="13"/>
      <c r="VWS55" s="13"/>
      <c r="VWT55" s="13"/>
      <c r="VWU55" s="13"/>
      <c r="VWV55" s="13"/>
      <c r="VWW55" s="13"/>
      <c r="VWX55" s="13"/>
      <c r="VWY55" s="13"/>
      <c r="VWZ55" s="13"/>
      <c r="VXA55" s="13"/>
      <c r="VXB55" s="13"/>
      <c r="VXC55" s="13"/>
      <c r="VXD55" s="13"/>
      <c r="VXE55" s="13"/>
      <c r="VXF55" s="13"/>
      <c r="VXG55" s="13"/>
      <c r="VXH55" s="13"/>
      <c r="VXI55" s="13"/>
      <c r="VXJ55" s="13"/>
      <c r="VXK55" s="13"/>
      <c r="VXL55" s="13"/>
      <c r="VXM55" s="13"/>
      <c r="VXN55" s="13"/>
      <c r="VXO55" s="13"/>
      <c r="VXP55" s="13"/>
      <c r="VXQ55" s="13"/>
      <c r="VXR55" s="13"/>
      <c r="VXS55" s="13"/>
      <c r="VXT55" s="13"/>
      <c r="VXU55" s="13"/>
      <c r="VXV55" s="13"/>
      <c r="VXW55" s="13"/>
      <c r="VXX55" s="13"/>
      <c r="VXY55" s="13"/>
      <c r="VXZ55" s="13"/>
      <c r="VYA55" s="13"/>
      <c r="VYB55" s="13"/>
      <c r="VYC55" s="13"/>
      <c r="VYD55" s="13"/>
      <c r="VYE55" s="13"/>
      <c r="VYF55" s="13"/>
      <c r="VYG55" s="13"/>
      <c r="VYH55" s="13"/>
      <c r="VYI55" s="13"/>
      <c r="VYJ55" s="13"/>
      <c r="VYK55" s="13"/>
      <c r="VYL55" s="13"/>
      <c r="VYM55" s="13"/>
      <c r="VYN55" s="13"/>
      <c r="VYO55" s="13"/>
      <c r="VYP55" s="13"/>
      <c r="VYQ55" s="13"/>
      <c r="VYR55" s="13"/>
      <c r="VYS55" s="13"/>
      <c r="VYT55" s="13"/>
      <c r="VYU55" s="13"/>
      <c r="VYV55" s="13"/>
      <c r="VYW55" s="13"/>
      <c r="VYX55" s="13"/>
      <c r="VYY55" s="13"/>
      <c r="VYZ55" s="13"/>
      <c r="VZA55" s="13"/>
      <c r="VZB55" s="13"/>
      <c r="VZC55" s="13"/>
      <c r="VZD55" s="13"/>
      <c r="VZE55" s="13"/>
      <c r="VZF55" s="13"/>
      <c r="VZG55" s="13"/>
      <c r="VZH55" s="13"/>
      <c r="VZI55" s="13"/>
      <c r="VZJ55" s="13"/>
      <c r="VZK55" s="13"/>
      <c r="VZL55" s="13"/>
      <c r="VZM55" s="13"/>
      <c r="VZN55" s="13"/>
      <c r="VZO55" s="13"/>
      <c r="VZP55" s="13"/>
      <c r="VZQ55" s="13"/>
      <c r="VZR55" s="13"/>
      <c r="VZS55" s="13"/>
      <c r="VZT55" s="13"/>
      <c r="VZU55" s="13"/>
      <c r="VZV55" s="13"/>
      <c r="VZW55" s="13"/>
      <c r="VZX55" s="13"/>
      <c r="VZY55" s="13"/>
      <c r="VZZ55" s="13"/>
      <c r="WAA55" s="13"/>
      <c r="WAB55" s="13"/>
      <c r="WAC55" s="13"/>
      <c r="WAD55" s="13"/>
      <c r="WAE55" s="13"/>
      <c r="WAF55" s="13"/>
      <c r="WAG55" s="13"/>
      <c r="WAH55" s="13"/>
      <c r="WAI55" s="13"/>
      <c r="WAJ55" s="13"/>
      <c r="WAK55" s="13"/>
      <c r="WAL55" s="13"/>
      <c r="WAM55" s="13"/>
      <c r="WAN55" s="13"/>
      <c r="WAO55" s="13"/>
      <c r="WAP55" s="13"/>
      <c r="WAQ55" s="13"/>
      <c r="WAR55" s="13"/>
      <c r="WAS55" s="13"/>
      <c r="WAT55" s="13"/>
      <c r="WAU55" s="13"/>
      <c r="WAV55" s="13"/>
      <c r="WAW55" s="13"/>
      <c r="WAX55" s="13"/>
      <c r="WAY55" s="13"/>
      <c r="WAZ55" s="13"/>
      <c r="WBA55" s="13"/>
      <c r="WBB55" s="13"/>
      <c r="WBC55" s="13"/>
      <c r="WBD55" s="13"/>
      <c r="WBE55" s="13"/>
      <c r="WBF55" s="13"/>
      <c r="WBG55" s="13"/>
      <c r="WBH55" s="13"/>
      <c r="WBI55" s="13"/>
      <c r="WBJ55" s="13"/>
      <c r="WBK55" s="13"/>
      <c r="WBL55" s="13"/>
      <c r="WBM55" s="13"/>
      <c r="WBN55" s="13"/>
      <c r="WBO55" s="13"/>
      <c r="WBP55" s="13"/>
      <c r="WBQ55" s="13"/>
      <c r="WBR55" s="13"/>
      <c r="WBS55" s="13"/>
      <c r="WBT55" s="13"/>
      <c r="WBU55" s="13"/>
      <c r="WBV55" s="13"/>
      <c r="WBW55" s="13"/>
      <c r="WBX55" s="13"/>
      <c r="WBY55" s="13"/>
      <c r="WBZ55" s="13"/>
      <c r="WCA55" s="13"/>
      <c r="WCB55" s="13"/>
      <c r="WCC55" s="13"/>
      <c r="WCD55" s="13"/>
      <c r="WCE55" s="13"/>
      <c r="WCF55" s="13"/>
      <c r="WCG55" s="13"/>
      <c r="WCH55" s="13"/>
      <c r="WCI55" s="13"/>
      <c r="WCJ55" s="13"/>
      <c r="WCK55" s="13"/>
      <c r="WCL55" s="13"/>
      <c r="WCM55" s="13"/>
      <c r="WCN55" s="13"/>
      <c r="WCO55" s="13"/>
      <c r="WCP55" s="13"/>
      <c r="WCQ55" s="13"/>
      <c r="WCR55" s="13"/>
      <c r="WCS55" s="13"/>
      <c r="WCT55" s="13"/>
      <c r="WCU55" s="13"/>
      <c r="WCV55" s="13"/>
      <c r="WCW55" s="13"/>
      <c r="WCX55" s="13"/>
      <c r="WCY55" s="13"/>
      <c r="WCZ55" s="13"/>
      <c r="WDA55" s="13"/>
      <c r="WDB55" s="13"/>
      <c r="WDC55" s="13"/>
      <c r="WDD55" s="13"/>
      <c r="WDE55" s="13"/>
      <c r="WDF55" s="13"/>
      <c r="WDG55" s="13"/>
      <c r="WDH55" s="13"/>
      <c r="WDI55" s="13"/>
      <c r="WDJ55" s="13"/>
      <c r="WDK55" s="13"/>
      <c r="WDL55" s="13"/>
      <c r="WDM55" s="13"/>
      <c r="WDN55" s="13"/>
      <c r="WDO55" s="13"/>
      <c r="WDP55" s="13"/>
      <c r="WDQ55" s="13"/>
      <c r="WDR55" s="13"/>
      <c r="WDS55" s="13"/>
      <c r="WDT55" s="13"/>
      <c r="WDU55" s="13"/>
      <c r="WDV55" s="13"/>
      <c r="WDW55" s="13"/>
      <c r="WDX55" s="13"/>
      <c r="WDY55" s="13"/>
      <c r="WDZ55" s="13"/>
      <c r="WEA55" s="13"/>
      <c r="WEB55" s="13"/>
      <c r="WEC55" s="13"/>
      <c r="WED55" s="13"/>
      <c r="WEE55" s="13"/>
      <c r="WEF55" s="13"/>
      <c r="WEG55" s="13"/>
      <c r="WEH55" s="13"/>
      <c r="WEI55" s="13"/>
      <c r="WEJ55" s="13"/>
      <c r="WEK55" s="13"/>
      <c r="WEL55" s="13"/>
      <c r="WEM55" s="13"/>
      <c r="WEN55" s="13"/>
      <c r="WEO55" s="13"/>
      <c r="WEP55" s="13"/>
      <c r="WEQ55" s="13"/>
      <c r="WER55" s="13"/>
      <c r="WES55" s="13"/>
      <c r="WET55" s="13"/>
      <c r="WEU55" s="13"/>
      <c r="WEV55" s="13"/>
      <c r="WEW55" s="13"/>
      <c r="WEX55" s="13"/>
      <c r="WEY55" s="13"/>
      <c r="WEZ55" s="13"/>
      <c r="WFA55" s="13"/>
      <c r="WFB55" s="13"/>
      <c r="WFC55" s="13"/>
      <c r="WFD55" s="13"/>
      <c r="WFE55" s="13"/>
      <c r="WFF55" s="13"/>
      <c r="WFG55" s="13"/>
      <c r="WFH55" s="13"/>
      <c r="WFI55" s="13"/>
      <c r="WFJ55" s="13"/>
      <c r="WFK55" s="13"/>
      <c r="WFL55" s="13"/>
      <c r="WFM55" s="13"/>
      <c r="WFN55" s="13"/>
      <c r="WFO55" s="13"/>
      <c r="WFP55" s="13"/>
      <c r="WFQ55" s="13"/>
      <c r="WFR55" s="13"/>
      <c r="WFS55" s="13"/>
      <c r="WFT55" s="13"/>
      <c r="WFU55" s="13"/>
      <c r="WFV55" s="13"/>
      <c r="WFW55" s="13"/>
      <c r="WFX55" s="13"/>
      <c r="WFY55" s="13"/>
      <c r="WFZ55" s="13"/>
      <c r="WGA55" s="13"/>
      <c r="WGB55" s="13"/>
      <c r="WGC55" s="13"/>
      <c r="WGD55" s="13"/>
      <c r="WGE55" s="13"/>
      <c r="WGF55" s="13"/>
      <c r="WGG55" s="13"/>
      <c r="WGH55" s="13"/>
      <c r="WGI55" s="13"/>
      <c r="WGJ55" s="13"/>
      <c r="WGK55" s="13"/>
      <c r="WGL55" s="13"/>
      <c r="WGM55" s="13"/>
      <c r="WGN55" s="13"/>
      <c r="WGO55" s="13"/>
      <c r="WGP55" s="13"/>
      <c r="WGQ55" s="13"/>
      <c r="WGR55" s="13"/>
      <c r="WGS55" s="13"/>
      <c r="WGT55" s="13"/>
      <c r="WGU55" s="13"/>
      <c r="WGV55" s="13"/>
      <c r="WGW55" s="13"/>
      <c r="WGX55" s="13"/>
      <c r="WGY55" s="13"/>
      <c r="WGZ55" s="13"/>
      <c r="WHA55" s="13"/>
      <c r="WHB55" s="13"/>
      <c r="WHC55" s="13"/>
      <c r="WHD55" s="13"/>
      <c r="WHE55" s="13"/>
      <c r="WHF55" s="13"/>
      <c r="WHG55" s="13"/>
      <c r="WHH55" s="13"/>
      <c r="WHI55" s="13"/>
      <c r="WHJ55" s="13"/>
      <c r="WHK55" s="13"/>
      <c r="WHL55" s="13"/>
      <c r="WHM55" s="13"/>
      <c r="WHN55" s="13"/>
      <c r="WHO55" s="13"/>
      <c r="WHP55" s="13"/>
      <c r="WHQ55" s="13"/>
      <c r="WHR55" s="13"/>
      <c r="WHS55" s="13"/>
      <c r="WHT55" s="13"/>
      <c r="WHU55" s="13"/>
      <c r="WHV55" s="13"/>
      <c r="WHW55" s="13"/>
      <c r="WHX55" s="13"/>
      <c r="WHY55" s="13"/>
      <c r="WHZ55" s="13"/>
      <c r="WIA55" s="13"/>
      <c r="WIB55" s="13"/>
      <c r="WIC55" s="13"/>
      <c r="WID55" s="13"/>
      <c r="WIE55" s="13"/>
      <c r="WIF55" s="13"/>
      <c r="WIG55" s="13"/>
      <c r="WIH55" s="13"/>
      <c r="WII55" s="13"/>
      <c r="WIJ55" s="13"/>
      <c r="WIK55" s="13"/>
      <c r="WIL55" s="13"/>
      <c r="WIM55" s="13"/>
      <c r="WIN55" s="13"/>
      <c r="WIO55" s="13"/>
      <c r="WIP55" s="13"/>
      <c r="WIQ55" s="13"/>
      <c r="WIR55" s="13"/>
      <c r="WIS55" s="13"/>
      <c r="WIT55" s="13"/>
      <c r="WIU55" s="13"/>
      <c r="WIV55" s="13"/>
      <c r="WIW55" s="13"/>
      <c r="WIX55" s="13"/>
      <c r="WIY55" s="13"/>
      <c r="WIZ55" s="13"/>
      <c r="WJA55" s="13"/>
      <c r="WJB55" s="13"/>
      <c r="WJC55" s="13"/>
      <c r="WJD55" s="13"/>
      <c r="WJE55" s="13"/>
      <c r="WJF55" s="13"/>
      <c r="WJG55" s="13"/>
      <c r="WJH55" s="13"/>
      <c r="WJI55" s="13"/>
      <c r="WJJ55" s="13"/>
      <c r="WJK55" s="13"/>
      <c r="WJL55" s="13"/>
      <c r="WJM55" s="13"/>
      <c r="WJN55" s="13"/>
      <c r="WJO55" s="13"/>
      <c r="WJP55" s="13"/>
      <c r="WJQ55" s="13"/>
      <c r="WJR55" s="13"/>
      <c r="WJS55" s="13"/>
      <c r="WJT55" s="13"/>
      <c r="WJU55" s="13"/>
      <c r="WJV55" s="13"/>
      <c r="WJW55" s="13"/>
      <c r="WJX55" s="13"/>
      <c r="WJY55" s="13"/>
      <c r="WJZ55" s="13"/>
      <c r="WKA55" s="13"/>
      <c r="WKB55" s="13"/>
      <c r="WKC55" s="13"/>
      <c r="WKD55" s="13"/>
      <c r="WKE55" s="13"/>
      <c r="WKF55" s="13"/>
      <c r="WKG55" s="13"/>
      <c r="WKH55" s="13"/>
      <c r="WKI55" s="13"/>
      <c r="WKJ55" s="13"/>
      <c r="WKK55" s="13"/>
      <c r="WKL55" s="13"/>
      <c r="WKM55" s="13"/>
      <c r="WKN55" s="13"/>
      <c r="WKO55" s="13"/>
      <c r="WKP55" s="13"/>
      <c r="WKQ55" s="13"/>
      <c r="WKR55" s="13"/>
      <c r="WKS55" s="13"/>
      <c r="WKT55" s="13"/>
      <c r="WKU55" s="13"/>
      <c r="WKV55" s="13"/>
      <c r="WKW55" s="13"/>
      <c r="WKX55" s="13"/>
      <c r="WKY55" s="13"/>
      <c r="WKZ55" s="13"/>
      <c r="WLA55" s="13"/>
      <c r="WLB55" s="13"/>
      <c r="WLC55" s="13"/>
      <c r="WLD55" s="13"/>
      <c r="WLE55" s="13"/>
      <c r="WLF55" s="13"/>
      <c r="WLG55" s="13"/>
      <c r="WLH55" s="13"/>
      <c r="WLI55" s="13"/>
      <c r="WLJ55" s="13"/>
      <c r="WLK55" s="13"/>
      <c r="WLL55" s="13"/>
      <c r="WLM55" s="13"/>
      <c r="WLN55" s="13"/>
      <c r="WLO55" s="13"/>
      <c r="WLP55" s="13"/>
      <c r="WLQ55" s="13"/>
      <c r="WLR55" s="13"/>
      <c r="WLS55" s="13"/>
      <c r="WLT55" s="13"/>
      <c r="WLU55" s="13"/>
      <c r="WLV55" s="13"/>
      <c r="WLW55" s="13"/>
      <c r="WLX55" s="13"/>
      <c r="WLY55" s="13"/>
      <c r="WLZ55" s="13"/>
      <c r="WMA55" s="13"/>
      <c r="WMB55" s="13"/>
      <c r="WMC55" s="13"/>
      <c r="WMD55" s="13"/>
      <c r="WME55" s="13"/>
      <c r="WMF55" s="13"/>
      <c r="WMG55" s="13"/>
      <c r="WMH55" s="13"/>
      <c r="WMI55" s="13"/>
      <c r="WMJ55" s="13"/>
      <c r="WMK55" s="13"/>
      <c r="WML55" s="13"/>
      <c r="WMM55" s="13"/>
      <c r="WMN55" s="13"/>
      <c r="WMO55" s="13"/>
      <c r="WMP55" s="13"/>
      <c r="WMQ55" s="13"/>
      <c r="WMR55" s="13"/>
      <c r="WMS55" s="13"/>
      <c r="WMT55" s="13"/>
      <c r="WMU55" s="13"/>
      <c r="WMV55" s="13"/>
      <c r="WMW55" s="13"/>
      <c r="WMX55" s="13"/>
      <c r="WMY55" s="13"/>
      <c r="WMZ55" s="13"/>
      <c r="WNA55" s="13"/>
      <c r="WNB55" s="13"/>
      <c r="WNC55" s="13"/>
      <c r="WND55" s="13"/>
      <c r="WNE55" s="13"/>
      <c r="WNF55" s="13"/>
      <c r="WNG55" s="13"/>
      <c r="WNH55" s="13"/>
      <c r="WNI55" s="13"/>
      <c r="WNJ55" s="13"/>
      <c r="WNK55" s="13"/>
      <c r="WNL55" s="13"/>
      <c r="WNM55" s="13"/>
      <c r="WNN55" s="13"/>
      <c r="WNO55" s="13"/>
      <c r="WNP55" s="13"/>
      <c r="WNQ55" s="13"/>
      <c r="WNR55" s="13"/>
      <c r="WNS55" s="13"/>
      <c r="WNT55" s="13"/>
      <c r="WNU55" s="13"/>
      <c r="WNV55" s="13"/>
      <c r="WNW55" s="13"/>
      <c r="WNX55" s="13"/>
      <c r="WNY55" s="13"/>
      <c r="WNZ55" s="13"/>
      <c r="WOA55" s="13"/>
      <c r="WOB55" s="13"/>
      <c r="WOC55" s="13"/>
      <c r="WOD55" s="13"/>
      <c r="WOE55" s="13"/>
      <c r="WOF55" s="13"/>
      <c r="WOG55" s="13"/>
      <c r="WOH55" s="13"/>
      <c r="WOI55" s="13"/>
      <c r="WOJ55" s="13"/>
      <c r="WOK55" s="13"/>
      <c r="WOL55" s="13"/>
      <c r="WOM55" s="13"/>
      <c r="WON55" s="13"/>
      <c r="WOO55" s="13"/>
      <c r="WOP55" s="13"/>
      <c r="WOQ55" s="13"/>
      <c r="WOR55" s="13"/>
      <c r="WOS55" s="13"/>
      <c r="WOT55" s="13"/>
      <c r="WOU55" s="13"/>
      <c r="WOV55" s="13"/>
      <c r="WOW55" s="13"/>
      <c r="WOX55" s="13"/>
      <c r="WOY55" s="13"/>
      <c r="WOZ55" s="13"/>
      <c r="WPA55" s="13"/>
      <c r="WPB55" s="13"/>
      <c r="WPC55" s="13"/>
      <c r="WPD55" s="13"/>
      <c r="WPE55" s="13"/>
      <c r="WPF55" s="13"/>
      <c r="WPG55" s="13"/>
      <c r="WPH55" s="13"/>
      <c r="WPI55" s="13"/>
      <c r="WPJ55" s="13"/>
      <c r="WPK55" s="13"/>
      <c r="WPL55" s="13"/>
      <c r="WPM55" s="13"/>
      <c r="WPN55" s="13"/>
      <c r="WPO55" s="13"/>
      <c r="WPP55" s="13"/>
      <c r="WPQ55" s="13"/>
      <c r="WPR55" s="13"/>
      <c r="WPS55" s="13"/>
      <c r="WPT55" s="13"/>
      <c r="WPU55" s="13"/>
      <c r="WPV55" s="13"/>
      <c r="WPW55" s="13"/>
      <c r="WPX55" s="13"/>
      <c r="WPY55" s="13"/>
      <c r="WPZ55" s="13"/>
      <c r="WQA55" s="13"/>
      <c r="WQB55" s="13"/>
      <c r="WQC55" s="13"/>
      <c r="WQD55" s="13"/>
      <c r="WQE55" s="13"/>
      <c r="WQF55" s="13"/>
      <c r="WQG55" s="13"/>
      <c r="WQH55" s="13"/>
      <c r="WQI55" s="13"/>
      <c r="WQJ55" s="13"/>
      <c r="WQK55" s="13"/>
      <c r="WQL55" s="13"/>
      <c r="WQM55" s="13"/>
      <c r="WQN55" s="13"/>
      <c r="WQO55" s="13"/>
      <c r="WQP55" s="13"/>
      <c r="WQQ55" s="13"/>
      <c r="WQR55" s="13"/>
      <c r="WQS55" s="13"/>
      <c r="WQT55" s="13"/>
      <c r="WQU55" s="13"/>
      <c r="WQV55" s="13"/>
      <c r="WQW55" s="13"/>
      <c r="WQX55" s="13"/>
      <c r="WQY55" s="13"/>
      <c r="WQZ55" s="13"/>
      <c r="WRA55" s="13"/>
      <c r="WRB55" s="13"/>
      <c r="WRC55" s="13"/>
      <c r="WRD55" s="13"/>
      <c r="WRE55" s="13"/>
      <c r="WRF55" s="13"/>
      <c r="WRG55" s="13"/>
      <c r="WRH55" s="13"/>
      <c r="WRI55" s="13"/>
      <c r="WRJ55" s="13"/>
      <c r="WRK55" s="13"/>
      <c r="WRL55" s="13"/>
      <c r="WRM55" s="13"/>
      <c r="WRN55" s="13"/>
      <c r="WRO55" s="13"/>
      <c r="WRP55" s="13"/>
      <c r="WRQ55" s="13"/>
      <c r="WRR55" s="13"/>
      <c r="WRS55" s="13"/>
      <c r="WRT55" s="13"/>
      <c r="WRU55" s="13"/>
      <c r="WRV55" s="13"/>
      <c r="WRW55" s="13"/>
      <c r="WRX55" s="13"/>
      <c r="WRY55" s="13"/>
      <c r="WRZ55" s="13"/>
      <c r="WSA55" s="13"/>
      <c r="WSB55" s="13"/>
      <c r="WSC55" s="13"/>
      <c r="WSD55" s="13"/>
      <c r="WSE55" s="13"/>
      <c r="WSF55" s="13"/>
      <c r="WSG55" s="13"/>
      <c r="WSH55" s="13"/>
      <c r="WSI55" s="13"/>
      <c r="WSJ55" s="13"/>
      <c r="WSK55" s="13"/>
      <c r="WSL55" s="13"/>
      <c r="WSM55" s="13"/>
      <c r="WSN55" s="13"/>
      <c r="WSO55" s="13"/>
      <c r="WSP55" s="13"/>
      <c r="WSQ55" s="13"/>
      <c r="WSR55" s="13"/>
      <c r="WSS55" s="13"/>
      <c r="WST55" s="13"/>
      <c r="WSU55" s="13"/>
      <c r="WSV55" s="13"/>
      <c r="WSW55" s="13"/>
      <c r="WSX55" s="13"/>
      <c r="WSY55" s="13"/>
      <c r="WSZ55" s="13"/>
      <c r="WTA55" s="13"/>
      <c r="WTB55" s="13"/>
      <c r="WTC55" s="13"/>
      <c r="WTD55" s="13"/>
      <c r="WTE55" s="13"/>
      <c r="WTF55" s="13"/>
      <c r="WTG55" s="13"/>
      <c r="WTH55" s="13"/>
      <c r="WTI55" s="13"/>
      <c r="WTJ55" s="13"/>
      <c r="WTK55" s="13"/>
      <c r="WTL55" s="13"/>
      <c r="WTM55" s="13"/>
      <c r="WTN55" s="13"/>
      <c r="WTO55" s="13"/>
      <c r="WTP55" s="13"/>
      <c r="WTQ55" s="13"/>
      <c r="WTR55" s="13"/>
      <c r="WTS55" s="13"/>
      <c r="WTT55" s="13"/>
      <c r="WTU55" s="13"/>
      <c r="WTV55" s="13"/>
      <c r="WTW55" s="13"/>
      <c r="WTX55" s="13"/>
      <c r="WTY55" s="13"/>
      <c r="WTZ55" s="13"/>
      <c r="WUA55" s="13"/>
      <c r="WUB55" s="13"/>
      <c r="WUC55" s="13"/>
      <c r="WUD55" s="13"/>
      <c r="WUE55" s="13"/>
      <c r="WUF55" s="13"/>
      <c r="WUG55" s="13"/>
      <c r="WUH55" s="13"/>
      <c r="WUI55" s="13"/>
      <c r="WUJ55" s="13"/>
      <c r="WUK55" s="13"/>
      <c r="WUL55" s="13"/>
      <c r="WUM55" s="13"/>
      <c r="WUN55" s="13"/>
      <c r="WUO55" s="13"/>
      <c r="WUP55" s="13"/>
      <c r="WUQ55" s="13"/>
      <c r="WUR55" s="13"/>
      <c r="WUS55" s="13"/>
      <c r="WUT55" s="13"/>
      <c r="WUU55" s="13"/>
      <c r="WUV55" s="13"/>
      <c r="WUW55" s="13"/>
      <c r="WUX55" s="13"/>
      <c r="WUY55" s="13"/>
      <c r="WUZ55" s="13"/>
      <c r="WVA55" s="13"/>
      <c r="WVB55" s="13"/>
      <c r="WVC55" s="13"/>
      <c r="WVD55" s="13"/>
      <c r="WVE55" s="13"/>
      <c r="WVF55" s="13"/>
      <c r="WVG55" s="13"/>
      <c r="WVH55" s="13"/>
      <c r="WVI55" s="13"/>
      <c r="WVJ55" s="13"/>
      <c r="WVK55" s="13"/>
      <c r="WVL55" s="13"/>
      <c r="WVM55" s="13"/>
      <c r="WVN55" s="13"/>
      <c r="WVO55" s="13"/>
      <c r="WVP55" s="13"/>
      <c r="WVQ55" s="13"/>
      <c r="WVR55" s="13"/>
      <c r="WVS55" s="13"/>
      <c r="WVT55" s="13"/>
      <c r="WVU55" s="13"/>
      <c r="WVV55" s="13"/>
      <c r="WVW55" s="13"/>
      <c r="WVX55" s="13"/>
      <c r="WVY55" s="13"/>
      <c r="WVZ55" s="13"/>
      <c r="WWA55" s="13"/>
      <c r="WWB55" s="13"/>
      <c r="WWC55" s="13"/>
      <c r="WWD55" s="13"/>
      <c r="WWE55" s="13"/>
      <c r="WWF55" s="13"/>
      <c r="WWG55" s="13"/>
      <c r="WWH55" s="13"/>
      <c r="WWI55" s="13"/>
      <c r="WWJ55" s="13"/>
      <c r="WWK55" s="13"/>
      <c r="WWL55" s="13"/>
      <c r="WWM55" s="13"/>
      <c r="WWN55" s="13"/>
      <c r="WWO55" s="13"/>
      <c r="WWP55" s="13"/>
      <c r="WWQ55" s="13"/>
      <c r="WWR55" s="13"/>
      <c r="WWS55" s="13"/>
      <c r="WWT55" s="13"/>
      <c r="WWU55" s="13"/>
      <c r="WWV55" s="13"/>
      <c r="WWW55" s="13"/>
      <c r="WWX55" s="13"/>
      <c r="WWY55" s="13"/>
      <c r="WWZ55" s="13"/>
      <c r="WXA55" s="13"/>
      <c r="WXB55" s="13"/>
      <c r="WXC55" s="13"/>
      <c r="WXD55" s="13"/>
      <c r="WXE55" s="13"/>
      <c r="WXF55" s="13"/>
      <c r="WXG55" s="13"/>
      <c r="WXH55" s="13"/>
      <c r="WXI55" s="13"/>
      <c r="WXJ55" s="13"/>
      <c r="WXK55" s="13"/>
      <c r="WXL55" s="13"/>
      <c r="WXM55" s="13"/>
      <c r="WXN55" s="13"/>
      <c r="WXO55" s="13"/>
      <c r="WXP55" s="13"/>
      <c r="WXQ55" s="13"/>
      <c r="WXR55" s="13"/>
      <c r="WXS55" s="13"/>
      <c r="WXT55" s="13"/>
      <c r="WXU55" s="13"/>
      <c r="WXV55" s="13"/>
      <c r="WXW55" s="13"/>
      <c r="WXX55" s="13"/>
      <c r="WXY55" s="13"/>
      <c r="WXZ55" s="13"/>
      <c r="WYA55" s="13"/>
      <c r="WYB55" s="13"/>
      <c r="WYC55" s="13"/>
      <c r="WYD55" s="13"/>
      <c r="WYE55" s="13"/>
      <c r="WYF55" s="13"/>
      <c r="WYG55" s="13"/>
      <c r="WYH55" s="13"/>
      <c r="WYI55" s="13"/>
      <c r="WYJ55" s="13"/>
      <c r="WYK55" s="13"/>
      <c r="WYL55" s="13"/>
      <c r="WYM55" s="13"/>
      <c r="WYN55" s="13"/>
      <c r="WYO55" s="13"/>
      <c r="WYP55" s="13"/>
      <c r="WYQ55" s="13"/>
      <c r="WYR55" s="13"/>
      <c r="WYS55" s="13"/>
      <c r="WYT55" s="13"/>
      <c r="WYU55" s="13"/>
      <c r="WYV55" s="13"/>
      <c r="WYW55" s="13"/>
      <c r="WYX55" s="13"/>
      <c r="WYY55" s="13"/>
      <c r="WYZ55" s="13"/>
      <c r="WZA55" s="13"/>
      <c r="WZB55" s="13"/>
      <c r="WZC55" s="13"/>
      <c r="WZD55" s="13"/>
      <c r="WZE55" s="13"/>
      <c r="WZF55" s="13"/>
      <c r="WZG55" s="13"/>
      <c r="WZH55" s="13"/>
      <c r="WZI55" s="13"/>
      <c r="WZJ55" s="13"/>
      <c r="WZK55" s="13"/>
      <c r="WZL55" s="13"/>
      <c r="WZM55" s="13"/>
      <c r="WZN55" s="13"/>
      <c r="WZO55" s="13"/>
      <c r="WZP55" s="13"/>
      <c r="WZQ55" s="13"/>
      <c r="WZR55" s="13"/>
      <c r="WZS55" s="13"/>
      <c r="WZT55" s="13"/>
      <c r="WZU55" s="13"/>
      <c r="WZV55" s="13"/>
      <c r="WZW55" s="13"/>
      <c r="WZX55" s="13"/>
      <c r="WZY55" s="13"/>
      <c r="WZZ55" s="13"/>
      <c r="XAA55" s="13"/>
      <c r="XAB55" s="13"/>
      <c r="XAC55" s="13"/>
      <c r="XAD55" s="13"/>
      <c r="XAE55" s="13"/>
      <c r="XAF55" s="13"/>
      <c r="XAG55" s="13"/>
      <c r="XAH55" s="13"/>
      <c r="XAI55" s="13"/>
      <c r="XAJ55" s="13"/>
      <c r="XAK55" s="13"/>
      <c r="XAL55" s="13"/>
      <c r="XAM55" s="13"/>
      <c r="XAN55" s="13"/>
      <c r="XAO55" s="13"/>
      <c r="XAP55" s="13"/>
      <c r="XAQ55" s="13"/>
      <c r="XAR55" s="13"/>
      <c r="XAS55" s="13"/>
      <c r="XAT55" s="13"/>
      <c r="XAU55" s="13"/>
      <c r="XAV55" s="13"/>
      <c r="XAW55" s="13"/>
      <c r="XAX55" s="13"/>
      <c r="XAY55" s="13"/>
      <c r="XAZ55" s="13"/>
      <c r="XBA55" s="13"/>
      <c r="XBB55" s="13"/>
      <c r="XBC55" s="13"/>
      <c r="XBD55" s="13"/>
      <c r="XBE55" s="13"/>
      <c r="XBF55" s="13"/>
      <c r="XBG55" s="13"/>
      <c r="XBH55" s="13"/>
      <c r="XBI55" s="13"/>
      <c r="XBJ55" s="13"/>
      <c r="XBK55" s="13"/>
      <c r="XBL55" s="13"/>
      <c r="XBM55" s="13"/>
      <c r="XBN55" s="13"/>
      <c r="XBO55" s="13"/>
      <c r="XBP55" s="13"/>
      <c r="XBQ55" s="13"/>
      <c r="XBR55" s="13"/>
      <c r="XBS55" s="13"/>
      <c r="XBT55" s="13"/>
      <c r="XBU55" s="13"/>
      <c r="XBV55" s="13"/>
      <c r="XBW55" s="13"/>
      <c r="XBX55" s="13"/>
      <c r="XBY55" s="13"/>
      <c r="XBZ55" s="13"/>
      <c r="XCA55" s="13"/>
      <c r="XCB55" s="13"/>
      <c r="XCC55" s="13"/>
      <c r="XCD55" s="13"/>
      <c r="XCE55" s="13"/>
      <c r="XCF55" s="13"/>
      <c r="XCG55" s="13"/>
      <c r="XCH55" s="13"/>
      <c r="XCI55" s="13"/>
      <c r="XCJ55" s="13"/>
      <c r="XCK55" s="13"/>
      <c r="XCL55" s="13"/>
      <c r="XCM55" s="13"/>
      <c r="XCN55" s="13"/>
      <c r="XCO55" s="13"/>
      <c r="XCP55" s="13"/>
      <c r="XCQ55" s="13"/>
      <c r="XCR55" s="13"/>
      <c r="XCS55" s="13"/>
      <c r="XCT55" s="13"/>
      <c r="XCU55" s="13"/>
      <c r="XCV55" s="13"/>
      <c r="XCW55" s="13"/>
      <c r="XCX55" s="13"/>
      <c r="XCY55" s="13"/>
      <c r="XCZ55" s="13"/>
      <c r="XDA55" s="13"/>
      <c r="XDB55" s="13"/>
      <c r="XDC55" s="13"/>
      <c r="XDD55" s="13"/>
      <c r="XDE55" s="13"/>
      <c r="XDF55" s="13"/>
      <c r="XDG55" s="13"/>
      <c r="XDH55" s="13"/>
      <c r="XDI55" s="13"/>
      <c r="XDJ55" s="13"/>
      <c r="XDK55" s="13"/>
      <c r="XDL55" s="13"/>
      <c r="XDM55" s="13"/>
      <c r="XDN55" s="13"/>
      <c r="XDO55" s="13"/>
      <c r="XDP55" s="13"/>
      <c r="XDQ55" s="13"/>
      <c r="XDR55" s="13"/>
      <c r="XDS55" s="13"/>
      <c r="XDT55" s="13"/>
      <c r="XDU55" s="13"/>
      <c r="XDV55" s="13"/>
      <c r="XDW55" s="13"/>
      <c r="XDX55" s="13"/>
      <c r="XDY55" s="13"/>
      <c r="XDZ55" s="13"/>
      <c r="XEA55" s="13"/>
      <c r="XEB55" s="13"/>
      <c r="XEC55" s="13"/>
      <c r="XED55" s="13"/>
      <c r="XEE55" s="13"/>
      <c r="XEF55" s="13"/>
      <c r="XEG55" s="13"/>
      <c r="XEH55" s="13"/>
      <c r="XEI55" s="13"/>
      <c r="XEJ55" s="13"/>
      <c r="XEK55" s="13"/>
      <c r="XEL55" s="13"/>
      <c r="XEM55" s="13"/>
      <c r="XEN55" s="13"/>
      <c r="XEO55" s="13"/>
      <c r="XEP55" s="13"/>
      <c r="XEQ55" s="13"/>
      <c r="XER55" s="13"/>
      <c r="XES55" s="13"/>
      <c r="XET55" s="13"/>
      <c r="XEU55" s="13"/>
      <c r="XEV55" s="13"/>
      <c r="XEW55" s="13"/>
      <c r="XEX55" s="13"/>
      <c r="XEY55" s="13"/>
      <c r="XEZ55" s="13"/>
      <c r="XFA55" s="13"/>
      <c r="XFB55" s="13"/>
      <c r="XFC55" s="13"/>
    </row>
    <row r="56" spans="2:16383" s="13" customFormat="1">
      <c r="B56" s="122" t="s">
        <v>209</v>
      </c>
      <c r="D56" s="102">
        <f>IFERROR(D55/C55-1,"na")</f>
        <v>0.18672454548539585</v>
      </c>
      <c r="E56" s="102">
        <f t="shared" ref="E56:M56" si="9">IFERROR(E55/D55-1,"na")</f>
        <v>0.18141808958706851</v>
      </c>
      <c r="F56" s="102">
        <f t="shared" si="9"/>
        <v>0.16176328648322369</v>
      </c>
      <c r="G56" s="102">
        <f t="shared" si="9"/>
        <v>0.15209634684557427</v>
      </c>
      <c r="H56" s="102">
        <f t="shared" si="9"/>
        <v>0.1424146380642306</v>
      </c>
      <c r="I56" s="102">
        <f t="shared" si="9"/>
        <v>0.12771864198789706</v>
      </c>
      <c r="J56" s="102">
        <f t="shared" si="9"/>
        <v>0.11801013093711044</v>
      </c>
      <c r="K56" s="102">
        <f t="shared" si="9"/>
        <v>0.10828818612989832</v>
      </c>
      <c r="L56" s="102">
        <f t="shared" si="9"/>
        <v>9.8553301519521685E-2</v>
      </c>
      <c r="M56" s="102">
        <f t="shared" si="9"/>
        <v>3.0000000000000027E-2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93</v>
      </c>
      <c r="C57" s="6">
        <f>+INDEX(Model!$A:$AQ,MATCH("EBITDA",Model!$A:$A,0),MATCH(DCF!C$51,Model!$3:$3,0))</f>
        <v>2084.0509661934916</v>
      </c>
      <c r="D57" s="6">
        <f>+INDEX(Model!$A:$AQ,MATCH("EBITDA",Model!$A:$A,0),MATCH(DCF!D$51,Model!$3:$3,0))</f>
        <v>2510.6121002893969</v>
      </c>
      <c r="E57" s="6">
        <f>+INDEX(Model!$A:$AQ,MATCH("EBITDA",Model!$A:$A,0),MATCH(DCF!E$51,Model!$3:$3,0))</f>
        <v>3006.5456646174616</v>
      </c>
      <c r="F57" s="6">
        <f>+INDEX(Model!$A:$AQ,MATCH("EBITDA",Model!$A:$A,0),MATCH(DCF!F$51,Model!$3:$3,0))</f>
        <v>3532.4828886281903</v>
      </c>
      <c r="G57" s="6">
        <f>+INDEX(Model!$A:$AQ,MATCH("EBITDA",Model!$A:$A,0),MATCH(DCF!G$51,Model!$3:$3,0))</f>
        <v>4109.748811379879</v>
      </c>
      <c r="H57" s="6">
        <f>+INDEX(Model!$A:$AQ,MATCH("EBITDA",Model!$A:$A,0),MATCH(DCF!H$51,Model!$3:$3,0))</f>
        <v>4735.4110664689688</v>
      </c>
      <c r="I57" s="6">
        <f>+INDEX(Model!$A:$AQ,MATCH("EBITDA",Model!$A:$A,0),MATCH(DCF!I$51,Model!$3:$3,0))</f>
        <v>5380.2136930334264</v>
      </c>
      <c r="J57" s="6">
        <f>+INDEX(Model!$A:$AQ,MATCH("EBITDA",Model!$A:$A,0),MATCH(DCF!J$51,Model!$3:$3,0))</f>
        <v>6055.2787308078086</v>
      </c>
      <c r="K57" s="6">
        <f>+INDEX(Model!$A:$AQ,MATCH("EBITDA",Model!$A:$A,0),MATCH(DCF!K$51,Model!$3:$3,0))</f>
        <v>6751.152298935207</v>
      </c>
      <c r="L57" s="6">
        <f>+INDEX(Model!$A:$AQ,MATCH("EBITDA",Model!$A:$A,0),MATCH(DCF!L$51,Model!$3:$3,0))</f>
        <v>7456.5101927299784</v>
      </c>
      <c r="M57" s="60">
        <f>+L57*(1+$K$36)</f>
        <v>7680.2054985118775</v>
      </c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  <c r="JF57" s="13"/>
      <c r="JG57" s="13"/>
      <c r="JH57" s="13"/>
      <c r="JI57" s="13"/>
      <c r="JJ57" s="13"/>
      <c r="JK57" s="13"/>
      <c r="JL57" s="13"/>
      <c r="JM57" s="13"/>
      <c r="JN57" s="13"/>
      <c r="JO57" s="13"/>
      <c r="JP57" s="13"/>
      <c r="JQ57" s="13"/>
      <c r="JR57" s="13"/>
      <c r="JS57" s="13"/>
      <c r="JT57" s="13"/>
      <c r="JU57" s="13"/>
      <c r="JV57" s="13"/>
      <c r="JW57" s="13"/>
      <c r="JX57" s="13"/>
      <c r="JY57" s="13"/>
      <c r="JZ57" s="13"/>
      <c r="KA57" s="13"/>
      <c r="KB57" s="13"/>
      <c r="KC57" s="13"/>
      <c r="KD57" s="13"/>
      <c r="KE57" s="13"/>
      <c r="KF57" s="13"/>
      <c r="KG57" s="13"/>
      <c r="KH57" s="13"/>
      <c r="KI57" s="13"/>
      <c r="KJ57" s="13"/>
      <c r="KK57" s="13"/>
      <c r="KL57" s="13"/>
      <c r="KM57" s="13"/>
      <c r="KN57" s="13"/>
      <c r="KO57" s="13"/>
      <c r="KP57" s="13"/>
      <c r="KQ57" s="13"/>
      <c r="KR57" s="13"/>
      <c r="KS57" s="13"/>
      <c r="KT57" s="13"/>
      <c r="KU57" s="13"/>
      <c r="KV57" s="13"/>
      <c r="KW57" s="13"/>
      <c r="KX57" s="13"/>
      <c r="KY57" s="13"/>
      <c r="KZ57" s="13"/>
      <c r="LA57" s="13"/>
      <c r="LB57" s="13"/>
      <c r="LC57" s="13"/>
      <c r="LD57" s="13"/>
      <c r="LE57" s="13"/>
      <c r="LF57" s="13"/>
      <c r="LG57" s="13"/>
      <c r="LH57" s="13"/>
      <c r="LI57" s="13"/>
      <c r="LJ57" s="13"/>
      <c r="LK57" s="13"/>
      <c r="LL57" s="13"/>
      <c r="LM57" s="13"/>
      <c r="LN57" s="13"/>
      <c r="LO57" s="13"/>
      <c r="LP57" s="13"/>
      <c r="LQ57" s="13"/>
      <c r="LR57" s="13"/>
      <c r="LS57" s="13"/>
      <c r="LT57" s="13"/>
      <c r="LU57" s="13"/>
      <c r="LV57" s="13"/>
      <c r="LW57" s="13"/>
      <c r="LX57" s="13"/>
      <c r="LY57" s="13"/>
      <c r="LZ57" s="13"/>
      <c r="MA57" s="13"/>
      <c r="MB57" s="13"/>
      <c r="MC57" s="13"/>
      <c r="MD57" s="13"/>
      <c r="ME57" s="13"/>
      <c r="MF57" s="13"/>
      <c r="MG57" s="13"/>
      <c r="MH57" s="13"/>
      <c r="MI57" s="13"/>
      <c r="MJ57" s="13"/>
      <c r="MK57" s="13"/>
      <c r="ML57" s="13"/>
      <c r="MM57" s="13"/>
      <c r="MN57" s="13"/>
      <c r="MO57" s="13"/>
      <c r="MP57" s="13"/>
      <c r="MQ57" s="13"/>
      <c r="MR57" s="13"/>
      <c r="MS57" s="13"/>
      <c r="MT57" s="13"/>
      <c r="MU57" s="13"/>
      <c r="MV57" s="13"/>
      <c r="MW57" s="13"/>
      <c r="MX57" s="13"/>
      <c r="MY57" s="13"/>
      <c r="MZ57" s="13"/>
      <c r="NA57" s="13"/>
      <c r="NB57" s="13"/>
      <c r="NC57" s="13"/>
      <c r="ND57" s="13"/>
      <c r="NE57" s="13"/>
      <c r="NF57" s="13"/>
      <c r="NG57" s="13"/>
      <c r="NH57" s="13"/>
      <c r="NI57" s="13"/>
      <c r="NJ57" s="13"/>
      <c r="NK57" s="13"/>
      <c r="NL57" s="13"/>
      <c r="NM57" s="13"/>
      <c r="NN57" s="13"/>
      <c r="NO57" s="13"/>
      <c r="NP57" s="13"/>
      <c r="NQ57" s="13"/>
      <c r="NR57" s="13"/>
      <c r="NS57" s="13"/>
      <c r="NT57" s="13"/>
      <c r="NU57" s="13"/>
      <c r="NV57" s="13"/>
      <c r="NW57" s="13"/>
      <c r="NX57" s="13"/>
      <c r="NY57" s="13"/>
      <c r="NZ57" s="13"/>
      <c r="OA57" s="13"/>
      <c r="OB57" s="13"/>
      <c r="OC57" s="13"/>
      <c r="OD57" s="13"/>
      <c r="OE57" s="13"/>
      <c r="OF57" s="13"/>
      <c r="OG57" s="13"/>
      <c r="OH57" s="13"/>
      <c r="OI57" s="13"/>
      <c r="OJ57" s="13"/>
      <c r="OK57" s="13"/>
      <c r="OL57" s="13"/>
      <c r="OM57" s="13"/>
      <c r="ON57" s="13"/>
      <c r="OO57" s="13"/>
      <c r="OP57" s="13"/>
      <c r="OQ57" s="13"/>
      <c r="OR57" s="13"/>
      <c r="OS57" s="13"/>
      <c r="OT57" s="13"/>
      <c r="OU57" s="13"/>
      <c r="OV57" s="13"/>
      <c r="OW57" s="13"/>
      <c r="OX57" s="13"/>
      <c r="OY57" s="13"/>
      <c r="OZ57" s="13"/>
      <c r="PA57" s="13"/>
      <c r="PB57" s="13"/>
      <c r="PC57" s="13"/>
      <c r="PD57" s="13"/>
      <c r="PE57" s="13"/>
      <c r="PF57" s="13"/>
      <c r="PG57" s="13"/>
      <c r="PH57" s="13"/>
      <c r="PI57" s="13"/>
      <c r="PJ57" s="13"/>
      <c r="PK57" s="13"/>
      <c r="PL57" s="13"/>
      <c r="PM57" s="13"/>
      <c r="PN57" s="13"/>
      <c r="PO57" s="13"/>
      <c r="PP57" s="13"/>
      <c r="PQ57" s="13"/>
      <c r="PR57" s="13"/>
      <c r="PS57" s="13"/>
      <c r="PT57" s="13"/>
      <c r="PU57" s="13"/>
      <c r="PV57" s="13"/>
      <c r="PW57" s="13"/>
      <c r="PX57" s="13"/>
      <c r="PY57" s="13"/>
      <c r="PZ57" s="13"/>
      <c r="QA57" s="13"/>
      <c r="QB57" s="13"/>
      <c r="QC57" s="13"/>
      <c r="QD57" s="13"/>
      <c r="QE57" s="13"/>
      <c r="QF57" s="13"/>
      <c r="QG57" s="13"/>
      <c r="QH57" s="13"/>
      <c r="QI57" s="13"/>
      <c r="QJ57" s="13"/>
      <c r="QK57" s="13"/>
      <c r="QL57" s="13"/>
      <c r="QM57" s="13"/>
      <c r="QN57" s="13"/>
      <c r="QO57" s="13"/>
      <c r="QP57" s="13"/>
      <c r="QQ57" s="13"/>
      <c r="QR57" s="13"/>
      <c r="QS57" s="13"/>
      <c r="QT57" s="13"/>
      <c r="QU57" s="13"/>
      <c r="QV57" s="13"/>
      <c r="QW57" s="13"/>
      <c r="QX57" s="13"/>
      <c r="QY57" s="13"/>
      <c r="QZ57" s="13"/>
      <c r="RA57" s="13"/>
      <c r="RB57" s="13"/>
      <c r="RC57" s="13"/>
      <c r="RD57" s="13"/>
      <c r="RE57" s="13"/>
      <c r="RF57" s="13"/>
      <c r="RG57" s="13"/>
      <c r="RH57" s="13"/>
      <c r="RI57" s="13"/>
      <c r="RJ57" s="13"/>
      <c r="RK57" s="13"/>
      <c r="RL57" s="13"/>
      <c r="RM57" s="13"/>
      <c r="RN57" s="13"/>
      <c r="RO57" s="13"/>
      <c r="RP57" s="13"/>
      <c r="RQ57" s="13"/>
      <c r="RR57" s="13"/>
      <c r="RS57" s="13"/>
      <c r="RT57" s="13"/>
      <c r="RU57" s="13"/>
      <c r="RV57" s="13"/>
      <c r="RW57" s="13"/>
      <c r="RX57" s="13"/>
      <c r="RY57" s="13"/>
      <c r="RZ57" s="13"/>
      <c r="SA57" s="13"/>
      <c r="SB57" s="13"/>
      <c r="SC57" s="13"/>
      <c r="SD57" s="13"/>
      <c r="SE57" s="13"/>
      <c r="SF57" s="13"/>
      <c r="SG57" s="13"/>
      <c r="SH57" s="13"/>
      <c r="SI57" s="13"/>
      <c r="SJ57" s="13"/>
      <c r="SK57" s="13"/>
      <c r="SL57" s="13"/>
      <c r="SM57" s="13"/>
      <c r="SN57" s="13"/>
      <c r="SO57" s="13"/>
      <c r="SP57" s="13"/>
      <c r="SQ57" s="13"/>
      <c r="SR57" s="13"/>
      <c r="SS57" s="13"/>
      <c r="ST57" s="13"/>
      <c r="SU57" s="13"/>
      <c r="SV57" s="13"/>
      <c r="SW57" s="13"/>
      <c r="SX57" s="13"/>
      <c r="SY57" s="13"/>
      <c r="SZ57" s="13"/>
      <c r="TA57" s="13"/>
      <c r="TB57" s="13"/>
      <c r="TC57" s="13"/>
      <c r="TD57" s="13"/>
      <c r="TE57" s="13"/>
      <c r="TF57" s="13"/>
      <c r="TG57" s="13"/>
      <c r="TH57" s="13"/>
      <c r="TI57" s="13"/>
      <c r="TJ57" s="13"/>
      <c r="TK57" s="13"/>
      <c r="TL57" s="13"/>
      <c r="TM57" s="13"/>
      <c r="TN57" s="13"/>
      <c r="TO57" s="13"/>
      <c r="TP57" s="13"/>
      <c r="TQ57" s="13"/>
      <c r="TR57" s="13"/>
      <c r="TS57" s="13"/>
      <c r="TT57" s="13"/>
      <c r="TU57" s="13"/>
      <c r="TV57" s="13"/>
      <c r="TW57" s="13"/>
      <c r="TX57" s="13"/>
      <c r="TY57" s="13"/>
      <c r="TZ57" s="13"/>
      <c r="UA57" s="13"/>
      <c r="UB57" s="13"/>
      <c r="UC57" s="13"/>
      <c r="UD57" s="13"/>
      <c r="UE57" s="13"/>
      <c r="UF57" s="13"/>
      <c r="UG57" s="13"/>
      <c r="UH57" s="13"/>
      <c r="UI57" s="13"/>
      <c r="UJ57" s="13"/>
      <c r="UK57" s="13"/>
      <c r="UL57" s="13"/>
      <c r="UM57" s="13"/>
      <c r="UN57" s="13"/>
      <c r="UO57" s="13"/>
      <c r="UP57" s="13"/>
      <c r="UQ57" s="13"/>
      <c r="UR57" s="13"/>
      <c r="US57" s="13"/>
      <c r="UT57" s="13"/>
      <c r="UU57" s="13"/>
      <c r="UV57" s="13"/>
      <c r="UW57" s="13"/>
      <c r="UX57" s="13"/>
      <c r="UY57" s="13"/>
      <c r="UZ57" s="13"/>
      <c r="VA57" s="13"/>
      <c r="VB57" s="13"/>
      <c r="VC57" s="13"/>
      <c r="VD57" s="13"/>
      <c r="VE57" s="13"/>
      <c r="VF57" s="13"/>
      <c r="VG57" s="13"/>
      <c r="VH57" s="13"/>
      <c r="VI57" s="13"/>
      <c r="VJ57" s="13"/>
      <c r="VK57" s="13"/>
      <c r="VL57" s="13"/>
      <c r="VM57" s="13"/>
      <c r="VN57" s="13"/>
      <c r="VO57" s="13"/>
      <c r="VP57" s="13"/>
      <c r="VQ57" s="13"/>
      <c r="VR57" s="13"/>
      <c r="VS57" s="13"/>
      <c r="VT57" s="13"/>
      <c r="VU57" s="13"/>
      <c r="VV57" s="13"/>
      <c r="VW57" s="13"/>
      <c r="VX57" s="13"/>
      <c r="VY57" s="13"/>
      <c r="VZ57" s="13"/>
      <c r="WA57" s="13"/>
      <c r="WB57" s="13"/>
      <c r="WC57" s="13"/>
      <c r="WD57" s="13"/>
      <c r="WE57" s="13"/>
      <c r="WF57" s="13"/>
      <c r="WG57" s="13"/>
      <c r="WH57" s="13"/>
      <c r="WI57" s="13"/>
      <c r="WJ57" s="13"/>
      <c r="WK57" s="13"/>
      <c r="WL57" s="13"/>
      <c r="WM57" s="13"/>
      <c r="WN57" s="13"/>
      <c r="WO57" s="13"/>
      <c r="WP57" s="13"/>
      <c r="WQ57" s="13"/>
      <c r="WR57" s="13"/>
      <c r="WS57" s="13"/>
      <c r="WT57" s="13"/>
      <c r="WU57" s="13"/>
      <c r="WV57" s="13"/>
      <c r="WW57" s="13"/>
      <c r="WX57" s="13"/>
      <c r="WY57" s="13"/>
      <c r="WZ57" s="13"/>
      <c r="XA57" s="13"/>
      <c r="XB57" s="13"/>
      <c r="XC57" s="13"/>
      <c r="XD57" s="13"/>
      <c r="XE57" s="13"/>
      <c r="XF57" s="13"/>
      <c r="XG57" s="13"/>
      <c r="XH57" s="13"/>
      <c r="XI57" s="13"/>
      <c r="XJ57" s="13"/>
      <c r="XK57" s="13"/>
      <c r="XL57" s="13"/>
      <c r="XM57" s="13"/>
      <c r="XN57" s="13"/>
      <c r="XO57" s="13"/>
      <c r="XP57" s="13"/>
      <c r="XQ57" s="13"/>
      <c r="XR57" s="13"/>
      <c r="XS57" s="13"/>
      <c r="XT57" s="13"/>
      <c r="XU57" s="13"/>
      <c r="XV57" s="13"/>
      <c r="XW57" s="13"/>
      <c r="XX57" s="13"/>
      <c r="XY57" s="13"/>
      <c r="XZ57" s="13"/>
      <c r="YA57" s="13"/>
      <c r="YB57" s="13"/>
      <c r="YC57" s="13"/>
      <c r="YD57" s="13"/>
      <c r="YE57" s="13"/>
      <c r="YF57" s="13"/>
      <c r="YG57" s="13"/>
      <c r="YH57" s="13"/>
      <c r="YI57" s="13"/>
      <c r="YJ57" s="13"/>
      <c r="YK57" s="13"/>
      <c r="YL57" s="13"/>
      <c r="YM57" s="13"/>
      <c r="YN57" s="13"/>
      <c r="YO57" s="13"/>
      <c r="YP57" s="13"/>
      <c r="YQ57" s="13"/>
      <c r="YR57" s="13"/>
      <c r="YS57" s="13"/>
      <c r="YT57" s="13"/>
      <c r="YU57" s="13"/>
      <c r="YV57" s="13"/>
      <c r="YW57" s="13"/>
      <c r="YX57" s="13"/>
      <c r="YY57" s="13"/>
      <c r="YZ57" s="13"/>
      <c r="ZA57" s="13"/>
      <c r="ZB57" s="13"/>
      <c r="ZC57" s="13"/>
      <c r="ZD57" s="13"/>
      <c r="ZE57" s="13"/>
      <c r="ZF57" s="13"/>
      <c r="ZG57" s="13"/>
      <c r="ZH57" s="13"/>
      <c r="ZI57" s="13"/>
      <c r="ZJ57" s="13"/>
      <c r="ZK57" s="13"/>
      <c r="ZL57" s="13"/>
      <c r="ZM57" s="13"/>
      <c r="ZN57" s="13"/>
      <c r="ZO57" s="13"/>
      <c r="ZP57" s="13"/>
      <c r="ZQ57" s="13"/>
      <c r="ZR57" s="13"/>
      <c r="ZS57" s="13"/>
      <c r="ZT57" s="13"/>
      <c r="ZU57" s="13"/>
      <c r="ZV57" s="13"/>
      <c r="ZW57" s="13"/>
      <c r="ZX57" s="13"/>
      <c r="ZY57" s="13"/>
      <c r="ZZ57" s="13"/>
      <c r="AAA57" s="13"/>
      <c r="AAB57" s="13"/>
      <c r="AAC57" s="13"/>
      <c r="AAD57" s="13"/>
      <c r="AAE57" s="13"/>
      <c r="AAF57" s="13"/>
      <c r="AAG57" s="13"/>
      <c r="AAH57" s="13"/>
      <c r="AAI57" s="13"/>
      <c r="AAJ57" s="13"/>
      <c r="AAK57" s="13"/>
      <c r="AAL57" s="13"/>
      <c r="AAM57" s="13"/>
      <c r="AAN57" s="13"/>
      <c r="AAO57" s="13"/>
      <c r="AAP57" s="13"/>
      <c r="AAQ57" s="13"/>
      <c r="AAR57" s="13"/>
      <c r="AAS57" s="13"/>
      <c r="AAT57" s="13"/>
      <c r="AAU57" s="13"/>
      <c r="AAV57" s="13"/>
      <c r="AAW57" s="13"/>
      <c r="AAX57" s="13"/>
      <c r="AAY57" s="13"/>
      <c r="AAZ57" s="13"/>
      <c r="ABA57" s="13"/>
      <c r="ABB57" s="13"/>
      <c r="ABC57" s="13"/>
      <c r="ABD57" s="13"/>
      <c r="ABE57" s="13"/>
      <c r="ABF57" s="13"/>
      <c r="ABG57" s="13"/>
      <c r="ABH57" s="13"/>
      <c r="ABI57" s="13"/>
      <c r="ABJ57" s="13"/>
      <c r="ABK57" s="13"/>
      <c r="ABL57" s="13"/>
      <c r="ABM57" s="13"/>
      <c r="ABN57" s="13"/>
      <c r="ABO57" s="13"/>
      <c r="ABP57" s="13"/>
      <c r="ABQ57" s="13"/>
      <c r="ABR57" s="13"/>
      <c r="ABS57" s="13"/>
      <c r="ABT57" s="13"/>
      <c r="ABU57" s="13"/>
      <c r="ABV57" s="13"/>
      <c r="ABW57" s="13"/>
      <c r="ABX57" s="13"/>
      <c r="ABY57" s="13"/>
      <c r="ABZ57" s="13"/>
      <c r="ACA57" s="13"/>
      <c r="ACB57" s="13"/>
      <c r="ACC57" s="13"/>
      <c r="ACD57" s="13"/>
      <c r="ACE57" s="13"/>
      <c r="ACF57" s="13"/>
      <c r="ACG57" s="13"/>
      <c r="ACH57" s="13"/>
      <c r="ACI57" s="13"/>
      <c r="ACJ57" s="13"/>
      <c r="ACK57" s="13"/>
      <c r="ACL57" s="13"/>
      <c r="ACM57" s="13"/>
      <c r="ACN57" s="13"/>
      <c r="ACO57" s="13"/>
      <c r="ACP57" s="13"/>
      <c r="ACQ57" s="13"/>
      <c r="ACR57" s="13"/>
      <c r="ACS57" s="13"/>
      <c r="ACT57" s="13"/>
      <c r="ACU57" s="13"/>
      <c r="ACV57" s="13"/>
      <c r="ACW57" s="13"/>
      <c r="ACX57" s="13"/>
      <c r="ACY57" s="13"/>
      <c r="ACZ57" s="13"/>
      <c r="ADA57" s="13"/>
      <c r="ADB57" s="13"/>
      <c r="ADC57" s="13"/>
      <c r="ADD57" s="13"/>
      <c r="ADE57" s="13"/>
      <c r="ADF57" s="13"/>
      <c r="ADG57" s="13"/>
      <c r="ADH57" s="13"/>
      <c r="ADI57" s="13"/>
      <c r="ADJ57" s="13"/>
      <c r="ADK57" s="13"/>
      <c r="ADL57" s="13"/>
      <c r="ADM57" s="13"/>
      <c r="ADN57" s="13"/>
      <c r="ADO57" s="13"/>
      <c r="ADP57" s="13"/>
      <c r="ADQ57" s="13"/>
      <c r="ADR57" s="13"/>
      <c r="ADS57" s="13"/>
      <c r="ADT57" s="13"/>
      <c r="ADU57" s="13"/>
      <c r="ADV57" s="13"/>
      <c r="ADW57" s="13"/>
      <c r="ADX57" s="13"/>
      <c r="ADY57" s="13"/>
      <c r="ADZ57" s="13"/>
      <c r="AEA57" s="13"/>
      <c r="AEB57" s="13"/>
      <c r="AEC57" s="13"/>
      <c r="AED57" s="13"/>
      <c r="AEE57" s="13"/>
      <c r="AEF57" s="13"/>
      <c r="AEG57" s="13"/>
      <c r="AEH57" s="13"/>
      <c r="AEI57" s="13"/>
      <c r="AEJ57" s="13"/>
      <c r="AEK57" s="13"/>
      <c r="AEL57" s="13"/>
      <c r="AEM57" s="13"/>
      <c r="AEN57" s="13"/>
      <c r="AEO57" s="13"/>
      <c r="AEP57" s="13"/>
      <c r="AEQ57" s="13"/>
      <c r="AER57" s="13"/>
      <c r="AES57" s="13"/>
      <c r="AET57" s="13"/>
      <c r="AEU57" s="13"/>
      <c r="AEV57" s="13"/>
      <c r="AEW57" s="13"/>
      <c r="AEX57" s="13"/>
      <c r="AEY57" s="13"/>
      <c r="AEZ57" s="13"/>
      <c r="AFA57" s="13"/>
      <c r="AFB57" s="13"/>
      <c r="AFC57" s="13"/>
      <c r="AFD57" s="13"/>
      <c r="AFE57" s="13"/>
      <c r="AFF57" s="13"/>
      <c r="AFG57" s="13"/>
      <c r="AFH57" s="13"/>
      <c r="AFI57" s="13"/>
      <c r="AFJ57" s="13"/>
      <c r="AFK57" s="13"/>
      <c r="AFL57" s="13"/>
      <c r="AFM57" s="13"/>
      <c r="AFN57" s="13"/>
      <c r="AFO57" s="13"/>
      <c r="AFP57" s="13"/>
      <c r="AFQ57" s="13"/>
      <c r="AFR57" s="13"/>
      <c r="AFS57" s="13"/>
      <c r="AFT57" s="13"/>
      <c r="AFU57" s="13"/>
      <c r="AFV57" s="13"/>
      <c r="AFW57" s="13"/>
      <c r="AFX57" s="13"/>
      <c r="AFY57" s="13"/>
      <c r="AFZ57" s="13"/>
      <c r="AGA57" s="13"/>
      <c r="AGB57" s="13"/>
      <c r="AGC57" s="13"/>
      <c r="AGD57" s="13"/>
      <c r="AGE57" s="13"/>
      <c r="AGF57" s="13"/>
      <c r="AGG57" s="13"/>
      <c r="AGH57" s="13"/>
      <c r="AGI57" s="13"/>
      <c r="AGJ57" s="13"/>
      <c r="AGK57" s="13"/>
      <c r="AGL57" s="13"/>
      <c r="AGM57" s="13"/>
      <c r="AGN57" s="13"/>
      <c r="AGO57" s="13"/>
      <c r="AGP57" s="13"/>
      <c r="AGQ57" s="13"/>
      <c r="AGR57" s="13"/>
      <c r="AGS57" s="13"/>
      <c r="AGT57" s="13"/>
      <c r="AGU57" s="13"/>
      <c r="AGV57" s="13"/>
      <c r="AGW57" s="13"/>
      <c r="AGX57" s="13"/>
      <c r="AGY57" s="13"/>
      <c r="AGZ57" s="13"/>
      <c r="AHA57" s="13"/>
      <c r="AHB57" s="13"/>
      <c r="AHC57" s="13"/>
      <c r="AHD57" s="13"/>
      <c r="AHE57" s="13"/>
      <c r="AHF57" s="13"/>
      <c r="AHG57" s="13"/>
      <c r="AHH57" s="13"/>
      <c r="AHI57" s="13"/>
      <c r="AHJ57" s="13"/>
      <c r="AHK57" s="13"/>
      <c r="AHL57" s="13"/>
      <c r="AHM57" s="13"/>
      <c r="AHN57" s="13"/>
      <c r="AHO57" s="13"/>
      <c r="AHP57" s="13"/>
      <c r="AHQ57" s="13"/>
      <c r="AHR57" s="13"/>
      <c r="AHS57" s="13"/>
      <c r="AHT57" s="13"/>
      <c r="AHU57" s="13"/>
      <c r="AHV57" s="13"/>
      <c r="AHW57" s="13"/>
      <c r="AHX57" s="13"/>
      <c r="AHY57" s="13"/>
      <c r="AHZ57" s="13"/>
      <c r="AIA57" s="13"/>
      <c r="AIB57" s="13"/>
      <c r="AIC57" s="13"/>
      <c r="AID57" s="13"/>
      <c r="AIE57" s="13"/>
      <c r="AIF57" s="13"/>
      <c r="AIG57" s="13"/>
      <c r="AIH57" s="13"/>
      <c r="AII57" s="13"/>
      <c r="AIJ57" s="13"/>
      <c r="AIK57" s="13"/>
      <c r="AIL57" s="13"/>
      <c r="AIM57" s="13"/>
      <c r="AIN57" s="13"/>
      <c r="AIO57" s="13"/>
      <c r="AIP57" s="13"/>
      <c r="AIQ57" s="13"/>
      <c r="AIR57" s="13"/>
      <c r="AIS57" s="13"/>
      <c r="AIT57" s="13"/>
      <c r="AIU57" s="13"/>
      <c r="AIV57" s="13"/>
      <c r="AIW57" s="13"/>
      <c r="AIX57" s="13"/>
      <c r="AIY57" s="13"/>
      <c r="AIZ57" s="13"/>
      <c r="AJA57" s="13"/>
      <c r="AJB57" s="13"/>
      <c r="AJC57" s="13"/>
      <c r="AJD57" s="13"/>
      <c r="AJE57" s="13"/>
      <c r="AJF57" s="13"/>
      <c r="AJG57" s="13"/>
      <c r="AJH57" s="13"/>
      <c r="AJI57" s="13"/>
      <c r="AJJ57" s="13"/>
      <c r="AJK57" s="13"/>
      <c r="AJL57" s="13"/>
      <c r="AJM57" s="13"/>
      <c r="AJN57" s="13"/>
      <c r="AJO57" s="13"/>
      <c r="AJP57" s="13"/>
      <c r="AJQ57" s="13"/>
      <c r="AJR57" s="13"/>
      <c r="AJS57" s="13"/>
      <c r="AJT57" s="13"/>
      <c r="AJU57" s="13"/>
      <c r="AJV57" s="13"/>
      <c r="AJW57" s="13"/>
      <c r="AJX57" s="13"/>
      <c r="AJY57" s="13"/>
      <c r="AJZ57" s="13"/>
      <c r="AKA57" s="13"/>
      <c r="AKB57" s="13"/>
      <c r="AKC57" s="13"/>
      <c r="AKD57" s="13"/>
      <c r="AKE57" s="13"/>
      <c r="AKF57" s="13"/>
      <c r="AKG57" s="13"/>
      <c r="AKH57" s="13"/>
      <c r="AKI57" s="13"/>
      <c r="AKJ57" s="13"/>
      <c r="AKK57" s="13"/>
      <c r="AKL57" s="13"/>
      <c r="AKM57" s="13"/>
      <c r="AKN57" s="13"/>
      <c r="AKO57" s="13"/>
      <c r="AKP57" s="13"/>
      <c r="AKQ57" s="13"/>
      <c r="AKR57" s="13"/>
      <c r="AKS57" s="13"/>
      <c r="AKT57" s="13"/>
      <c r="AKU57" s="13"/>
      <c r="AKV57" s="13"/>
      <c r="AKW57" s="13"/>
      <c r="AKX57" s="13"/>
      <c r="AKY57" s="13"/>
      <c r="AKZ57" s="13"/>
      <c r="ALA57" s="13"/>
      <c r="ALB57" s="13"/>
      <c r="ALC57" s="13"/>
      <c r="ALD57" s="13"/>
      <c r="ALE57" s="13"/>
      <c r="ALF57" s="13"/>
      <c r="ALG57" s="13"/>
      <c r="ALH57" s="13"/>
      <c r="ALI57" s="13"/>
      <c r="ALJ57" s="13"/>
      <c r="ALK57" s="13"/>
      <c r="ALL57" s="13"/>
      <c r="ALM57" s="13"/>
      <c r="ALN57" s="13"/>
      <c r="ALO57" s="13"/>
      <c r="ALP57" s="13"/>
      <c r="ALQ57" s="13"/>
      <c r="ALR57" s="13"/>
      <c r="ALS57" s="13"/>
      <c r="ALT57" s="13"/>
      <c r="ALU57" s="13"/>
      <c r="ALV57" s="13"/>
      <c r="ALW57" s="13"/>
      <c r="ALX57" s="13"/>
      <c r="ALY57" s="13"/>
      <c r="ALZ57" s="13"/>
      <c r="AMA57" s="13"/>
      <c r="AMB57" s="13"/>
      <c r="AMC57" s="13"/>
      <c r="AMD57" s="13"/>
      <c r="AME57" s="13"/>
      <c r="AMF57" s="13"/>
      <c r="AMG57" s="13"/>
      <c r="AMH57" s="13"/>
      <c r="AMI57" s="13"/>
      <c r="AMJ57" s="13"/>
      <c r="AMK57" s="13"/>
      <c r="AML57" s="13"/>
      <c r="AMM57" s="13"/>
      <c r="AMN57" s="13"/>
      <c r="AMO57" s="13"/>
      <c r="AMP57" s="13"/>
      <c r="AMQ57" s="13"/>
      <c r="AMR57" s="13"/>
      <c r="AMS57" s="13"/>
      <c r="AMT57" s="13"/>
      <c r="AMU57" s="13"/>
      <c r="AMV57" s="13"/>
      <c r="AMW57" s="13"/>
      <c r="AMX57" s="13"/>
      <c r="AMY57" s="13"/>
      <c r="AMZ57" s="13"/>
      <c r="ANA57" s="13"/>
      <c r="ANB57" s="13"/>
      <c r="ANC57" s="13"/>
      <c r="AND57" s="13"/>
      <c r="ANE57" s="13"/>
      <c r="ANF57" s="13"/>
      <c r="ANG57" s="13"/>
      <c r="ANH57" s="13"/>
      <c r="ANI57" s="13"/>
      <c r="ANJ57" s="13"/>
      <c r="ANK57" s="13"/>
      <c r="ANL57" s="13"/>
      <c r="ANM57" s="13"/>
      <c r="ANN57" s="13"/>
      <c r="ANO57" s="13"/>
      <c r="ANP57" s="13"/>
      <c r="ANQ57" s="13"/>
      <c r="ANR57" s="13"/>
      <c r="ANS57" s="13"/>
      <c r="ANT57" s="13"/>
      <c r="ANU57" s="13"/>
      <c r="ANV57" s="13"/>
      <c r="ANW57" s="13"/>
      <c r="ANX57" s="13"/>
      <c r="ANY57" s="13"/>
      <c r="ANZ57" s="13"/>
      <c r="AOA57" s="13"/>
      <c r="AOB57" s="13"/>
      <c r="AOC57" s="13"/>
      <c r="AOD57" s="13"/>
      <c r="AOE57" s="13"/>
      <c r="AOF57" s="13"/>
      <c r="AOG57" s="13"/>
      <c r="AOH57" s="13"/>
      <c r="AOI57" s="13"/>
      <c r="AOJ57" s="13"/>
      <c r="AOK57" s="13"/>
      <c r="AOL57" s="13"/>
      <c r="AOM57" s="13"/>
      <c r="AON57" s="13"/>
      <c r="AOO57" s="13"/>
      <c r="AOP57" s="13"/>
      <c r="AOQ57" s="13"/>
      <c r="AOR57" s="13"/>
      <c r="AOS57" s="13"/>
      <c r="AOT57" s="13"/>
      <c r="AOU57" s="13"/>
      <c r="AOV57" s="13"/>
      <c r="AOW57" s="13"/>
      <c r="AOX57" s="13"/>
      <c r="AOY57" s="13"/>
      <c r="AOZ57" s="13"/>
      <c r="APA57" s="13"/>
      <c r="APB57" s="13"/>
      <c r="APC57" s="13"/>
      <c r="APD57" s="13"/>
      <c r="APE57" s="13"/>
      <c r="APF57" s="13"/>
      <c r="APG57" s="13"/>
      <c r="APH57" s="13"/>
      <c r="API57" s="13"/>
      <c r="APJ57" s="13"/>
      <c r="APK57" s="13"/>
      <c r="APL57" s="13"/>
      <c r="APM57" s="13"/>
      <c r="APN57" s="13"/>
      <c r="APO57" s="13"/>
      <c r="APP57" s="13"/>
      <c r="APQ57" s="13"/>
      <c r="APR57" s="13"/>
      <c r="APS57" s="13"/>
      <c r="APT57" s="13"/>
      <c r="APU57" s="13"/>
      <c r="APV57" s="13"/>
      <c r="APW57" s="13"/>
      <c r="APX57" s="13"/>
      <c r="APY57" s="13"/>
      <c r="APZ57" s="13"/>
      <c r="AQA57" s="13"/>
      <c r="AQB57" s="13"/>
      <c r="AQC57" s="13"/>
      <c r="AQD57" s="13"/>
      <c r="AQE57" s="13"/>
      <c r="AQF57" s="13"/>
      <c r="AQG57" s="13"/>
      <c r="AQH57" s="13"/>
      <c r="AQI57" s="13"/>
      <c r="AQJ57" s="13"/>
      <c r="AQK57" s="13"/>
      <c r="AQL57" s="13"/>
      <c r="AQM57" s="13"/>
      <c r="AQN57" s="13"/>
      <c r="AQO57" s="13"/>
      <c r="AQP57" s="13"/>
      <c r="AQQ57" s="13"/>
      <c r="AQR57" s="13"/>
      <c r="AQS57" s="13"/>
      <c r="AQT57" s="13"/>
      <c r="AQU57" s="13"/>
      <c r="AQV57" s="13"/>
      <c r="AQW57" s="13"/>
      <c r="AQX57" s="13"/>
      <c r="AQY57" s="13"/>
      <c r="AQZ57" s="13"/>
      <c r="ARA57" s="13"/>
      <c r="ARB57" s="13"/>
      <c r="ARC57" s="13"/>
      <c r="ARD57" s="13"/>
      <c r="ARE57" s="13"/>
      <c r="ARF57" s="13"/>
      <c r="ARG57" s="13"/>
      <c r="ARH57" s="13"/>
      <c r="ARI57" s="13"/>
      <c r="ARJ57" s="13"/>
      <c r="ARK57" s="13"/>
      <c r="ARL57" s="13"/>
      <c r="ARM57" s="13"/>
      <c r="ARN57" s="13"/>
      <c r="ARO57" s="13"/>
      <c r="ARP57" s="13"/>
      <c r="ARQ57" s="13"/>
      <c r="ARR57" s="13"/>
      <c r="ARS57" s="13"/>
      <c r="ART57" s="13"/>
      <c r="ARU57" s="13"/>
      <c r="ARV57" s="13"/>
      <c r="ARW57" s="13"/>
      <c r="ARX57" s="13"/>
      <c r="ARY57" s="13"/>
      <c r="ARZ57" s="13"/>
      <c r="ASA57" s="13"/>
      <c r="ASB57" s="13"/>
      <c r="ASC57" s="13"/>
      <c r="ASD57" s="13"/>
      <c r="ASE57" s="13"/>
      <c r="ASF57" s="13"/>
      <c r="ASG57" s="13"/>
      <c r="ASH57" s="13"/>
      <c r="ASI57" s="13"/>
      <c r="ASJ57" s="13"/>
      <c r="ASK57" s="13"/>
      <c r="ASL57" s="13"/>
      <c r="ASM57" s="13"/>
      <c r="ASN57" s="13"/>
      <c r="ASO57" s="13"/>
      <c r="ASP57" s="13"/>
      <c r="ASQ57" s="13"/>
      <c r="ASR57" s="13"/>
      <c r="ASS57" s="13"/>
      <c r="AST57" s="13"/>
      <c r="ASU57" s="13"/>
      <c r="ASV57" s="13"/>
      <c r="ASW57" s="13"/>
      <c r="ASX57" s="13"/>
      <c r="ASY57" s="13"/>
      <c r="ASZ57" s="13"/>
      <c r="ATA57" s="13"/>
      <c r="ATB57" s="13"/>
      <c r="ATC57" s="13"/>
      <c r="ATD57" s="13"/>
      <c r="ATE57" s="13"/>
      <c r="ATF57" s="13"/>
      <c r="ATG57" s="13"/>
      <c r="ATH57" s="13"/>
      <c r="ATI57" s="13"/>
      <c r="ATJ57" s="13"/>
      <c r="ATK57" s="13"/>
      <c r="ATL57" s="13"/>
      <c r="ATM57" s="13"/>
      <c r="ATN57" s="13"/>
      <c r="ATO57" s="13"/>
      <c r="ATP57" s="13"/>
      <c r="ATQ57" s="13"/>
      <c r="ATR57" s="13"/>
      <c r="ATS57" s="13"/>
      <c r="ATT57" s="13"/>
      <c r="ATU57" s="13"/>
      <c r="ATV57" s="13"/>
      <c r="ATW57" s="13"/>
      <c r="ATX57" s="13"/>
      <c r="ATY57" s="13"/>
      <c r="ATZ57" s="13"/>
      <c r="AUA57" s="13"/>
      <c r="AUB57" s="13"/>
      <c r="AUC57" s="13"/>
      <c r="AUD57" s="13"/>
      <c r="AUE57" s="13"/>
      <c r="AUF57" s="13"/>
      <c r="AUG57" s="13"/>
      <c r="AUH57" s="13"/>
      <c r="AUI57" s="13"/>
      <c r="AUJ57" s="13"/>
      <c r="AUK57" s="13"/>
      <c r="AUL57" s="13"/>
      <c r="AUM57" s="13"/>
      <c r="AUN57" s="13"/>
      <c r="AUO57" s="13"/>
      <c r="AUP57" s="13"/>
      <c r="AUQ57" s="13"/>
      <c r="AUR57" s="13"/>
      <c r="AUS57" s="13"/>
      <c r="AUT57" s="13"/>
      <c r="AUU57" s="13"/>
      <c r="AUV57" s="13"/>
      <c r="AUW57" s="13"/>
      <c r="AUX57" s="13"/>
      <c r="AUY57" s="13"/>
      <c r="AUZ57" s="13"/>
      <c r="AVA57" s="13"/>
      <c r="AVB57" s="13"/>
      <c r="AVC57" s="13"/>
      <c r="AVD57" s="13"/>
      <c r="AVE57" s="13"/>
      <c r="AVF57" s="13"/>
      <c r="AVG57" s="13"/>
      <c r="AVH57" s="13"/>
      <c r="AVI57" s="13"/>
      <c r="AVJ57" s="13"/>
      <c r="AVK57" s="13"/>
      <c r="AVL57" s="13"/>
      <c r="AVM57" s="13"/>
      <c r="AVN57" s="13"/>
      <c r="AVO57" s="13"/>
      <c r="AVP57" s="13"/>
      <c r="AVQ57" s="13"/>
      <c r="AVR57" s="13"/>
      <c r="AVS57" s="13"/>
      <c r="AVT57" s="13"/>
      <c r="AVU57" s="13"/>
      <c r="AVV57" s="13"/>
      <c r="AVW57" s="13"/>
      <c r="AVX57" s="13"/>
      <c r="AVY57" s="13"/>
      <c r="AVZ57" s="13"/>
      <c r="AWA57" s="13"/>
      <c r="AWB57" s="13"/>
      <c r="AWC57" s="13"/>
      <c r="AWD57" s="13"/>
      <c r="AWE57" s="13"/>
      <c r="AWF57" s="13"/>
      <c r="AWG57" s="13"/>
      <c r="AWH57" s="13"/>
      <c r="AWI57" s="13"/>
      <c r="AWJ57" s="13"/>
      <c r="AWK57" s="13"/>
      <c r="AWL57" s="13"/>
      <c r="AWM57" s="13"/>
      <c r="AWN57" s="13"/>
      <c r="AWO57" s="13"/>
      <c r="AWP57" s="13"/>
      <c r="AWQ57" s="13"/>
      <c r="AWR57" s="13"/>
      <c r="AWS57" s="13"/>
      <c r="AWT57" s="13"/>
      <c r="AWU57" s="13"/>
      <c r="AWV57" s="13"/>
      <c r="AWW57" s="13"/>
      <c r="AWX57" s="13"/>
      <c r="AWY57" s="13"/>
      <c r="AWZ57" s="13"/>
      <c r="AXA57" s="13"/>
      <c r="AXB57" s="13"/>
      <c r="AXC57" s="13"/>
      <c r="AXD57" s="13"/>
      <c r="AXE57" s="13"/>
      <c r="AXF57" s="13"/>
      <c r="AXG57" s="13"/>
      <c r="AXH57" s="13"/>
      <c r="AXI57" s="13"/>
      <c r="AXJ57" s="13"/>
      <c r="AXK57" s="13"/>
      <c r="AXL57" s="13"/>
      <c r="AXM57" s="13"/>
      <c r="AXN57" s="13"/>
      <c r="AXO57" s="13"/>
      <c r="AXP57" s="13"/>
      <c r="AXQ57" s="13"/>
      <c r="AXR57" s="13"/>
      <c r="AXS57" s="13"/>
      <c r="AXT57" s="13"/>
      <c r="AXU57" s="13"/>
      <c r="AXV57" s="13"/>
      <c r="AXW57" s="13"/>
      <c r="AXX57" s="13"/>
      <c r="AXY57" s="13"/>
      <c r="AXZ57" s="13"/>
      <c r="AYA57" s="13"/>
      <c r="AYB57" s="13"/>
      <c r="AYC57" s="13"/>
      <c r="AYD57" s="13"/>
      <c r="AYE57" s="13"/>
      <c r="AYF57" s="13"/>
      <c r="AYG57" s="13"/>
      <c r="AYH57" s="13"/>
      <c r="AYI57" s="13"/>
      <c r="AYJ57" s="13"/>
      <c r="AYK57" s="13"/>
      <c r="AYL57" s="13"/>
      <c r="AYM57" s="13"/>
      <c r="AYN57" s="13"/>
      <c r="AYO57" s="13"/>
      <c r="AYP57" s="13"/>
      <c r="AYQ57" s="13"/>
      <c r="AYR57" s="13"/>
      <c r="AYS57" s="13"/>
      <c r="AYT57" s="13"/>
      <c r="AYU57" s="13"/>
      <c r="AYV57" s="13"/>
      <c r="AYW57" s="13"/>
      <c r="AYX57" s="13"/>
      <c r="AYY57" s="13"/>
      <c r="AYZ57" s="13"/>
      <c r="AZA57" s="13"/>
      <c r="AZB57" s="13"/>
      <c r="AZC57" s="13"/>
      <c r="AZD57" s="13"/>
      <c r="AZE57" s="13"/>
      <c r="AZF57" s="13"/>
      <c r="AZG57" s="13"/>
      <c r="AZH57" s="13"/>
      <c r="AZI57" s="13"/>
      <c r="AZJ57" s="13"/>
      <c r="AZK57" s="13"/>
      <c r="AZL57" s="13"/>
      <c r="AZM57" s="13"/>
      <c r="AZN57" s="13"/>
      <c r="AZO57" s="13"/>
      <c r="AZP57" s="13"/>
      <c r="AZQ57" s="13"/>
      <c r="AZR57" s="13"/>
      <c r="AZS57" s="13"/>
      <c r="AZT57" s="13"/>
      <c r="AZU57" s="13"/>
      <c r="AZV57" s="13"/>
      <c r="AZW57" s="13"/>
      <c r="AZX57" s="13"/>
      <c r="AZY57" s="13"/>
      <c r="AZZ57" s="13"/>
      <c r="BAA57" s="13"/>
      <c r="BAB57" s="13"/>
      <c r="BAC57" s="13"/>
      <c r="BAD57" s="13"/>
      <c r="BAE57" s="13"/>
      <c r="BAF57" s="13"/>
      <c r="BAG57" s="13"/>
      <c r="BAH57" s="13"/>
      <c r="BAI57" s="13"/>
      <c r="BAJ57" s="13"/>
      <c r="BAK57" s="13"/>
      <c r="BAL57" s="13"/>
      <c r="BAM57" s="13"/>
      <c r="BAN57" s="13"/>
      <c r="BAO57" s="13"/>
      <c r="BAP57" s="13"/>
      <c r="BAQ57" s="13"/>
      <c r="BAR57" s="13"/>
      <c r="BAS57" s="13"/>
      <c r="BAT57" s="13"/>
      <c r="BAU57" s="13"/>
      <c r="BAV57" s="13"/>
      <c r="BAW57" s="13"/>
      <c r="BAX57" s="13"/>
      <c r="BAY57" s="13"/>
      <c r="BAZ57" s="13"/>
      <c r="BBA57" s="13"/>
      <c r="BBB57" s="13"/>
      <c r="BBC57" s="13"/>
      <c r="BBD57" s="13"/>
      <c r="BBE57" s="13"/>
      <c r="BBF57" s="13"/>
      <c r="BBG57" s="13"/>
      <c r="BBH57" s="13"/>
      <c r="BBI57" s="13"/>
      <c r="BBJ57" s="13"/>
      <c r="BBK57" s="13"/>
      <c r="BBL57" s="13"/>
      <c r="BBM57" s="13"/>
      <c r="BBN57" s="13"/>
      <c r="BBO57" s="13"/>
      <c r="BBP57" s="13"/>
      <c r="BBQ57" s="13"/>
      <c r="BBR57" s="13"/>
      <c r="BBS57" s="13"/>
      <c r="BBT57" s="13"/>
      <c r="BBU57" s="13"/>
      <c r="BBV57" s="13"/>
      <c r="BBW57" s="13"/>
      <c r="BBX57" s="13"/>
      <c r="BBY57" s="13"/>
      <c r="BBZ57" s="13"/>
      <c r="BCA57" s="13"/>
      <c r="BCB57" s="13"/>
      <c r="BCC57" s="13"/>
      <c r="BCD57" s="13"/>
      <c r="BCE57" s="13"/>
      <c r="BCF57" s="13"/>
      <c r="BCG57" s="13"/>
      <c r="BCH57" s="13"/>
      <c r="BCI57" s="13"/>
      <c r="BCJ57" s="13"/>
      <c r="BCK57" s="13"/>
      <c r="BCL57" s="13"/>
      <c r="BCM57" s="13"/>
      <c r="BCN57" s="13"/>
      <c r="BCO57" s="13"/>
      <c r="BCP57" s="13"/>
      <c r="BCQ57" s="13"/>
      <c r="BCR57" s="13"/>
      <c r="BCS57" s="13"/>
      <c r="BCT57" s="13"/>
      <c r="BCU57" s="13"/>
      <c r="BCV57" s="13"/>
      <c r="BCW57" s="13"/>
      <c r="BCX57" s="13"/>
      <c r="BCY57" s="13"/>
      <c r="BCZ57" s="13"/>
      <c r="BDA57" s="13"/>
      <c r="BDB57" s="13"/>
      <c r="BDC57" s="13"/>
      <c r="BDD57" s="13"/>
      <c r="BDE57" s="13"/>
      <c r="BDF57" s="13"/>
      <c r="BDG57" s="13"/>
      <c r="BDH57" s="13"/>
      <c r="BDI57" s="13"/>
      <c r="BDJ57" s="13"/>
      <c r="BDK57" s="13"/>
      <c r="BDL57" s="13"/>
      <c r="BDM57" s="13"/>
      <c r="BDN57" s="13"/>
      <c r="BDO57" s="13"/>
      <c r="BDP57" s="13"/>
      <c r="BDQ57" s="13"/>
      <c r="BDR57" s="13"/>
      <c r="BDS57" s="13"/>
      <c r="BDT57" s="13"/>
      <c r="BDU57" s="13"/>
      <c r="BDV57" s="13"/>
      <c r="BDW57" s="13"/>
      <c r="BDX57" s="13"/>
      <c r="BDY57" s="13"/>
      <c r="BDZ57" s="13"/>
      <c r="BEA57" s="13"/>
      <c r="BEB57" s="13"/>
      <c r="BEC57" s="13"/>
      <c r="BED57" s="13"/>
      <c r="BEE57" s="13"/>
      <c r="BEF57" s="13"/>
      <c r="BEG57" s="13"/>
      <c r="BEH57" s="13"/>
      <c r="BEI57" s="13"/>
      <c r="BEJ57" s="13"/>
      <c r="BEK57" s="13"/>
      <c r="BEL57" s="13"/>
      <c r="BEM57" s="13"/>
      <c r="BEN57" s="13"/>
      <c r="BEO57" s="13"/>
      <c r="BEP57" s="13"/>
      <c r="BEQ57" s="13"/>
      <c r="BER57" s="13"/>
      <c r="BES57" s="13"/>
      <c r="BET57" s="13"/>
      <c r="BEU57" s="13"/>
      <c r="BEV57" s="13"/>
      <c r="BEW57" s="13"/>
      <c r="BEX57" s="13"/>
      <c r="BEY57" s="13"/>
      <c r="BEZ57" s="13"/>
      <c r="BFA57" s="13"/>
      <c r="BFB57" s="13"/>
      <c r="BFC57" s="13"/>
      <c r="BFD57" s="13"/>
      <c r="BFE57" s="13"/>
      <c r="BFF57" s="13"/>
      <c r="BFG57" s="13"/>
      <c r="BFH57" s="13"/>
      <c r="BFI57" s="13"/>
      <c r="BFJ57" s="13"/>
      <c r="BFK57" s="13"/>
      <c r="BFL57" s="13"/>
      <c r="BFM57" s="13"/>
      <c r="BFN57" s="13"/>
      <c r="BFO57" s="13"/>
      <c r="BFP57" s="13"/>
      <c r="BFQ57" s="13"/>
      <c r="BFR57" s="13"/>
      <c r="BFS57" s="13"/>
      <c r="BFT57" s="13"/>
      <c r="BFU57" s="13"/>
      <c r="BFV57" s="13"/>
      <c r="BFW57" s="13"/>
      <c r="BFX57" s="13"/>
      <c r="BFY57" s="13"/>
      <c r="BFZ57" s="13"/>
      <c r="BGA57" s="13"/>
      <c r="BGB57" s="13"/>
      <c r="BGC57" s="13"/>
      <c r="BGD57" s="13"/>
      <c r="BGE57" s="13"/>
      <c r="BGF57" s="13"/>
      <c r="BGG57" s="13"/>
      <c r="BGH57" s="13"/>
      <c r="BGI57" s="13"/>
      <c r="BGJ57" s="13"/>
      <c r="BGK57" s="13"/>
      <c r="BGL57" s="13"/>
      <c r="BGM57" s="13"/>
      <c r="BGN57" s="13"/>
      <c r="BGO57" s="13"/>
      <c r="BGP57" s="13"/>
      <c r="BGQ57" s="13"/>
      <c r="BGR57" s="13"/>
      <c r="BGS57" s="13"/>
      <c r="BGT57" s="13"/>
      <c r="BGU57" s="13"/>
      <c r="BGV57" s="13"/>
      <c r="BGW57" s="13"/>
      <c r="BGX57" s="13"/>
      <c r="BGY57" s="13"/>
      <c r="BGZ57" s="13"/>
      <c r="BHA57" s="13"/>
      <c r="BHB57" s="13"/>
      <c r="BHC57" s="13"/>
      <c r="BHD57" s="13"/>
      <c r="BHE57" s="13"/>
      <c r="BHF57" s="13"/>
      <c r="BHG57" s="13"/>
      <c r="BHH57" s="13"/>
      <c r="BHI57" s="13"/>
      <c r="BHJ57" s="13"/>
      <c r="BHK57" s="13"/>
      <c r="BHL57" s="13"/>
      <c r="BHM57" s="13"/>
      <c r="BHN57" s="13"/>
      <c r="BHO57" s="13"/>
      <c r="BHP57" s="13"/>
      <c r="BHQ57" s="13"/>
      <c r="BHR57" s="13"/>
      <c r="BHS57" s="13"/>
      <c r="BHT57" s="13"/>
      <c r="BHU57" s="13"/>
      <c r="BHV57" s="13"/>
      <c r="BHW57" s="13"/>
      <c r="BHX57" s="13"/>
      <c r="BHY57" s="13"/>
      <c r="BHZ57" s="13"/>
      <c r="BIA57" s="13"/>
      <c r="BIB57" s="13"/>
      <c r="BIC57" s="13"/>
      <c r="BID57" s="13"/>
      <c r="BIE57" s="13"/>
      <c r="BIF57" s="13"/>
      <c r="BIG57" s="13"/>
      <c r="BIH57" s="13"/>
      <c r="BII57" s="13"/>
      <c r="BIJ57" s="13"/>
      <c r="BIK57" s="13"/>
      <c r="BIL57" s="13"/>
      <c r="BIM57" s="13"/>
      <c r="BIN57" s="13"/>
      <c r="BIO57" s="13"/>
      <c r="BIP57" s="13"/>
      <c r="BIQ57" s="13"/>
      <c r="BIR57" s="13"/>
      <c r="BIS57" s="13"/>
      <c r="BIT57" s="13"/>
      <c r="BIU57" s="13"/>
      <c r="BIV57" s="13"/>
      <c r="BIW57" s="13"/>
      <c r="BIX57" s="13"/>
      <c r="BIY57" s="13"/>
      <c r="BIZ57" s="13"/>
      <c r="BJA57" s="13"/>
      <c r="BJB57" s="13"/>
      <c r="BJC57" s="13"/>
      <c r="BJD57" s="13"/>
      <c r="BJE57" s="13"/>
      <c r="BJF57" s="13"/>
      <c r="BJG57" s="13"/>
      <c r="BJH57" s="13"/>
      <c r="BJI57" s="13"/>
      <c r="BJJ57" s="13"/>
      <c r="BJK57" s="13"/>
      <c r="BJL57" s="13"/>
      <c r="BJM57" s="13"/>
      <c r="BJN57" s="13"/>
      <c r="BJO57" s="13"/>
      <c r="BJP57" s="13"/>
      <c r="BJQ57" s="13"/>
      <c r="BJR57" s="13"/>
      <c r="BJS57" s="13"/>
      <c r="BJT57" s="13"/>
      <c r="BJU57" s="13"/>
      <c r="BJV57" s="13"/>
      <c r="BJW57" s="13"/>
      <c r="BJX57" s="13"/>
      <c r="BJY57" s="13"/>
      <c r="BJZ57" s="13"/>
      <c r="BKA57" s="13"/>
      <c r="BKB57" s="13"/>
      <c r="BKC57" s="13"/>
      <c r="BKD57" s="13"/>
      <c r="BKE57" s="13"/>
      <c r="BKF57" s="13"/>
      <c r="BKG57" s="13"/>
      <c r="BKH57" s="13"/>
      <c r="BKI57" s="13"/>
      <c r="BKJ57" s="13"/>
      <c r="BKK57" s="13"/>
      <c r="BKL57" s="13"/>
      <c r="BKM57" s="13"/>
      <c r="BKN57" s="13"/>
      <c r="BKO57" s="13"/>
      <c r="BKP57" s="13"/>
      <c r="BKQ57" s="13"/>
      <c r="BKR57" s="13"/>
      <c r="BKS57" s="13"/>
      <c r="BKT57" s="13"/>
      <c r="BKU57" s="13"/>
      <c r="BKV57" s="13"/>
      <c r="BKW57" s="13"/>
      <c r="BKX57" s="13"/>
      <c r="BKY57" s="13"/>
      <c r="BKZ57" s="13"/>
      <c r="BLA57" s="13"/>
      <c r="BLB57" s="13"/>
      <c r="BLC57" s="13"/>
      <c r="BLD57" s="13"/>
      <c r="BLE57" s="13"/>
      <c r="BLF57" s="13"/>
      <c r="BLG57" s="13"/>
      <c r="BLH57" s="13"/>
      <c r="BLI57" s="13"/>
      <c r="BLJ57" s="13"/>
      <c r="BLK57" s="13"/>
      <c r="BLL57" s="13"/>
      <c r="BLM57" s="13"/>
      <c r="BLN57" s="13"/>
      <c r="BLO57" s="13"/>
      <c r="BLP57" s="13"/>
      <c r="BLQ57" s="13"/>
      <c r="BLR57" s="13"/>
      <c r="BLS57" s="13"/>
      <c r="BLT57" s="13"/>
      <c r="BLU57" s="13"/>
      <c r="BLV57" s="13"/>
      <c r="BLW57" s="13"/>
      <c r="BLX57" s="13"/>
      <c r="BLY57" s="13"/>
      <c r="BLZ57" s="13"/>
      <c r="BMA57" s="13"/>
      <c r="BMB57" s="13"/>
      <c r="BMC57" s="13"/>
      <c r="BMD57" s="13"/>
      <c r="BME57" s="13"/>
      <c r="BMF57" s="13"/>
      <c r="BMG57" s="13"/>
      <c r="BMH57" s="13"/>
      <c r="BMI57" s="13"/>
      <c r="BMJ57" s="13"/>
      <c r="BMK57" s="13"/>
      <c r="BML57" s="13"/>
      <c r="BMM57" s="13"/>
      <c r="BMN57" s="13"/>
      <c r="BMO57" s="13"/>
      <c r="BMP57" s="13"/>
      <c r="BMQ57" s="13"/>
      <c r="BMR57" s="13"/>
      <c r="BMS57" s="13"/>
      <c r="BMT57" s="13"/>
      <c r="BMU57" s="13"/>
      <c r="BMV57" s="13"/>
      <c r="BMW57" s="13"/>
      <c r="BMX57" s="13"/>
      <c r="BMY57" s="13"/>
      <c r="BMZ57" s="13"/>
      <c r="BNA57" s="13"/>
      <c r="BNB57" s="13"/>
      <c r="BNC57" s="13"/>
      <c r="BND57" s="13"/>
      <c r="BNE57" s="13"/>
      <c r="BNF57" s="13"/>
      <c r="BNG57" s="13"/>
      <c r="BNH57" s="13"/>
      <c r="BNI57" s="13"/>
      <c r="BNJ57" s="13"/>
      <c r="BNK57" s="13"/>
      <c r="BNL57" s="13"/>
      <c r="BNM57" s="13"/>
      <c r="BNN57" s="13"/>
      <c r="BNO57" s="13"/>
      <c r="BNP57" s="13"/>
      <c r="BNQ57" s="13"/>
      <c r="BNR57" s="13"/>
      <c r="BNS57" s="13"/>
      <c r="BNT57" s="13"/>
      <c r="BNU57" s="13"/>
      <c r="BNV57" s="13"/>
      <c r="BNW57" s="13"/>
      <c r="BNX57" s="13"/>
      <c r="BNY57" s="13"/>
      <c r="BNZ57" s="13"/>
      <c r="BOA57" s="13"/>
      <c r="BOB57" s="13"/>
      <c r="BOC57" s="13"/>
      <c r="BOD57" s="13"/>
      <c r="BOE57" s="13"/>
      <c r="BOF57" s="13"/>
      <c r="BOG57" s="13"/>
      <c r="BOH57" s="13"/>
      <c r="BOI57" s="13"/>
      <c r="BOJ57" s="13"/>
      <c r="BOK57" s="13"/>
      <c r="BOL57" s="13"/>
      <c r="BOM57" s="13"/>
      <c r="BON57" s="13"/>
      <c r="BOO57" s="13"/>
      <c r="BOP57" s="13"/>
      <c r="BOQ57" s="13"/>
      <c r="BOR57" s="13"/>
      <c r="BOS57" s="13"/>
      <c r="BOT57" s="13"/>
      <c r="BOU57" s="13"/>
      <c r="BOV57" s="13"/>
      <c r="BOW57" s="13"/>
      <c r="BOX57" s="13"/>
      <c r="BOY57" s="13"/>
      <c r="BOZ57" s="13"/>
      <c r="BPA57" s="13"/>
      <c r="BPB57" s="13"/>
      <c r="BPC57" s="13"/>
      <c r="BPD57" s="13"/>
      <c r="BPE57" s="13"/>
      <c r="BPF57" s="13"/>
      <c r="BPG57" s="13"/>
      <c r="BPH57" s="13"/>
      <c r="BPI57" s="13"/>
      <c r="BPJ57" s="13"/>
      <c r="BPK57" s="13"/>
      <c r="BPL57" s="13"/>
      <c r="BPM57" s="13"/>
      <c r="BPN57" s="13"/>
      <c r="BPO57" s="13"/>
      <c r="BPP57" s="13"/>
      <c r="BPQ57" s="13"/>
      <c r="BPR57" s="13"/>
      <c r="BPS57" s="13"/>
      <c r="BPT57" s="13"/>
      <c r="BPU57" s="13"/>
      <c r="BPV57" s="13"/>
      <c r="BPW57" s="13"/>
      <c r="BPX57" s="13"/>
      <c r="BPY57" s="13"/>
      <c r="BPZ57" s="13"/>
      <c r="BQA57" s="13"/>
      <c r="BQB57" s="13"/>
      <c r="BQC57" s="13"/>
      <c r="BQD57" s="13"/>
      <c r="BQE57" s="13"/>
      <c r="BQF57" s="13"/>
      <c r="BQG57" s="13"/>
      <c r="BQH57" s="13"/>
      <c r="BQI57" s="13"/>
      <c r="BQJ57" s="13"/>
      <c r="BQK57" s="13"/>
      <c r="BQL57" s="13"/>
      <c r="BQM57" s="13"/>
      <c r="BQN57" s="13"/>
      <c r="BQO57" s="13"/>
      <c r="BQP57" s="13"/>
      <c r="BQQ57" s="13"/>
      <c r="BQR57" s="13"/>
      <c r="BQS57" s="13"/>
      <c r="BQT57" s="13"/>
      <c r="BQU57" s="13"/>
      <c r="BQV57" s="13"/>
      <c r="BQW57" s="13"/>
      <c r="BQX57" s="13"/>
      <c r="BQY57" s="13"/>
      <c r="BQZ57" s="13"/>
      <c r="BRA57" s="13"/>
      <c r="BRB57" s="13"/>
      <c r="BRC57" s="13"/>
      <c r="BRD57" s="13"/>
      <c r="BRE57" s="13"/>
      <c r="BRF57" s="13"/>
      <c r="BRG57" s="13"/>
      <c r="BRH57" s="13"/>
      <c r="BRI57" s="13"/>
      <c r="BRJ57" s="13"/>
      <c r="BRK57" s="13"/>
      <c r="BRL57" s="13"/>
      <c r="BRM57" s="13"/>
      <c r="BRN57" s="13"/>
      <c r="BRO57" s="13"/>
      <c r="BRP57" s="13"/>
      <c r="BRQ57" s="13"/>
      <c r="BRR57" s="13"/>
      <c r="BRS57" s="13"/>
      <c r="BRT57" s="13"/>
      <c r="BRU57" s="13"/>
      <c r="BRV57" s="13"/>
      <c r="BRW57" s="13"/>
      <c r="BRX57" s="13"/>
      <c r="BRY57" s="13"/>
      <c r="BRZ57" s="13"/>
      <c r="BSA57" s="13"/>
      <c r="BSB57" s="13"/>
      <c r="BSC57" s="13"/>
      <c r="BSD57" s="13"/>
      <c r="BSE57" s="13"/>
      <c r="BSF57" s="13"/>
      <c r="BSG57" s="13"/>
      <c r="BSH57" s="13"/>
      <c r="BSI57" s="13"/>
      <c r="BSJ57" s="13"/>
      <c r="BSK57" s="13"/>
      <c r="BSL57" s="13"/>
      <c r="BSM57" s="13"/>
      <c r="BSN57" s="13"/>
      <c r="BSO57" s="13"/>
      <c r="BSP57" s="13"/>
      <c r="BSQ57" s="13"/>
      <c r="BSR57" s="13"/>
      <c r="BSS57" s="13"/>
      <c r="BST57" s="13"/>
      <c r="BSU57" s="13"/>
      <c r="BSV57" s="13"/>
      <c r="BSW57" s="13"/>
      <c r="BSX57" s="13"/>
      <c r="BSY57" s="13"/>
      <c r="BSZ57" s="13"/>
      <c r="BTA57" s="13"/>
      <c r="BTB57" s="13"/>
      <c r="BTC57" s="13"/>
      <c r="BTD57" s="13"/>
      <c r="BTE57" s="13"/>
      <c r="BTF57" s="13"/>
      <c r="BTG57" s="13"/>
      <c r="BTH57" s="13"/>
      <c r="BTI57" s="13"/>
      <c r="BTJ57" s="13"/>
      <c r="BTK57" s="13"/>
      <c r="BTL57" s="13"/>
      <c r="BTM57" s="13"/>
      <c r="BTN57" s="13"/>
      <c r="BTO57" s="13"/>
      <c r="BTP57" s="13"/>
      <c r="BTQ57" s="13"/>
      <c r="BTR57" s="13"/>
      <c r="BTS57" s="13"/>
      <c r="BTT57" s="13"/>
      <c r="BTU57" s="13"/>
      <c r="BTV57" s="13"/>
      <c r="BTW57" s="13"/>
      <c r="BTX57" s="13"/>
      <c r="BTY57" s="13"/>
      <c r="BTZ57" s="13"/>
      <c r="BUA57" s="13"/>
      <c r="BUB57" s="13"/>
      <c r="BUC57" s="13"/>
      <c r="BUD57" s="13"/>
      <c r="BUE57" s="13"/>
      <c r="BUF57" s="13"/>
      <c r="BUG57" s="13"/>
      <c r="BUH57" s="13"/>
      <c r="BUI57" s="13"/>
      <c r="BUJ57" s="13"/>
      <c r="BUK57" s="13"/>
      <c r="BUL57" s="13"/>
      <c r="BUM57" s="13"/>
      <c r="BUN57" s="13"/>
      <c r="BUO57" s="13"/>
      <c r="BUP57" s="13"/>
      <c r="BUQ57" s="13"/>
      <c r="BUR57" s="13"/>
      <c r="BUS57" s="13"/>
      <c r="BUT57" s="13"/>
      <c r="BUU57" s="13"/>
      <c r="BUV57" s="13"/>
      <c r="BUW57" s="13"/>
      <c r="BUX57" s="13"/>
      <c r="BUY57" s="13"/>
      <c r="BUZ57" s="13"/>
      <c r="BVA57" s="13"/>
      <c r="BVB57" s="13"/>
      <c r="BVC57" s="13"/>
      <c r="BVD57" s="13"/>
      <c r="BVE57" s="13"/>
      <c r="BVF57" s="13"/>
      <c r="BVG57" s="13"/>
      <c r="BVH57" s="13"/>
      <c r="BVI57" s="13"/>
      <c r="BVJ57" s="13"/>
      <c r="BVK57" s="13"/>
      <c r="BVL57" s="13"/>
      <c r="BVM57" s="13"/>
      <c r="BVN57" s="13"/>
      <c r="BVO57" s="13"/>
      <c r="BVP57" s="13"/>
      <c r="BVQ57" s="13"/>
      <c r="BVR57" s="13"/>
      <c r="BVS57" s="13"/>
      <c r="BVT57" s="13"/>
      <c r="BVU57" s="13"/>
      <c r="BVV57" s="13"/>
      <c r="BVW57" s="13"/>
      <c r="BVX57" s="13"/>
      <c r="BVY57" s="13"/>
      <c r="BVZ57" s="13"/>
      <c r="BWA57" s="13"/>
      <c r="BWB57" s="13"/>
      <c r="BWC57" s="13"/>
      <c r="BWD57" s="13"/>
      <c r="BWE57" s="13"/>
      <c r="BWF57" s="13"/>
      <c r="BWG57" s="13"/>
      <c r="BWH57" s="13"/>
      <c r="BWI57" s="13"/>
      <c r="BWJ57" s="13"/>
      <c r="BWK57" s="13"/>
      <c r="BWL57" s="13"/>
      <c r="BWM57" s="13"/>
      <c r="BWN57" s="13"/>
      <c r="BWO57" s="13"/>
      <c r="BWP57" s="13"/>
      <c r="BWQ57" s="13"/>
      <c r="BWR57" s="13"/>
      <c r="BWS57" s="13"/>
      <c r="BWT57" s="13"/>
      <c r="BWU57" s="13"/>
      <c r="BWV57" s="13"/>
      <c r="BWW57" s="13"/>
      <c r="BWX57" s="13"/>
      <c r="BWY57" s="13"/>
      <c r="BWZ57" s="13"/>
      <c r="BXA57" s="13"/>
      <c r="BXB57" s="13"/>
      <c r="BXC57" s="13"/>
      <c r="BXD57" s="13"/>
      <c r="BXE57" s="13"/>
      <c r="BXF57" s="13"/>
      <c r="BXG57" s="13"/>
      <c r="BXH57" s="13"/>
      <c r="BXI57" s="13"/>
      <c r="BXJ57" s="13"/>
      <c r="BXK57" s="13"/>
      <c r="BXL57" s="13"/>
      <c r="BXM57" s="13"/>
      <c r="BXN57" s="13"/>
      <c r="BXO57" s="13"/>
      <c r="BXP57" s="13"/>
      <c r="BXQ57" s="13"/>
      <c r="BXR57" s="13"/>
      <c r="BXS57" s="13"/>
      <c r="BXT57" s="13"/>
      <c r="BXU57" s="13"/>
      <c r="BXV57" s="13"/>
      <c r="BXW57" s="13"/>
      <c r="BXX57" s="13"/>
      <c r="BXY57" s="13"/>
      <c r="BXZ57" s="13"/>
      <c r="BYA57" s="13"/>
      <c r="BYB57" s="13"/>
      <c r="BYC57" s="13"/>
      <c r="BYD57" s="13"/>
      <c r="BYE57" s="13"/>
      <c r="BYF57" s="13"/>
      <c r="BYG57" s="13"/>
      <c r="BYH57" s="13"/>
      <c r="BYI57" s="13"/>
      <c r="BYJ57" s="13"/>
      <c r="BYK57" s="13"/>
      <c r="BYL57" s="13"/>
      <c r="BYM57" s="13"/>
      <c r="BYN57" s="13"/>
      <c r="BYO57" s="13"/>
      <c r="BYP57" s="13"/>
      <c r="BYQ57" s="13"/>
      <c r="BYR57" s="13"/>
      <c r="BYS57" s="13"/>
      <c r="BYT57" s="13"/>
      <c r="BYU57" s="13"/>
      <c r="BYV57" s="13"/>
      <c r="BYW57" s="13"/>
      <c r="BYX57" s="13"/>
      <c r="BYY57" s="13"/>
      <c r="BYZ57" s="13"/>
      <c r="BZA57" s="13"/>
      <c r="BZB57" s="13"/>
      <c r="BZC57" s="13"/>
      <c r="BZD57" s="13"/>
      <c r="BZE57" s="13"/>
      <c r="BZF57" s="13"/>
      <c r="BZG57" s="13"/>
      <c r="BZH57" s="13"/>
      <c r="BZI57" s="13"/>
      <c r="BZJ57" s="13"/>
      <c r="BZK57" s="13"/>
      <c r="BZL57" s="13"/>
      <c r="BZM57" s="13"/>
      <c r="BZN57" s="13"/>
      <c r="BZO57" s="13"/>
      <c r="BZP57" s="13"/>
      <c r="BZQ57" s="13"/>
      <c r="BZR57" s="13"/>
      <c r="BZS57" s="13"/>
      <c r="BZT57" s="13"/>
      <c r="BZU57" s="13"/>
      <c r="BZV57" s="13"/>
      <c r="BZW57" s="13"/>
      <c r="BZX57" s="13"/>
      <c r="BZY57" s="13"/>
      <c r="BZZ57" s="13"/>
      <c r="CAA57" s="13"/>
      <c r="CAB57" s="13"/>
      <c r="CAC57" s="13"/>
      <c r="CAD57" s="13"/>
      <c r="CAE57" s="13"/>
      <c r="CAF57" s="13"/>
      <c r="CAG57" s="13"/>
      <c r="CAH57" s="13"/>
      <c r="CAI57" s="13"/>
      <c r="CAJ57" s="13"/>
      <c r="CAK57" s="13"/>
      <c r="CAL57" s="13"/>
      <c r="CAM57" s="13"/>
      <c r="CAN57" s="13"/>
      <c r="CAO57" s="13"/>
      <c r="CAP57" s="13"/>
      <c r="CAQ57" s="13"/>
      <c r="CAR57" s="13"/>
      <c r="CAS57" s="13"/>
      <c r="CAT57" s="13"/>
      <c r="CAU57" s="13"/>
      <c r="CAV57" s="13"/>
      <c r="CAW57" s="13"/>
      <c r="CAX57" s="13"/>
      <c r="CAY57" s="13"/>
      <c r="CAZ57" s="13"/>
      <c r="CBA57" s="13"/>
      <c r="CBB57" s="13"/>
      <c r="CBC57" s="13"/>
      <c r="CBD57" s="13"/>
      <c r="CBE57" s="13"/>
      <c r="CBF57" s="13"/>
      <c r="CBG57" s="13"/>
      <c r="CBH57" s="13"/>
      <c r="CBI57" s="13"/>
      <c r="CBJ57" s="13"/>
      <c r="CBK57" s="13"/>
      <c r="CBL57" s="13"/>
      <c r="CBM57" s="13"/>
      <c r="CBN57" s="13"/>
      <c r="CBO57" s="13"/>
      <c r="CBP57" s="13"/>
      <c r="CBQ57" s="13"/>
      <c r="CBR57" s="13"/>
      <c r="CBS57" s="13"/>
      <c r="CBT57" s="13"/>
      <c r="CBU57" s="13"/>
      <c r="CBV57" s="13"/>
      <c r="CBW57" s="13"/>
      <c r="CBX57" s="13"/>
      <c r="CBY57" s="13"/>
      <c r="CBZ57" s="13"/>
      <c r="CCA57" s="13"/>
      <c r="CCB57" s="13"/>
      <c r="CCC57" s="13"/>
      <c r="CCD57" s="13"/>
      <c r="CCE57" s="13"/>
      <c r="CCF57" s="13"/>
      <c r="CCG57" s="13"/>
      <c r="CCH57" s="13"/>
      <c r="CCI57" s="13"/>
      <c r="CCJ57" s="13"/>
      <c r="CCK57" s="13"/>
      <c r="CCL57" s="13"/>
      <c r="CCM57" s="13"/>
      <c r="CCN57" s="13"/>
      <c r="CCO57" s="13"/>
      <c r="CCP57" s="13"/>
      <c r="CCQ57" s="13"/>
      <c r="CCR57" s="13"/>
      <c r="CCS57" s="13"/>
      <c r="CCT57" s="13"/>
      <c r="CCU57" s="13"/>
      <c r="CCV57" s="13"/>
      <c r="CCW57" s="13"/>
      <c r="CCX57" s="13"/>
      <c r="CCY57" s="13"/>
      <c r="CCZ57" s="13"/>
      <c r="CDA57" s="13"/>
      <c r="CDB57" s="13"/>
      <c r="CDC57" s="13"/>
      <c r="CDD57" s="13"/>
      <c r="CDE57" s="13"/>
      <c r="CDF57" s="13"/>
      <c r="CDG57" s="13"/>
      <c r="CDH57" s="13"/>
      <c r="CDI57" s="13"/>
      <c r="CDJ57" s="13"/>
      <c r="CDK57" s="13"/>
      <c r="CDL57" s="13"/>
      <c r="CDM57" s="13"/>
      <c r="CDN57" s="13"/>
      <c r="CDO57" s="13"/>
      <c r="CDP57" s="13"/>
      <c r="CDQ57" s="13"/>
      <c r="CDR57" s="13"/>
      <c r="CDS57" s="13"/>
      <c r="CDT57" s="13"/>
      <c r="CDU57" s="13"/>
      <c r="CDV57" s="13"/>
      <c r="CDW57" s="13"/>
      <c r="CDX57" s="13"/>
      <c r="CDY57" s="13"/>
      <c r="CDZ57" s="13"/>
      <c r="CEA57" s="13"/>
      <c r="CEB57" s="13"/>
      <c r="CEC57" s="13"/>
      <c r="CED57" s="13"/>
      <c r="CEE57" s="13"/>
      <c r="CEF57" s="13"/>
      <c r="CEG57" s="13"/>
      <c r="CEH57" s="13"/>
      <c r="CEI57" s="13"/>
      <c r="CEJ57" s="13"/>
      <c r="CEK57" s="13"/>
      <c r="CEL57" s="13"/>
      <c r="CEM57" s="13"/>
      <c r="CEN57" s="13"/>
      <c r="CEO57" s="13"/>
      <c r="CEP57" s="13"/>
      <c r="CEQ57" s="13"/>
      <c r="CER57" s="13"/>
      <c r="CES57" s="13"/>
      <c r="CET57" s="13"/>
      <c r="CEU57" s="13"/>
      <c r="CEV57" s="13"/>
      <c r="CEW57" s="13"/>
      <c r="CEX57" s="13"/>
      <c r="CEY57" s="13"/>
      <c r="CEZ57" s="13"/>
      <c r="CFA57" s="13"/>
      <c r="CFB57" s="13"/>
      <c r="CFC57" s="13"/>
      <c r="CFD57" s="13"/>
      <c r="CFE57" s="13"/>
      <c r="CFF57" s="13"/>
      <c r="CFG57" s="13"/>
      <c r="CFH57" s="13"/>
      <c r="CFI57" s="13"/>
      <c r="CFJ57" s="13"/>
      <c r="CFK57" s="13"/>
      <c r="CFL57" s="13"/>
      <c r="CFM57" s="13"/>
      <c r="CFN57" s="13"/>
      <c r="CFO57" s="13"/>
      <c r="CFP57" s="13"/>
      <c r="CFQ57" s="13"/>
      <c r="CFR57" s="13"/>
      <c r="CFS57" s="13"/>
      <c r="CFT57" s="13"/>
      <c r="CFU57" s="13"/>
      <c r="CFV57" s="13"/>
      <c r="CFW57" s="13"/>
      <c r="CFX57" s="13"/>
      <c r="CFY57" s="13"/>
      <c r="CFZ57" s="13"/>
      <c r="CGA57" s="13"/>
      <c r="CGB57" s="13"/>
      <c r="CGC57" s="13"/>
      <c r="CGD57" s="13"/>
      <c r="CGE57" s="13"/>
      <c r="CGF57" s="13"/>
      <c r="CGG57" s="13"/>
      <c r="CGH57" s="13"/>
      <c r="CGI57" s="13"/>
      <c r="CGJ57" s="13"/>
      <c r="CGK57" s="13"/>
      <c r="CGL57" s="13"/>
      <c r="CGM57" s="13"/>
      <c r="CGN57" s="13"/>
      <c r="CGO57" s="13"/>
      <c r="CGP57" s="13"/>
      <c r="CGQ57" s="13"/>
      <c r="CGR57" s="13"/>
      <c r="CGS57" s="13"/>
      <c r="CGT57" s="13"/>
      <c r="CGU57" s="13"/>
      <c r="CGV57" s="13"/>
      <c r="CGW57" s="13"/>
      <c r="CGX57" s="13"/>
      <c r="CGY57" s="13"/>
      <c r="CGZ57" s="13"/>
      <c r="CHA57" s="13"/>
      <c r="CHB57" s="13"/>
      <c r="CHC57" s="13"/>
      <c r="CHD57" s="13"/>
      <c r="CHE57" s="13"/>
      <c r="CHF57" s="13"/>
      <c r="CHG57" s="13"/>
      <c r="CHH57" s="13"/>
      <c r="CHI57" s="13"/>
      <c r="CHJ57" s="13"/>
      <c r="CHK57" s="13"/>
      <c r="CHL57" s="13"/>
      <c r="CHM57" s="13"/>
      <c r="CHN57" s="13"/>
      <c r="CHO57" s="13"/>
      <c r="CHP57" s="13"/>
      <c r="CHQ57" s="13"/>
      <c r="CHR57" s="13"/>
      <c r="CHS57" s="13"/>
      <c r="CHT57" s="13"/>
      <c r="CHU57" s="13"/>
      <c r="CHV57" s="13"/>
      <c r="CHW57" s="13"/>
      <c r="CHX57" s="13"/>
      <c r="CHY57" s="13"/>
      <c r="CHZ57" s="13"/>
      <c r="CIA57" s="13"/>
      <c r="CIB57" s="13"/>
      <c r="CIC57" s="13"/>
      <c r="CID57" s="13"/>
      <c r="CIE57" s="13"/>
      <c r="CIF57" s="13"/>
      <c r="CIG57" s="13"/>
      <c r="CIH57" s="13"/>
      <c r="CII57" s="13"/>
      <c r="CIJ57" s="13"/>
      <c r="CIK57" s="13"/>
      <c r="CIL57" s="13"/>
      <c r="CIM57" s="13"/>
      <c r="CIN57" s="13"/>
      <c r="CIO57" s="13"/>
      <c r="CIP57" s="13"/>
      <c r="CIQ57" s="13"/>
      <c r="CIR57" s="13"/>
      <c r="CIS57" s="13"/>
      <c r="CIT57" s="13"/>
      <c r="CIU57" s="13"/>
      <c r="CIV57" s="13"/>
      <c r="CIW57" s="13"/>
      <c r="CIX57" s="13"/>
      <c r="CIY57" s="13"/>
      <c r="CIZ57" s="13"/>
      <c r="CJA57" s="13"/>
      <c r="CJB57" s="13"/>
      <c r="CJC57" s="13"/>
      <c r="CJD57" s="13"/>
      <c r="CJE57" s="13"/>
      <c r="CJF57" s="13"/>
      <c r="CJG57" s="13"/>
      <c r="CJH57" s="13"/>
      <c r="CJI57" s="13"/>
      <c r="CJJ57" s="13"/>
      <c r="CJK57" s="13"/>
      <c r="CJL57" s="13"/>
      <c r="CJM57" s="13"/>
      <c r="CJN57" s="13"/>
      <c r="CJO57" s="13"/>
      <c r="CJP57" s="13"/>
      <c r="CJQ57" s="13"/>
      <c r="CJR57" s="13"/>
      <c r="CJS57" s="13"/>
      <c r="CJT57" s="13"/>
      <c r="CJU57" s="13"/>
      <c r="CJV57" s="13"/>
      <c r="CJW57" s="13"/>
      <c r="CJX57" s="13"/>
      <c r="CJY57" s="13"/>
      <c r="CJZ57" s="13"/>
      <c r="CKA57" s="13"/>
      <c r="CKB57" s="13"/>
      <c r="CKC57" s="13"/>
      <c r="CKD57" s="13"/>
      <c r="CKE57" s="13"/>
      <c r="CKF57" s="13"/>
      <c r="CKG57" s="13"/>
      <c r="CKH57" s="13"/>
      <c r="CKI57" s="13"/>
      <c r="CKJ57" s="13"/>
      <c r="CKK57" s="13"/>
      <c r="CKL57" s="13"/>
      <c r="CKM57" s="13"/>
      <c r="CKN57" s="13"/>
      <c r="CKO57" s="13"/>
      <c r="CKP57" s="13"/>
      <c r="CKQ57" s="13"/>
      <c r="CKR57" s="13"/>
      <c r="CKS57" s="13"/>
      <c r="CKT57" s="13"/>
      <c r="CKU57" s="13"/>
      <c r="CKV57" s="13"/>
      <c r="CKW57" s="13"/>
      <c r="CKX57" s="13"/>
      <c r="CKY57" s="13"/>
      <c r="CKZ57" s="13"/>
      <c r="CLA57" s="13"/>
      <c r="CLB57" s="13"/>
      <c r="CLC57" s="13"/>
      <c r="CLD57" s="13"/>
      <c r="CLE57" s="13"/>
      <c r="CLF57" s="13"/>
      <c r="CLG57" s="13"/>
      <c r="CLH57" s="13"/>
      <c r="CLI57" s="13"/>
      <c r="CLJ57" s="13"/>
      <c r="CLK57" s="13"/>
      <c r="CLL57" s="13"/>
      <c r="CLM57" s="13"/>
      <c r="CLN57" s="13"/>
      <c r="CLO57" s="13"/>
      <c r="CLP57" s="13"/>
      <c r="CLQ57" s="13"/>
      <c r="CLR57" s="13"/>
      <c r="CLS57" s="13"/>
      <c r="CLT57" s="13"/>
      <c r="CLU57" s="13"/>
      <c r="CLV57" s="13"/>
      <c r="CLW57" s="13"/>
      <c r="CLX57" s="13"/>
      <c r="CLY57" s="13"/>
      <c r="CLZ57" s="13"/>
      <c r="CMA57" s="13"/>
      <c r="CMB57" s="13"/>
      <c r="CMC57" s="13"/>
      <c r="CMD57" s="13"/>
      <c r="CME57" s="13"/>
      <c r="CMF57" s="13"/>
      <c r="CMG57" s="13"/>
      <c r="CMH57" s="13"/>
      <c r="CMI57" s="13"/>
      <c r="CMJ57" s="13"/>
      <c r="CMK57" s="13"/>
      <c r="CML57" s="13"/>
      <c r="CMM57" s="13"/>
      <c r="CMN57" s="13"/>
      <c r="CMO57" s="13"/>
      <c r="CMP57" s="13"/>
      <c r="CMQ57" s="13"/>
      <c r="CMR57" s="13"/>
      <c r="CMS57" s="13"/>
      <c r="CMT57" s="13"/>
      <c r="CMU57" s="13"/>
      <c r="CMV57" s="13"/>
      <c r="CMW57" s="13"/>
      <c r="CMX57" s="13"/>
      <c r="CMY57" s="13"/>
      <c r="CMZ57" s="13"/>
      <c r="CNA57" s="13"/>
      <c r="CNB57" s="13"/>
      <c r="CNC57" s="13"/>
      <c r="CND57" s="13"/>
      <c r="CNE57" s="13"/>
      <c r="CNF57" s="13"/>
      <c r="CNG57" s="13"/>
      <c r="CNH57" s="13"/>
      <c r="CNI57" s="13"/>
      <c r="CNJ57" s="13"/>
      <c r="CNK57" s="13"/>
      <c r="CNL57" s="13"/>
      <c r="CNM57" s="13"/>
      <c r="CNN57" s="13"/>
      <c r="CNO57" s="13"/>
      <c r="CNP57" s="13"/>
      <c r="CNQ57" s="13"/>
      <c r="CNR57" s="13"/>
      <c r="CNS57" s="13"/>
      <c r="CNT57" s="13"/>
      <c r="CNU57" s="13"/>
      <c r="CNV57" s="13"/>
      <c r="CNW57" s="13"/>
      <c r="CNX57" s="13"/>
      <c r="CNY57" s="13"/>
      <c r="CNZ57" s="13"/>
      <c r="COA57" s="13"/>
      <c r="COB57" s="13"/>
      <c r="COC57" s="13"/>
      <c r="COD57" s="13"/>
      <c r="COE57" s="13"/>
      <c r="COF57" s="13"/>
      <c r="COG57" s="13"/>
      <c r="COH57" s="13"/>
      <c r="COI57" s="13"/>
      <c r="COJ57" s="13"/>
      <c r="COK57" s="13"/>
      <c r="COL57" s="13"/>
      <c r="COM57" s="13"/>
      <c r="CON57" s="13"/>
      <c r="COO57" s="13"/>
      <c r="COP57" s="13"/>
      <c r="COQ57" s="13"/>
      <c r="COR57" s="13"/>
      <c r="COS57" s="13"/>
      <c r="COT57" s="13"/>
      <c r="COU57" s="13"/>
      <c r="COV57" s="13"/>
      <c r="COW57" s="13"/>
      <c r="COX57" s="13"/>
      <c r="COY57" s="13"/>
      <c r="COZ57" s="13"/>
      <c r="CPA57" s="13"/>
      <c r="CPB57" s="13"/>
      <c r="CPC57" s="13"/>
      <c r="CPD57" s="13"/>
      <c r="CPE57" s="13"/>
      <c r="CPF57" s="13"/>
      <c r="CPG57" s="13"/>
      <c r="CPH57" s="13"/>
      <c r="CPI57" s="13"/>
      <c r="CPJ57" s="13"/>
      <c r="CPK57" s="13"/>
      <c r="CPL57" s="13"/>
      <c r="CPM57" s="13"/>
      <c r="CPN57" s="13"/>
      <c r="CPO57" s="13"/>
      <c r="CPP57" s="13"/>
      <c r="CPQ57" s="13"/>
      <c r="CPR57" s="13"/>
      <c r="CPS57" s="13"/>
      <c r="CPT57" s="13"/>
      <c r="CPU57" s="13"/>
      <c r="CPV57" s="13"/>
      <c r="CPW57" s="13"/>
      <c r="CPX57" s="13"/>
      <c r="CPY57" s="13"/>
      <c r="CPZ57" s="13"/>
      <c r="CQA57" s="13"/>
      <c r="CQB57" s="13"/>
      <c r="CQC57" s="13"/>
      <c r="CQD57" s="13"/>
      <c r="CQE57" s="13"/>
      <c r="CQF57" s="13"/>
      <c r="CQG57" s="13"/>
      <c r="CQH57" s="13"/>
      <c r="CQI57" s="13"/>
      <c r="CQJ57" s="13"/>
      <c r="CQK57" s="13"/>
      <c r="CQL57" s="13"/>
      <c r="CQM57" s="13"/>
      <c r="CQN57" s="13"/>
      <c r="CQO57" s="13"/>
      <c r="CQP57" s="13"/>
      <c r="CQQ57" s="13"/>
      <c r="CQR57" s="13"/>
      <c r="CQS57" s="13"/>
      <c r="CQT57" s="13"/>
      <c r="CQU57" s="13"/>
      <c r="CQV57" s="13"/>
      <c r="CQW57" s="13"/>
      <c r="CQX57" s="13"/>
      <c r="CQY57" s="13"/>
      <c r="CQZ57" s="13"/>
      <c r="CRA57" s="13"/>
      <c r="CRB57" s="13"/>
      <c r="CRC57" s="13"/>
      <c r="CRD57" s="13"/>
      <c r="CRE57" s="13"/>
      <c r="CRF57" s="13"/>
      <c r="CRG57" s="13"/>
      <c r="CRH57" s="13"/>
      <c r="CRI57" s="13"/>
      <c r="CRJ57" s="13"/>
      <c r="CRK57" s="13"/>
      <c r="CRL57" s="13"/>
      <c r="CRM57" s="13"/>
      <c r="CRN57" s="13"/>
      <c r="CRO57" s="13"/>
      <c r="CRP57" s="13"/>
      <c r="CRQ57" s="13"/>
      <c r="CRR57" s="13"/>
      <c r="CRS57" s="13"/>
      <c r="CRT57" s="13"/>
      <c r="CRU57" s="13"/>
      <c r="CRV57" s="13"/>
      <c r="CRW57" s="13"/>
      <c r="CRX57" s="13"/>
      <c r="CRY57" s="13"/>
      <c r="CRZ57" s="13"/>
      <c r="CSA57" s="13"/>
      <c r="CSB57" s="13"/>
      <c r="CSC57" s="13"/>
      <c r="CSD57" s="13"/>
      <c r="CSE57" s="13"/>
      <c r="CSF57" s="13"/>
      <c r="CSG57" s="13"/>
      <c r="CSH57" s="13"/>
      <c r="CSI57" s="13"/>
      <c r="CSJ57" s="13"/>
      <c r="CSK57" s="13"/>
      <c r="CSL57" s="13"/>
      <c r="CSM57" s="13"/>
      <c r="CSN57" s="13"/>
      <c r="CSO57" s="13"/>
      <c r="CSP57" s="13"/>
      <c r="CSQ57" s="13"/>
      <c r="CSR57" s="13"/>
      <c r="CSS57" s="13"/>
      <c r="CST57" s="13"/>
      <c r="CSU57" s="13"/>
      <c r="CSV57" s="13"/>
      <c r="CSW57" s="13"/>
      <c r="CSX57" s="13"/>
      <c r="CSY57" s="13"/>
      <c r="CSZ57" s="13"/>
      <c r="CTA57" s="13"/>
      <c r="CTB57" s="13"/>
      <c r="CTC57" s="13"/>
      <c r="CTD57" s="13"/>
      <c r="CTE57" s="13"/>
      <c r="CTF57" s="13"/>
      <c r="CTG57" s="13"/>
      <c r="CTH57" s="13"/>
      <c r="CTI57" s="13"/>
      <c r="CTJ57" s="13"/>
      <c r="CTK57" s="13"/>
      <c r="CTL57" s="13"/>
      <c r="CTM57" s="13"/>
      <c r="CTN57" s="13"/>
      <c r="CTO57" s="13"/>
      <c r="CTP57" s="13"/>
      <c r="CTQ57" s="13"/>
      <c r="CTR57" s="13"/>
      <c r="CTS57" s="13"/>
      <c r="CTT57" s="13"/>
      <c r="CTU57" s="13"/>
      <c r="CTV57" s="13"/>
      <c r="CTW57" s="13"/>
      <c r="CTX57" s="13"/>
      <c r="CTY57" s="13"/>
      <c r="CTZ57" s="13"/>
      <c r="CUA57" s="13"/>
      <c r="CUB57" s="13"/>
      <c r="CUC57" s="13"/>
      <c r="CUD57" s="13"/>
      <c r="CUE57" s="13"/>
      <c r="CUF57" s="13"/>
      <c r="CUG57" s="13"/>
      <c r="CUH57" s="13"/>
      <c r="CUI57" s="13"/>
      <c r="CUJ57" s="13"/>
      <c r="CUK57" s="13"/>
      <c r="CUL57" s="13"/>
      <c r="CUM57" s="13"/>
      <c r="CUN57" s="13"/>
      <c r="CUO57" s="13"/>
      <c r="CUP57" s="13"/>
      <c r="CUQ57" s="13"/>
      <c r="CUR57" s="13"/>
      <c r="CUS57" s="13"/>
      <c r="CUT57" s="13"/>
      <c r="CUU57" s="13"/>
      <c r="CUV57" s="13"/>
      <c r="CUW57" s="13"/>
      <c r="CUX57" s="13"/>
      <c r="CUY57" s="13"/>
      <c r="CUZ57" s="13"/>
      <c r="CVA57" s="13"/>
      <c r="CVB57" s="13"/>
      <c r="CVC57" s="13"/>
      <c r="CVD57" s="13"/>
      <c r="CVE57" s="13"/>
      <c r="CVF57" s="13"/>
      <c r="CVG57" s="13"/>
      <c r="CVH57" s="13"/>
      <c r="CVI57" s="13"/>
      <c r="CVJ57" s="13"/>
      <c r="CVK57" s="13"/>
      <c r="CVL57" s="13"/>
      <c r="CVM57" s="13"/>
      <c r="CVN57" s="13"/>
      <c r="CVO57" s="13"/>
      <c r="CVP57" s="13"/>
      <c r="CVQ57" s="13"/>
      <c r="CVR57" s="13"/>
      <c r="CVS57" s="13"/>
      <c r="CVT57" s="13"/>
      <c r="CVU57" s="13"/>
      <c r="CVV57" s="13"/>
      <c r="CVW57" s="13"/>
      <c r="CVX57" s="13"/>
      <c r="CVY57" s="13"/>
      <c r="CVZ57" s="13"/>
      <c r="CWA57" s="13"/>
      <c r="CWB57" s="13"/>
      <c r="CWC57" s="13"/>
      <c r="CWD57" s="13"/>
      <c r="CWE57" s="13"/>
      <c r="CWF57" s="13"/>
      <c r="CWG57" s="13"/>
      <c r="CWH57" s="13"/>
      <c r="CWI57" s="13"/>
      <c r="CWJ57" s="13"/>
      <c r="CWK57" s="13"/>
      <c r="CWL57" s="13"/>
      <c r="CWM57" s="13"/>
      <c r="CWN57" s="13"/>
      <c r="CWO57" s="13"/>
      <c r="CWP57" s="13"/>
      <c r="CWQ57" s="13"/>
      <c r="CWR57" s="13"/>
      <c r="CWS57" s="13"/>
      <c r="CWT57" s="13"/>
      <c r="CWU57" s="13"/>
      <c r="CWV57" s="13"/>
      <c r="CWW57" s="13"/>
      <c r="CWX57" s="13"/>
      <c r="CWY57" s="13"/>
      <c r="CWZ57" s="13"/>
      <c r="CXA57" s="13"/>
      <c r="CXB57" s="13"/>
      <c r="CXC57" s="13"/>
      <c r="CXD57" s="13"/>
      <c r="CXE57" s="13"/>
      <c r="CXF57" s="13"/>
      <c r="CXG57" s="13"/>
      <c r="CXH57" s="13"/>
      <c r="CXI57" s="13"/>
      <c r="CXJ57" s="13"/>
      <c r="CXK57" s="13"/>
      <c r="CXL57" s="13"/>
      <c r="CXM57" s="13"/>
      <c r="CXN57" s="13"/>
      <c r="CXO57" s="13"/>
      <c r="CXP57" s="13"/>
      <c r="CXQ57" s="13"/>
      <c r="CXR57" s="13"/>
      <c r="CXS57" s="13"/>
      <c r="CXT57" s="13"/>
      <c r="CXU57" s="13"/>
      <c r="CXV57" s="13"/>
      <c r="CXW57" s="13"/>
      <c r="CXX57" s="13"/>
      <c r="CXY57" s="13"/>
      <c r="CXZ57" s="13"/>
      <c r="CYA57" s="13"/>
      <c r="CYB57" s="13"/>
      <c r="CYC57" s="13"/>
      <c r="CYD57" s="13"/>
      <c r="CYE57" s="13"/>
      <c r="CYF57" s="13"/>
      <c r="CYG57" s="13"/>
      <c r="CYH57" s="13"/>
      <c r="CYI57" s="13"/>
      <c r="CYJ57" s="13"/>
      <c r="CYK57" s="13"/>
      <c r="CYL57" s="13"/>
      <c r="CYM57" s="13"/>
      <c r="CYN57" s="13"/>
      <c r="CYO57" s="13"/>
      <c r="CYP57" s="13"/>
      <c r="CYQ57" s="13"/>
      <c r="CYR57" s="13"/>
      <c r="CYS57" s="13"/>
      <c r="CYT57" s="13"/>
      <c r="CYU57" s="13"/>
      <c r="CYV57" s="13"/>
      <c r="CYW57" s="13"/>
      <c r="CYX57" s="13"/>
      <c r="CYY57" s="13"/>
      <c r="CYZ57" s="13"/>
      <c r="CZA57" s="13"/>
      <c r="CZB57" s="13"/>
      <c r="CZC57" s="13"/>
      <c r="CZD57" s="13"/>
      <c r="CZE57" s="13"/>
      <c r="CZF57" s="13"/>
      <c r="CZG57" s="13"/>
      <c r="CZH57" s="13"/>
      <c r="CZI57" s="13"/>
      <c r="CZJ57" s="13"/>
      <c r="CZK57" s="13"/>
      <c r="CZL57" s="13"/>
      <c r="CZM57" s="13"/>
      <c r="CZN57" s="13"/>
      <c r="CZO57" s="13"/>
      <c r="CZP57" s="13"/>
      <c r="CZQ57" s="13"/>
      <c r="CZR57" s="13"/>
      <c r="CZS57" s="13"/>
      <c r="CZT57" s="13"/>
      <c r="CZU57" s="13"/>
      <c r="CZV57" s="13"/>
      <c r="CZW57" s="13"/>
      <c r="CZX57" s="13"/>
      <c r="CZY57" s="13"/>
      <c r="CZZ57" s="13"/>
      <c r="DAA57" s="13"/>
      <c r="DAB57" s="13"/>
      <c r="DAC57" s="13"/>
      <c r="DAD57" s="13"/>
      <c r="DAE57" s="13"/>
      <c r="DAF57" s="13"/>
      <c r="DAG57" s="13"/>
      <c r="DAH57" s="13"/>
      <c r="DAI57" s="13"/>
      <c r="DAJ57" s="13"/>
      <c r="DAK57" s="13"/>
      <c r="DAL57" s="13"/>
      <c r="DAM57" s="13"/>
      <c r="DAN57" s="13"/>
      <c r="DAO57" s="13"/>
      <c r="DAP57" s="13"/>
      <c r="DAQ57" s="13"/>
      <c r="DAR57" s="13"/>
      <c r="DAS57" s="13"/>
      <c r="DAT57" s="13"/>
      <c r="DAU57" s="13"/>
      <c r="DAV57" s="13"/>
      <c r="DAW57" s="13"/>
      <c r="DAX57" s="13"/>
      <c r="DAY57" s="13"/>
      <c r="DAZ57" s="13"/>
      <c r="DBA57" s="13"/>
      <c r="DBB57" s="13"/>
      <c r="DBC57" s="13"/>
      <c r="DBD57" s="13"/>
      <c r="DBE57" s="13"/>
      <c r="DBF57" s="13"/>
      <c r="DBG57" s="13"/>
      <c r="DBH57" s="13"/>
      <c r="DBI57" s="13"/>
      <c r="DBJ57" s="13"/>
      <c r="DBK57" s="13"/>
      <c r="DBL57" s="13"/>
      <c r="DBM57" s="13"/>
      <c r="DBN57" s="13"/>
      <c r="DBO57" s="13"/>
      <c r="DBP57" s="13"/>
      <c r="DBQ57" s="13"/>
      <c r="DBR57" s="13"/>
      <c r="DBS57" s="13"/>
      <c r="DBT57" s="13"/>
      <c r="DBU57" s="13"/>
      <c r="DBV57" s="13"/>
      <c r="DBW57" s="13"/>
      <c r="DBX57" s="13"/>
      <c r="DBY57" s="13"/>
      <c r="DBZ57" s="13"/>
      <c r="DCA57" s="13"/>
      <c r="DCB57" s="13"/>
      <c r="DCC57" s="13"/>
      <c r="DCD57" s="13"/>
      <c r="DCE57" s="13"/>
      <c r="DCF57" s="13"/>
      <c r="DCG57" s="13"/>
      <c r="DCH57" s="13"/>
      <c r="DCI57" s="13"/>
      <c r="DCJ57" s="13"/>
      <c r="DCK57" s="13"/>
      <c r="DCL57" s="13"/>
      <c r="DCM57" s="13"/>
      <c r="DCN57" s="13"/>
      <c r="DCO57" s="13"/>
      <c r="DCP57" s="13"/>
      <c r="DCQ57" s="13"/>
      <c r="DCR57" s="13"/>
      <c r="DCS57" s="13"/>
      <c r="DCT57" s="13"/>
      <c r="DCU57" s="13"/>
      <c r="DCV57" s="13"/>
      <c r="DCW57" s="13"/>
      <c r="DCX57" s="13"/>
      <c r="DCY57" s="13"/>
      <c r="DCZ57" s="13"/>
      <c r="DDA57" s="13"/>
      <c r="DDB57" s="13"/>
      <c r="DDC57" s="13"/>
      <c r="DDD57" s="13"/>
      <c r="DDE57" s="13"/>
      <c r="DDF57" s="13"/>
      <c r="DDG57" s="13"/>
      <c r="DDH57" s="13"/>
      <c r="DDI57" s="13"/>
      <c r="DDJ57" s="13"/>
      <c r="DDK57" s="13"/>
      <c r="DDL57" s="13"/>
      <c r="DDM57" s="13"/>
      <c r="DDN57" s="13"/>
      <c r="DDO57" s="13"/>
      <c r="DDP57" s="13"/>
      <c r="DDQ57" s="13"/>
      <c r="DDR57" s="13"/>
      <c r="DDS57" s="13"/>
      <c r="DDT57" s="13"/>
      <c r="DDU57" s="13"/>
      <c r="DDV57" s="13"/>
      <c r="DDW57" s="13"/>
      <c r="DDX57" s="13"/>
      <c r="DDY57" s="13"/>
      <c r="DDZ57" s="13"/>
      <c r="DEA57" s="13"/>
      <c r="DEB57" s="13"/>
      <c r="DEC57" s="13"/>
      <c r="DED57" s="13"/>
      <c r="DEE57" s="13"/>
      <c r="DEF57" s="13"/>
      <c r="DEG57" s="13"/>
      <c r="DEH57" s="13"/>
      <c r="DEI57" s="13"/>
      <c r="DEJ57" s="13"/>
      <c r="DEK57" s="13"/>
      <c r="DEL57" s="13"/>
      <c r="DEM57" s="13"/>
      <c r="DEN57" s="13"/>
      <c r="DEO57" s="13"/>
      <c r="DEP57" s="13"/>
      <c r="DEQ57" s="13"/>
      <c r="DER57" s="13"/>
      <c r="DES57" s="13"/>
      <c r="DET57" s="13"/>
      <c r="DEU57" s="13"/>
      <c r="DEV57" s="13"/>
      <c r="DEW57" s="13"/>
      <c r="DEX57" s="13"/>
      <c r="DEY57" s="13"/>
      <c r="DEZ57" s="13"/>
      <c r="DFA57" s="13"/>
      <c r="DFB57" s="13"/>
      <c r="DFC57" s="13"/>
      <c r="DFD57" s="13"/>
      <c r="DFE57" s="13"/>
      <c r="DFF57" s="13"/>
      <c r="DFG57" s="13"/>
      <c r="DFH57" s="13"/>
      <c r="DFI57" s="13"/>
      <c r="DFJ57" s="13"/>
      <c r="DFK57" s="13"/>
      <c r="DFL57" s="13"/>
      <c r="DFM57" s="13"/>
      <c r="DFN57" s="13"/>
      <c r="DFO57" s="13"/>
      <c r="DFP57" s="13"/>
      <c r="DFQ57" s="13"/>
      <c r="DFR57" s="13"/>
      <c r="DFS57" s="13"/>
      <c r="DFT57" s="13"/>
      <c r="DFU57" s="13"/>
      <c r="DFV57" s="13"/>
      <c r="DFW57" s="13"/>
      <c r="DFX57" s="13"/>
      <c r="DFY57" s="13"/>
      <c r="DFZ57" s="13"/>
      <c r="DGA57" s="13"/>
      <c r="DGB57" s="13"/>
      <c r="DGC57" s="13"/>
      <c r="DGD57" s="13"/>
      <c r="DGE57" s="13"/>
      <c r="DGF57" s="13"/>
      <c r="DGG57" s="13"/>
      <c r="DGH57" s="13"/>
      <c r="DGI57" s="13"/>
      <c r="DGJ57" s="13"/>
      <c r="DGK57" s="13"/>
      <c r="DGL57" s="13"/>
      <c r="DGM57" s="13"/>
      <c r="DGN57" s="13"/>
      <c r="DGO57" s="13"/>
      <c r="DGP57" s="13"/>
      <c r="DGQ57" s="13"/>
      <c r="DGR57" s="13"/>
      <c r="DGS57" s="13"/>
      <c r="DGT57" s="13"/>
      <c r="DGU57" s="13"/>
      <c r="DGV57" s="13"/>
      <c r="DGW57" s="13"/>
      <c r="DGX57" s="13"/>
      <c r="DGY57" s="13"/>
      <c r="DGZ57" s="13"/>
      <c r="DHA57" s="13"/>
      <c r="DHB57" s="13"/>
      <c r="DHC57" s="13"/>
      <c r="DHD57" s="13"/>
      <c r="DHE57" s="13"/>
      <c r="DHF57" s="13"/>
      <c r="DHG57" s="13"/>
      <c r="DHH57" s="13"/>
      <c r="DHI57" s="13"/>
      <c r="DHJ57" s="13"/>
      <c r="DHK57" s="13"/>
      <c r="DHL57" s="13"/>
      <c r="DHM57" s="13"/>
      <c r="DHN57" s="13"/>
      <c r="DHO57" s="13"/>
      <c r="DHP57" s="13"/>
      <c r="DHQ57" s="13"/>
      <c r="DHR57" s="13"/>
      <c r="DHS57" s="13"/>
      <c r="DHT57" s="13"/>
      <c r="DHU57" s="13"/>
      <c r="DHV57" s="13"/>
      <c r="DHW57" s="13"/>
      <c r="DHX57" s="13"/>
      <c r="DHY57" s="13"/>
      <c r="DHZ57" s="13"/>
      <c r="DIA57" s="13"/>
      <c r="DIB57" s="13"/>
      <c r="DIC57" s="13"/>
      <c r="DID57" s="13"/>
      <c r="DIE57" s="13"/>
      <c r="DIF57" s="13"/>
      <c r="DIG57" s="13"/>
      <c r="DIH57" s="13"/>
      <c r="DII57" s="13"/>
      <c r="DIJ57" s="13"/>
      <c r="DIK57" s="13"/>
      <c r="DIL57" s="13"/>
      <c r="DIM57" s="13"/>
      <c r="DIN57" s="13"/>
      <c r="DIO57" s="13"/>
      <c r="DIP57" s="13"/>
      <c r="DIQ57" s="13"/>
      <c r="DIR57" s="13"/>
      <c r="DIS57" s="13"/>
      <c r="DIT57" s="13"/>
      <c r="DIU57" s="13"/>
      <c r="DIV57" s="13"/>
      <c r="DIW57" s="13"/>
      <c r="DIX57" s="13"/>
      <c r="DIY57" s="13"/>
      <c r="DIZ57" s="13"/>
      <c r="DJA57" s="13"/>
      <c r="DJB57" s="13"/>
      <c r="DJC57" s="13"/>
      <c r="DJD57" s="13"/>
      <c r="DJE57" s="13"/>
      <c r="DJF57" s="13"/>
      <c r="DJG57" s="13"/>
      <c r="DJH57" s="13"/>
      <c r="DJI57" s="13"/>
      <c r="DJJ57" s="13"/>
      <c r="DJK57" s="13"/>
      <c r="DJL57" s="13"/>
      <c r="DJM57" s="13"/>
      <c r="DJN57" s="13"/>
      <c r="DJO57" s="13"/>
      <c r="DJP57" s="13"/>
      <c r="DJQ57" s="13"/>
      <c r="DJR57" s="13"/>
      <c r="DJS57" s="13"/>
      <c r="DJT57" s="13"/>
      <c r="DJU57" s="13"/>
      <c r="DJV57" s="13"/>
      <c r="DJW57" s="13"/>
      <c r="DJX57" s="13"/>
      <c r="DJY57" s="13"/>
      <c r="DJZ57" s="13"/>
      <c r="DKA57" s="13"/>
      <c r="DKB57" s="13"/>
      <c r="DKC57" s="13"/>
      <c r="DKD57" s="13"/>
      <c r="DKE57" s="13"/>
      <c r="DKF57" s="13"/>
      <c r="DKG57" s="13"/>
      <c r="DKH57" s="13"/>
      <c r="DKI57" s="13"/>
      <c r="DKJ57" s="13"/>
      <c r="DKK57" s="13"/>
      <c r="DKL57" s="13"/>
      <c r="DKM57" s="13"/>
      <c r="DKN57" s="13"/>
      <c r="DKO57" s="13"/>
      <c r="DKP57" s="13"/>
      <c r="DKQ57" s="13"/>
      <c r="DKR57" s="13"/>
      <c r="DKS57" s="13"/>
      <c r="DKT57" s="13"/>
      <c r="DKU57" s="13"/>
      <c r="DKV57" s="13"/>
      <c r="DKW57" s="13"/>
      <c r="DKX57" s="13"/>
      <c r="DKY57" s="13"/>
      <c r="DKZ57" s="13"/>
      <c r="DLA57" s="13"/>
      <c r="DLB57" s="13"/>
      <c r="DLC57" s="13"/>
      <c r="DLD57" s="13"/>
      <c r="DLE57" s="13"/>
      <c r="DLF57" s="13"/>
      <c r="DLG57" s="13"/>
      <c r="DLH57" s="13"/>
      <c r="DLI57" s="13"/>
      <c r="DLJ57" s="13"/>
      <c r="DLK57" s="13"/>
      <c r="DLL57" s="13"/>
      <c r="DLM57" s="13"/>
      <c r="DLN57" s="13"/>
      <c r="DLO57" s="13"/>
      <c r="DLP57" s="13"/>
      <c r="DLQ57" s="13"/>
      <c r="DLR57" s="13"/>
      <c r="DLS57" s="13"/>
      <c r="DLT57" s="13"/>
      <c r="DLU57" s="13"/>
      <c r="DLV57" s="13"/>
      <c r="DLW57" s="13"/>
      <c r="DLX57" s="13"/>
      <c r="DLY57" s="13"/>
      <c r="DLZ57" s="13"/>
      <c r="DMA57" s="13"/>
      <c r="DMB57" s="13"/>
      <c r="DMC57" s="13"/>
      <c r="DMD57" s="13"/>
      <c r="DME57" s="13"/>
      <c r="DMF57" s="13"/>
      <c r="DMG57" s="13"/>
      <c r="DMH57" s="13"/>
      <c r="DMI57" s="13"/>
      <c r="DMJ57" s="13"/>
      <c r="DMK57" s="13"/>
      <c r="DML57" s="13"/>
      <c r="DMM57" s="13"/>
      <c r="DMN57" s="13"/>
      <c r="DMO57" s="13"/>
      <c r="DMP57" s="13"/>
      <c r="DMQ57" s="13"/>
      <c r="DMR57" s="13"/>
      <c r="DMS57" s="13"/>
      <c r="DMT57" s="13"/>
      <c r="DMU57" s="13"/>
      <c r="DMV57" s="13"/>
      <c r="DMW57" s="13"/>
      <c r="DMX57" s="13"/>
      <c r="DMY57" s="13"/>
      <c r="DMZ57" s="13"/>
      <c r="DNA57" s="13"/>
      <c r="DNB57" s="13"/>
      <c r="DNC57" s="13"/>
      <c r="DND57" s="13"/>
      <c r="DNE57" s="13"/>
      <c r="DNF57" s="13"/>
      <c r="DNG57" s="13"/>
      <c r="DNH57" s="13"/>
      <c r="DNI57" s="13"/>
      <c r="DNJ57" s="13"/>
      <c r="DNK57" s="13"/>
      <c r="DNL57" s="13"/>
      <c r="DNM57" s="13"/>
      <c r="DNN57" s="13"/>
      <c r="DNO57" s="13"/>
      <c r="DNP57" s="13"/>
      <c r="DNQ57" s="13"/>
      <c r="DNR57" s="13"/>
      <c r="DNS57" s="13"/>
      <c r="DNT57" s="13"/>
      <c r="DNU57" s="13"/>
      <c r="DNV57" s="13"/>
      <c r="DNW57" s="13"/>
      <c r="DNX57" s="13"/>
      <c r="DNY57" s="13"/>
      <c r="DNZ57" s="13"/>
      <c r="DOA57" s="13"/>
      <c r="DOB57" s="13"/>
      <c r="DOC57" s="13"/>
      <c r="DOD57" s="13"/>
      <c r="DOE57" s="13"/>
      <c r="DOF57" s="13"/>
      <c r="DOG57" s="13"/>
      <c r="DOH57" s="13"/>
      <c r="DOI57" s="13"/>
      <c r="DOJ57" s="13"/>
      <c r="DOK57" s="13"/>
      <c r="DOL57" s="13"/>
      <c r="DOM57" s="13"/>
      <c r="DON57" s="13"/>
      <c r="DOO57" s="13"/>
      <c r="DOP57" s="13"/>
      <c r="DOQ57" s="13"/>
      <c r="DOR57" s="13"/>
      <c r="DOS57" s="13"/>
      <c r="DOT57" s="13"/>
      <c r="DOU57" s="13"/>
      <c r="DOV57" s="13"/>
      <c r="DOW57" s="13"/>
      <c r="DOX57" s="13"/>
      <c r="DOY57" s="13"/>
      <c r="DOZ57" s="13"/>
      <c r="DPA57" s="13"/>
      <c r="DPB57" s="13"/>
      <c r="DPC57" s="13"/>
      <c r="DPD57" s="13"/>
      <c r="DPE57" s="13"/>
      <c r="DPF57" s="13"/>
      <c r="DPG57" s="13"/>
      <c r="DPH57" s="13"/>
      <c r="DPI57" s="13"/>
      <c r="DPJ57" s="13"/>
      <c r="DPK57" s="13"/>
      <c r="DPL57" s="13"/>
      <c r="DPM57" s="13"/>
      <c r="DPN57" s="13"/>
      <c r="DPO57" s="13"/>
      <c r="DPP57" s="13"/>
      <c r="DPQ57" s="13"/>
      <c r="DPR57" s="13"/>
      <c r="DPS57" s="13"/>
      <c r="DPT57" s="13"/>
      <c r="DPU57" s="13"/>
      <c r="DPV57" s="13"/>
      <c r="DPW57" s="13"/>
      <c r="DPX57" s="13"/>
      <c r="DPY57" s="13"/>
      <c r="DPZ57" s="13"/>
      <c r="DQA57" s="13"/>
      <c r="DQB57" s="13"/>
      <c r="DQC57" s="13"/>
      <c r="DQD57" s="13"/>
      <c r="DQE57" s="13"/>
      <c r="DQF57" s="13"/>
      <c r="DQG57" s="13"/>
      <c r="DQH57" s="13"/>
      <c r="DQI57" s="13"/>
      <c r="DQJ57" s="13"/>
      <c r="DQK57" s="13"/>
      <c r="DQL57" s="13"/>
      <c r="DQM57" s="13"/>
      <c r="DQN57" s="13"/>
      <c r="DQO57" s="13"/>
      <c r="DQP57" s="13"/>
      <c r="DQQ57" s="13"/>
      <c r="DQR57" s="13"/>
      <c r="DQS57" s="13"/>
      <c r="DQT57" s="13"/>
      <c r="DQU57" s="13"/>
      <c r="DQV57" s="13"/>
      <c r="DQW57" s="13"/>
      <c r="DQX57" s="13"/>
      <c r="DQY57" s="13"/>
      <c r="DQZ57" s="13"/>
      <c r="DRA57" s="13"/>
      <c r="DRB57" s="13"/>
      <c r="DRC57" s="13"/>
      <c r="DRD57" s="13"/>
      <c r="DRE57" s="13"/>
      <c r="DRF57" s="13"/>
      <c r="DRG57" s="13"/>
      <c r="DRH57" s="13"/>
      <c r="DRI57" s="13"/>
      <c r="DRJ57" s="13"/>
      <c r="DRK57" s="13"/>
      <c r="DRL57" s="13"/>
      <c r="DRM57" s="13"/>
      <c r="DRN57" s="13"/>
      <c r="DRO57" s="13"/>
      <c r="DRP57" s="13"/>
      <c r="DRQ57" s="13"/>
      <c r="DRR57" s="13"/>
      <c r="DRS57" s="13"/>
      <c r="DRT57" s="13"/>
      <c r="DRU57" s="13"/>
      <c r="DRV57" s="13"/>
      <c r="DRW57" s="13"/>
      <c r="DRX57" s="13"/>
      <c r="DRY57" s="13"/>
      <c r="DRZ57" s="13"/>
      <c r="DSA57" s="13"/>
      <c r="DSB57" s="13"/>
      <c r="DSC57" s="13"/>
      <c r="DSD57" s="13"/>
      <c r="DSE57" s="13"/>
      <c r="DSF57" s="13"/>
      <c r="DSG57" s="13"/>
      <c r="DSH57" s="13"/>
      <c r="DSI57" s="13"/>
      <c r="DSJ57" s="13"/>
      <c r="DSK57" s="13"/>
      <c r="DSL57" s="13"/>
      <c r="DSM57" s="13"/>
      <c r="DSN57" s="13"/>
      <c r="DSO57" s="13"/>
      <c r="DSP57" s="13"/>
      <c r="DSQ57" s="13"/>
      <c r="DSR57" s="13"/>
      <c r="DSS57" s="13"/>
      <c r="DST57" s="13"/>
      <c r="DSU57" s="13"/>
      <c r="DSV57" s="13"/>
      <c r="DSW57" s="13"/>
      <c r="DSX57" s="13"/>
      <c r="DSY57" s="13"/>
      <c r="DSZ57" s="13"/>
      <c r="DTA57" s="13"/>
      <c r="DTB57" s="13"/>
      <c r="DTC57" s="13"/>
      <c r="DTD57" s="13"/>
      <c r="DTE57" s="13"/>
      <c r="DTF57" s="13"/>
      <c r="DTG57" s="13"/>
      <c r="DTH57" s="13"/>
      <c r="DTI57" s="13"/>
      <c r="DTJ57" s="13"/>
      <c r="DTK57" s="13"/>
      <c r="DTL57" s="13"/>
      <c r="DTM57" s="13"/>
      <c r="DTN57" s="13"/>
      <c r="DTO57" s="13"/>
      <c r="DTP57" s="13"/>
      <c r="DTQ57" s="13"/>
      <c r="DTR57" s="13"/>
      <c r="DTS57" s="13"/>
      <c r="DTT57" s="13"/>
      <c r="DTU57" s="13"/>
      <c r="DTV57" s="13"/>
      <c r="DTW57" s="13"/>
      <c r="DTX57" s="13"/>
      <c r="DTY57" s="13"/>
      <c r="DTZ57" s="13"/>
      <c r="DUA57" s="13"/>
      <c r="DUB57" s="13"/>
      <c r="DUC57" s="13"/>
      <c r="DUD57" s="13"/>
      <c r="DUE57" s="13"/>
      <c r="DUF57" s="13"/>
      <c r="DUG57" s="13"/>
      <c r="DUH57" s="13"/>
      <c r="DUI57" s="13"/>
      <c r="DUJ57" s="13"/>
      <c r="DUK57" s="13"/>
      <c r="DUL57" s="13"/>
      <c r="DUM57" s="13"/>
      <c r="DUN57" s="13"/>
      <c r="DUO57" s="13"/>
      <c r="DUP57" s="13"/>
      <c r="DUQ57" s="13"/>
      <c r="DUR57" s="13"/>
      <c r="DUS57" s="13"/>
      <c r="DUT57" s="13"/>
      <c r="DUU57" s="13"/>
      <c r="DUV57" s="13"/>
      <c r="DUW57" s="13"/>
      <c r="DUX57" s="13"/>
      <c r="DUY57" s="13"/>
      <c r="DUZ57" s="13"/>
      <c r="DVA57" s="13"/>
      <c r="DVB57" s="13"/>
      <c r="DVC57" s="13"/>
      <c r="DVD57" s="13"/>
      <c r="DVE57" s="13"/>
      <c r="DVF57" s="13"/>
      <c r="DVG57" s="13"/>
      <c r="DVH57" s="13"/>
      <c r="DVI57" s="13"/>
      <c r="DVJ57" s="13"/>
      <c r="DVK57" s="13"/>
      <c r="DVL57" s="13"/>
      <c r="DVM57" s="13"/>
      <c r="DVN57" s="13"/>
      <c r="DVO57" s="13"/>
      <c r="DVP57" s="13"/>
      <c r="DVQ57" s="13"/>
      <c r="DVR57" s="13"/>
      <c r="DVS57" s="13"/>
      <c r="DVT57" s="13"/>
      <c r="DVU57" s="13"/>
      <c r="DVV57" s="13"/>
      <c r="DVW57" s="13"/>
      <c r="DVX57" s="13"/>
      <c r="DVY57" s="13"/>
      <c r="DVZ57" s="13"/>
      <c r="DWA57" s="13"/>
      <c r="DWB57" s="13"/>
      <c r="DWC57" s="13"/>
      <c r="DWD57" s="13"/>
      <c r="DWE57" s="13"/>
      <c r="DWF57" s="13"/>
      <c r="DWG57" s="13"/>
      <c r="DWH57" s="13"/>
      <c r="DWI57" s="13"/>
      <c r="DWJ57" s="13"/>
      <c r="DWK57" s="13"/>
      <c r="DWL57" s="13"/>
      <c r="DWM57" s="13"/>
      <c r="DWN57" s="13"/>
      <c r="DWO57" s="13"/>
      <c r="DWP57" s="13"/>
      <c r="DWQ57" s="13"/>
      <c r="DWR57" s="13"/>
      <c r="DWS57" s="13"/>
      <c r="DWT57" s="13"/>
      <c r="DWU57" s="13"/>
      <c r="DWV57" s="13"/>
      <c r="DWW57" s="13"/>
      <c r="DWX57" s="13"/>
      <c r="DWY57" s="13"/>
      <c r="DWZ57" s="13"/>
      <c r="DXA57" s="13"/>
      <c r="DXB57" s="13"/>
      <c r="DXC57" s="13"/>
      <c r="DXD57" s="13"/>
      <c r="DXE57" s="13"/>
      <c r="DXF57" s="13"/>
      <c r="DXG57" s="13"/>
      <c r="DXH57" s="13"/>
      <c r="DXI57" s="13"/>
      <c r="DXJ57" s="13"/>
      <c r="DXK57" s="13"/>
      <c r="DXL57" s="13"/>
      <c r="DXM57" s="13"/>
      <c r="DXN57" s="13"/>
      <c r="DXO57" s="13"/>
      <c r="DXP57" s="13"/>
      <c r="DXQ57" s="13"/>
      <c r="DXR57" s="13"/>
      <c r="DXS57" s="13"/>
      <c r="DXT57" s="13"/>
      <c r="DXU57" s="13"/>
      <c r="DXV57" s="13"/>
      <c r="DXW57" s="13"/>
      <c r="DXX57" s="13"/>
      <c r="DXY57" s="13"/>
      <c r="DXZ57" s="13"/>
      <c r="DYA57" s="13"/>
      <c r="DYB57" s="13"/>
      <c r="DYC57" s="13"/>
      <c r="DYD57" s="13"/>
      <c r="DYE57" s="13"/>
      <c r="DYF57" s="13"/>
      <c r="DYG57" s="13"/>
      <c r="DYH57" s="13"/>
      <c r="DYI57" s="13"/>
      <c r="DYJ57" s="13"/>
      <c r="DYK57" s="13"/>
      <c r="DYL57" s="13"/>
      <c r="DYM57" s="13"/>
      <c r="DYN57" s="13"/>
      <c r="DYO57" s="13"/>
      <c r="DYP57" s="13"/>
      <c r="DYQ57" s="13"/>
      <c r="DYR57" s="13"/>
      <c r="DYS57" s="13"/>
      <c r="DYT57" s="13"/>
      <c r="DYU57" s="13"/>
      <c r="DYV57" s="13"/>
      <c r="DYW57" s="13"/>
      <c r="DYX57" s="13"/>
      <c r="DYY57" s="13"/>
      <c r="DYZ57" s="13"/>
      <c r="DZA57" s="13"/>
      <c r="DZB57" s="13"/>
      <c r="DZC57" s="13"/>
      <c r="DZD57" s="13"/>
      <c r="DZE57" s="13"/>
      <c r="DZF57" s="13"/>
      <c r="DZG57" s="13"/>
      <c r="DZH57" s="13"/>
      <c r="DZI57" s="13"/>
      <c r="DZJ57" s="13"/>
      <c r="DZK57" s="13"/>
      <c r="DZL57" s="13"/>
      <c r="DZM57" s="13"/>
      <c r="DZN57" s="13"/>
      <c r="DZO57" s="13"/>
      <c r="DZP57" s="13"/>
      <c r="DZQ57" s="13"/>
      <c r="DZR57" s="13"/>
      <c r="DZS57" s="13"/>
      <c r="DZT57" s="13"/>
      <c r="DZU57" s="13"/>
      <c r="DZV57" s="13"/>
      <c r="DZW57" s="13"/>
      <c r="DZX57" s="13"/>
      <c r="DZY57" s="13"/>
      <c r="DZZ57" s="13"/>
      <c r="EAA57" s="13"/>
      <c r="EAB57" s="13"/>
      <c r="EAC57" s="13"/>
      <c r="EAD57" s="13"/>
      <c r="EAE57" s="13"/>
      <c r="EAF57" s="13"/>
      <c r="EAG57" s="13"/>
      <c r="EAH57" s="13"/>
      <c r="EAI57" s="13"/>
      <c r="EAJ57" s="13"/>
      <c r="EAK57" s="13"/>
      <c r="EAL57" s="13"/>
      <c r="EAM57" s="13"/>
      <c r="EAN57" s="13"/>
      <c r="EAO57" s="13"/>
      <c r="EAP57" s="13"/>
      <c r="EAQ57" s="13"/>
      <c r="EAR57" s="13"/>
      <c r="EAS57" s="13"/>
      <c r="EAT57" s="13"/>
      <c r="EAU57" s="13"/>
      <c r="EAV57" s="13"/>
      <c r="EAW57" s="13"/>
      <c r="EAX57" s="13"/>
      <c r="EAY57" s="13"/>
      <c r="EAZ57" s="13"/>
      <c r="EBA57" s="13"/>
      <c r="EBB57" s="13"/>
      <c r="EBC57" s="13"/>
      <c r="EBD57" s="13"/>
      <c r="EBE57" s="13"/>
      <c r="EBF57" s="13"/>
      <c r="EBG57" s="13"/>
      <c r="EBH57" s="13"/>
      <c r="EBI57" s="13"/>
      <c r="EBJ57" s="13"/>
      <c r="EBK57" s="13"/>
      <c r="EBL57" s="13"/>
      <c r="EBM57" s="13"/>
      <c r="EBN57" s="13"/>
      <c r="EBO57" s="13"/>
      <c r="EBP57" s="13"/>
      <c r="EBQ57" s="13"/>
      <c r="EBR57" s="13"/>
      <c r="EBS57" s="13"/>
      <c r="EBT57" s="13"/>
      <c r="EBU57" s="13"/>
      <c r="EBV57" s="13"/>
      <c r="EBW57" s="13"/>
      <c r="EBX57" s="13"/>
      <c r="EBY57" s="13"/>
      <c r="EBZ57" s="13"/>
      <c r="ECA57" s="13"/>
      <c r="ECB57" s="13"/>
      <c r="ECC57" s="13"/>
      <c r="ECD57" s="13"/>
      <c r="ECE57" s="13"/>
      <c r="ECF57" s="13"/>
      <c r="ECG57" s="13"/>
      <c r="ECH57" s="13"/>
      <c r="ECI57" s="13"/>
      <c r="ECJ57" s="13"/>
      <c r="ECK57" s="13"/>
      <c r="ECL57" s="13"/>
      <c r="ECM57" s="13"/>
      <c r="ECN57" s="13"/>
      <c r="ECO57" s="13"/>
      <c r="ECP57" s="13"/>
      <c r="ECQ57" s="13"/>
      <c r="ECR57" s="13"/>
      <c r="ECS57" s="13"/>
      <c r="ECT57" s="13"/>
      <c r="ECU57" s="13"/>
      <c r="ECV57" s="13"/>
      <c r="ECW57" s="13"/>
      <c r="ECX57" s="13"/>
      <c r="ECY57" s="13"/>
      <c r="ECZ57" s="13"/>
      <c r="EDA57" s="13"/>
      <c r="EDB57" s="13"/>
      <c r="EDC57" s="13"/>
      <c r="EDD57" s="13"/>
      <c r="EDE57" s="13"/>
      <c r="EDF57" s="13"/>
      <c r="EDG57" s="13"/>
      <c r="EDH57" s="13"/>
      <c r="EDI57" s="13"/>
      <c r="EDJ57" s="13"/>
      <c r="EDK57" s="13"/>
      <c r="EDL57" s="13"/>
      <c r="EDM57" s="13"/>
      <c r="EDN57" s="13"/>
      <c r="EDO57" s="13"/>
      <c r="EDP57" s="13"/>
      <c r="EDQ57" s="13"/>
      <c r="EDR57" s="13"/>
      <c r="EDS57" s="13"/>
      <c r="EDT57" s="13"/>
      <c r="EDU57" s="13"/>
      <c r="EDV57" s="13"/>
      <c r="EDW57" s="13"/>
      <c r="EDX57" s="13"/>
      <c r="EDY57" s="13"/>
      <c r="EDZ57" s="13"/>
      <c r="EEA57" s="13"/>
      <c r="EEB57" s="13"/>
      <c r="EEC57" s="13"/>
      <c r="EED57" s="13"/>
      <c r="EEE57" s="13"/>
      <c r="EEF57" s="13"/>
      <c r="EEG57" s="13"/>
      <c r="EEH57" s="13"/>
      <c r="EEI57" s="13"/>
      <c r="EEJ57" s="13"/>
      <c r="EEK57" s="13"/>
      <c r="EEL57" s="13"/>
      <c r="EEM57" s="13"/>
      <c r="EEN57" s="13"/>
      <c r="EEO57" s="13"/>
      <c r="EEP57" s="13"/>
      <c r="EEQ57" s="13"/>
      <c r="EER57" s="13"/>
      <c r="EES57" s="13"/>
      <c r="EET57" s="13"/>
      <c r="EEU57" s="13"/>
      <c r="EEV57" s="13"/>
      <c r="EEW57" s="13"/>
      <c r="EEX57" s="13"/>
      <c r="EEY57" s="13"/>
      <c r="EEZ57" s="13"/>
      <c r="EFA57" s="13"/>
      <c r="EFB57" s="13"/>
      <c r="EFC57" s="13"/>
      <c r="EFD57" s="13"/>
      <c r="EFE57" s="13"/>
      <c r="EFF57" s="13"/>
      <c r="EFG57" s="13"/>
      <c r="EFH57" s="13"/>
      <c r="EFI57" s="13"/>
      <c r="EFJ57" s="13"/>
      <c r="EFK57" s="13"/>
      <c r="EFL57" s="13"/>
      <c r="EFM57" s="13"/>
      <c r="EFN57" s="13"/>
      <c r="EFO57" s="13"/>
      <c r="EFP57" s="13"/>
      <c r="EFQ57" s="13"/>
      <c r="EFR57" s="13"/>
      <c r="EFS57" s="13"/>
      <c r="EFT57" s="13"/>
      <c r="EFU57" s="13"/>
      <c r="EFV57" s="13"/>
      <c r="EFW57" s="13"/>
      <c r="EFX57" s="13"/>
      <c r="EFY57" s="13"/>
      <c r="EFZ57" s="13"/>
      <c r="EGA57" s="13"/>
      <c r="EGB57" s="13"/>
      <c r="EGC57" s="13"/>
      <c r="EGD57" s="13"/>
      <c r="EGE57" s="13"/>
      <c r="EGF57" s="13"/>
      <c r="EGG57" s="13"/>
      <c r="EGH57" s="13"/>
      <c r="EGI57" s="13"/>
      <c r="EGJ57" s="13"/>
      <c r="EGK57" s="13"/>
      <c r="EGL57" s="13"/>
      <c r="EGM57" s="13"/>
      <c r="EGN57" s="13"/>
      <c r="EGO57" s="13"/>
      <c r="EGP57" s="13"/>
      <c r="EGQ57" s="13"/>
      <c r="EGR57" s="13"/>
      <c r="EGS57" s="13"/>
      <c r="EGT57" s="13"/>
      <c r="EGU57" s="13"/>
      <c r="EGV57" s="13"/>
      <c r="EGW57" s="13"/>
      <c r="EGX57" s="13"/>
      <c r="EGY57" s="13"/>
      <c r="EGZ57" s="13"/>
      <c r="EHA57" s="13"/>
      <c r="EHB57" s="13"/>
      <c r="EHC57" s="13"/>
      <c r="EHD57" s="13"/>
      <c r="EHE57" s="13"/>
      <c r="EHF57" s="13"/>
      <c r="EHG57" s="13"/>
      <c r="EHH57" s="13"/>
      <c r="EHI57" s="13"/>
      <c r="EHJ57" s="13"/>
      <c r="EHK57" s="13"/>
      <c r="EHL57" s="13"/>
      <c r="EHM57" s="13"/>
      <c r="EHN57" s="13"/>
      <c r="EHO57" s="13"/>
      <c r="EHP57" s="13"/>
      <c r="EHQ57" s="13"/>
      <c r="EHR57" s="13"/>
      <c r="EHS57" s="13"/>
      <c r="EHT57" s="13"/>
      <c r="EHU57" s="13"/>
      <c r="EHV57" s="13"/>
      <c r="EHW57" s="13"/>
      <c r="EHX57" s="13"/>
      <c r="EHY57" s="13"/>
      <c r="EHZ57" s="13"/>
      <c r="EIA57" s="13"/>
      <c r="EIB57" s="13"/>
      <c r="EIC57" s="13"/>
      <c r="EID57" s="13"/>
      <c r="EIE57" s="13"/>
      <c r="EIF57" s="13"/>
      <c r="EIG57" s="13"/>
      <c r="EIH57" s="13"/>
      <c r="EII57" s="13"/>
      <c r="EIJ57" s="13"/>
      <c r="EIK57" s="13"/>
      <c r="EIL57" s="13"/>
      <c r="EIM57" s="13"/>
      <c r="EIN57" s="13"/>
      <c r="EIO57" s="13"/>
      <c r="EIP57" s="13"/>
      <c r="EIQ57" s="13"/>
      <c r="EIR57" s="13"/>
      <c r="EIS57" s="13"/>
      <c r="EIT57" s="13"/>
      <c r="EIU57" s="13"/>
      <c r="EIV57" s="13"/>
      <c r="EIW57" s="13"/>
      <c r="EIX57" s="13"/>
      <c r="EIY57" s="13"/>
      <c r="EIZ57" s="13"/>
      <c r="EJA57" s="13"/>
      <c r="EJB57" s="13"/>
      <c r="EJC57" s="13"/>
      <c r="EJD57" s="13"/>
      <c r="EJE57" s="13"/>
      <c r="EJF57" s="13"/>
      <c r="EJG57" s="13"/>
      <c r="EJH57" s="13"/>
      <c r="EJI57" s="13"/>
      <c r="EJJ57" s="13"/>
      <c r="EJK57" s="13"/>
      <c r="EJL57" s="13"/>
      <c r="EJM57" s="13"/>
      <c r="EJN57" s="13"/>
      <c r="EJO57" s="13"/>
      <c r="EJP57" s="13"/>
      <c r="EJQ57" s="13"/>
      <c r="EJR57" s="13"/>
      <c r="EJS57" s="13"/>
      <c r="EJT57" s="13"/>
      <c r="EJU57" s="13"/>
      <c r="EJV57" s="13"/>
      <c r="EJW57" s="13"/>
      <c r="EJX57" s="13"/>
      <c r="EJY57" s="13"/>
      <c r="EJZ57" s="13"/>
      <c r="EKA57" s="13"/>
      <c r="EKB57" s="13"/>
      <c r="EKC57" s="13"/>
      <c r="EKD57" s="13"/>
      <c r="EKE57" s="13"/>
      <c r="EKF57" s="13"/>
      <c r="EKG57" s="13"/>
      <c r="EKH57" s="13"/>
      <c r="EKI57" s="13"/>
      <c r="EKJ57" s="13"/>
      <c r="EKK57" s="13"/>
      <c r="EKL57" s="13"/>
      <c r="EKM57" s="13"/>
      <c r="EKN57" s="13"/>
      <c r="EKO57" s="13"/>
      <c r="EKP57" s="13"/>
      <c r="EKQ57" s="13"/>
      <c r="EKR57" s="13"/>
      <c r="EKS57" s="13"/>
      <c r="EKT57" s="13"/>
      <c r="EKU57" s="13"/>
      <c r="EKV57" s="13"/>
      <c r="EKW57" s="13"/>
      <c r="EKX57" s="13"/>
      <c r="EKY57" s="13"/>
      <c r="EKZ57" s="13"/>
      <c r="ELA57" s="13"/>
      <c r="ELB57" s="13"/>
      <c r="ELC57" s="13"/>
      <c r="ELD57" s="13"/>
      <c r="ELE57" s="13"/>
      <c r="ELF57" s="13"/>
      <c r="ELG57" s="13"/>
      <c r="ELH57" s="13"/>
      <c r="ELI57" s="13"/>
      <c r="ELJ57" s="13"/>
      <c r="ELK57" s="13"/>
      <c r="ELL57" s="13"/>
      <c r="ELM57" s="13"/>
      <c r="ELN57" s="13"/>
      <c r="ELO57" s="13"/>
      <c r="ELP57" s="13"/>
      <c r="ELQ57" s="13"/>
      <c r="ELR57" s="13"/>
      <c r="ELS57" s="13"/>
      <c r="ELT57" s="13"/>
      <c r="ELU57" s="13"/>
      <c r="ELV57" s="13"/>
      <c r="ELW57" s="13"/>
      <c r="ELX57" s="13"/>
      <c r="ELY57" s="13"/>
      <c r="ELZ57" s="13"/>
      <c r="EMA57" s="13"/>
      <c r="EMB57" s="13"/>
      <c r="EMC57" s="13"/>
      <c r="EMD57" s="13"/>
      <c r="EME57" s="13"/>
      <c r="EMF57" s="13"/>
      <c r="EMG57" s="13"/>
      <c r="EMH57" s="13"/>
      <c r="EMI57" s="13"/>
      <c r="EMJ57" s="13"/>
      <c r="EMK57" s="13"/>
      <c r="EML57" s="13"/>
      <c r="EMM57" s="13"/>
      <c r="EMN57" s="13"/>
      <c r="EMO57" s="13"/>
      <c r="EMP57" s="13"/>
      <c r="EMQ57" s="13"/>
      <c r="EMR57" s="13"/>
      <c r="EMS57" s="13"/>
      <c r="EMT57" s="13"/>
      <c r="EMU57" s="13"/>
      <c r="EMV57" s="13"/>
      <c r="EMW57" s="13"/>
      <c r="EMX57" s="13"/>
      <c r="EMY57" s="13"/>
      <c r="EMZ57" s="13"/>
      <c r="ENA57" s="13"/>
      <c r="ENB57" s="13"/>
      <c r="ENC57" s="13"/>
      <c r="END57" s="13"/>
      <c r="ENE57" s="13"/>
      <c r="ENF57" s="13"/>
      <c r="ENG57" s="13"/>
      <c r="ENH57" s="13"/>
      <c r="ENI57" s="13"/>
      <c r="ENJ57" s="13"/>
      <c r="ENK57" s="13"/>
      <c r="ENL57" s="13"/>
      <c r="ENM57" s="13"/>
      <c r="ENN57" s="13"/>
      <c r="ENO57" s="13"/>
      <c r="ENP57" s="13"/>
      <c r="ENQ57" s="13"/>
      <c r="ENR57" s="13"/>
      <c r="ENS57" s="13"/>
      <c r="ENT57" s="13"/>
      <c r="ENU57" s="13"/>
      <c r="ENV57" s="13"/>
      <c r="ENW57" s="13"/>
      <c r="ENX57" s="13"/>
      <c r="ENY57" s="13"/>
      <c r="ENZ57" s="13"/>
      <c r="EOA57" s="13"/>
      <c r="EOB57" s="13"/>
      <c r="EOC57" s="13"/>
      <c r="EOD57" s="13"/>
      <c r="EOE57" s="13"/>
      <c r="EOF57" s="13"/>
      <c r="EOG57" s="13"/>
      <c r="EOH57" s="13"/>
      <c r="EOI57" s="13"/>
      <c r="EOJ57" s="13"/>
      <c r="EOK57" s="13"/>
      <c r="EOL57" s="13"/>
      <c r="EOM57" s="13"/>
      <c r="EON57" s="13"/>
      <c r="EOO57" s="13"/>
      <c r="EOP57" s="13"/>
      <c r="EOQ57" s="13"/>
      <c r="EOR57" s="13"/>
      <c r="EOS57" s="13"/>
      <c r="EOT57" s="13"/>
      <c r="EOU57" s="13"/>
      <c r="EOV57" s="13"/>
      <c r="EOW57" s="13"/>
      <c r="EOX57" s="13"/>
      <c r="EOY57" s="13"/>
      <c r="EOZ57" s="13"/>
      <c r="EPA57" s="13"/>
      <c r="EPB57" s="13"/>
      <c r="EPC57" s="13"/>
      <c r="EPD57" s="13"/>
      <c r="EPE57" s="13"/>
      <c r="EPF57" s="13"/>
      <c r="EPG57" s="13"/>
      <c r="EPH57" s="13"/>
      <c r="EPI57" s="13"/>
      <c r="EPJ57" s="13"/>
      <c r="EPK57" s="13"/>
      <c r="EPL57" s="13"/>
      <c r="EPM57" s="13"/>
      <c r="EPN57" s="13"/>
      <c r="EPO57" s="13"/>
      <c r="EPP57" s="13"/>
      <c r="EPQ57" s="13"/>
      <c r="EPR57" s="13"/>
      <c r="EPS57" s="13"/>
      <c r="EPT57" s="13"/>
      <c r="EPU57" s="13"/>
      <c r="EPV57" s="13"/>
      <c r="EPW57" s="13"/>
      <c r="EPX57" s="13"/>
      <c r="EPY57" s="13"/>
      <c r="EPZ57" s="13"/>
      <c r="EQA57" s="13"/>
      <c r="EQB57" s="13"/>
      <c r="EQC57" s="13"/>
      <c r="EQD57" s="13"/>
      <c r="EQE57" s="13"/>
      <c r="EQF57" s="13"/>
      <c r="EQG57" s="13"/>
      <c r="EQH57" s="13"/>
      <c r="EQI57" s="13"/>
      <c r="EQJ57" s="13"/>
      <c r="EQK57" s="13"/>
      <c r="EQL57" s="13"/>
      <c r="EQM57" s="13"/>
      <c r="EQN57" s="13"/>
      <c r="EQO57" s="13"/>
      <c r="EQP57" s="13"/>
      <c r="EQQ57" s="13"/>
      <c r="EQR57" s="13"/>
      <c r="EQS57" s="13"/>
      <c r="EQT57" s="13"/>
      <c r="EQU57" s="13"/>
      <c r="EQV57" s="13"/>
      <c r="EQW57" s="13"/>
      <c r="EQX57" s="13"/>
      <c r="EQY57" s="13"/>
      <c r="EQZ57" s="13"/>
      <c r="ERA57" s="13"/>
      <c r="ERB57" s="13"/>
      <c r="ERC57" s="13"/>
      <c r="ERD57" s="13"/>
      <c r="ERE57" s="13"/>
      <c r="ERF57" s="13"/>
      <c r="ERG57" s="13"/>
      <c r="ERH57" s="13"/>
      <c r="ERI57" s="13"/>
      <c r="ERJ57" s="13"/>
      <c r="ERK57" s="13"/>
      <c r="ERL57" s="13"/>
      <c r="ERM57" s="13"/>
      <c r="ERN57" s="13"/>
      <c r="ERO57" s="13"/>
      <c r="ERP57" s="13"/>
      <c r="ERQ57" s="13"/>
      <c r="ERR57" s="13"/>
      <c r="ERS57" s="13"/>
      <c r="ERT57" s="13"/>
      <c r="ERU57" s="13"/>
      <c r="ERV57" s="13"/>
      <c r="ERW57" s="13"/>
      <c r="ERX57" s="13"/>
      <c r="ERY57" s="13"/>
      <c r="ERZ57" s="13"/>
      <c r="ESA57" s="13"/>
      <c r="ESB57" s="13"/>
      <c r="ESC57" s="13"/>
      <c r="ESD57" s="13"/>
      <c r="ESE57" s="13"/>
      <c r="ESF57" s="13"/>
      <c r="ESG57" s="13"/>
      <c r="ESH57" s="13"/>
      <c r="ESI57" s="13"/>
      <c r="ESJ57" s="13"/>
      <c r="ESK57" s="13"/>
      <c r="ESL57" s="13"/>
      <c r="ESM57" s="13"/>
      <c r="ESN57" s="13"/>
      <c r="ESO57" s="13"/>
      <c r="ESP57" s="13"/>
      <c r="ESQ57" s="13"/>
      <c r="ESR57" s="13"/>
      <c r="ESS57" s="13"/>
      <c r="EST57" s="13"/>
      <c r="ESU57" s="13"/>
      <c r="ESV57" s="13"/>
      <c r="ESW57" s="13"/>
      <c r="ESX57" s="13"/>
      <c r="ESY57" s="13"/>
      <c r="ESZ57" s="13"/>
      <c r="ETA57" s="13"/>
      <c r="ETB57" s="13"/>
      <c r="ETC57" s="13"/>
      <c r="ETD57" s="13"/>
      <c r="ETE57" s="13"/>
      <c r="ETF57" s="13"/>
      <c r="ETG57" s="13"/>
      <c r="ETH57" s="13"/>
      <c r="ETI57" s="13"/>
      <c r="ETJ57" s="13"/>
      <c r="ETK57" s="13"/>
      <c r="ETL57" s="13"/>
      <c r="ETM57" s="13"/>
      <c r="ETN57" s="13"/>
      <c r="ETO57" s="13"/>
      <c r="ETP57" s="13"/>
      <c r="ETQ57" s="13"/>
      <c r="ETR57" s="13"/>
      <c r="ETS57" s="13"/>
      <c r="ETT57" s="13"/>
      <c r="ETU57" s="13"/>
      <c r="ETV57" s="13"/>
      <c r="ETW57" s="13"/>
      <c r="ETX57" s="13"/>
      <c r="ETY57" s="13"/>
      <c r="ETZ57" s="13"/>
      <c r="EUA57" s="13"/>
      <c r="EUB57" s="13"/>
      <c r="EUC57" s="13"/>
      <c r="EUD57" s="13"/>
      <c r="EUE57" s="13"/>
      <c r="EUF57" s="13"/>
      <c r="EUG57" s="13"/>
      <c r="EUH57" s="13"/>
      <c r="EUI57" s="13"/>
      <c r="EUJ57" s="13"/>
      <c r="EUK57" s="13"/>
      <c r="EUL57" s="13"/>
      <c r="EUM57" s="13"/>
      <c r="EUN57" s="13"/>
      <c r="EUO57" s="13"/>
      <c r="EUP57" s="13"/>
      <c r="EUQ57" s="13"/>
      <c r="EUR57" s="13"/>
      <c r="EUS57" s="13"/>
      <c r="EUT57" s="13"/>
      <c r="EUU57" s="13"/>
      <c r="EUV57" s="13"/>
      <c r="EUW57" s="13"/>
      <c r="EUX57" s="13"/>
      <c r="EUY57" s="13"/>
      <c r="EUZ57" s="13"/>
      <c r="EVA57" s="13"/>
      <c r="EVB57" s="13"/>
      <c r="EVC57" s="13"/>
      <c r="EVD57" s="13"/>
      <c r="EVE57" s="13"/>
      <c r="EVF57" s="13"/>
      <c r="EVG57" s="13"/>
      <c r="EVH57" s="13"/>
      <c r="EVI57" s="13"/>
      <c r="EVJ57" s="13"/>
      <c r="EVK57" s="13"/>
      <c r="EVL57" s="13"/>
      <c r="EVM57" s="13"/>
      <c r="EVN57" s="13"/>
      <c r="EVO57" s="13"/>
      <c r="EVP57" s="13"/>
      <c r="EVQ57" s="13"/>
      <c r="EVR57" s="13"/>
      <c r="EVS57" s="13"/>
      <c r="EVT57" s="13"/>
      <c r="EVU57" s="13"/>
      <c r="EVV57" s="13"/>
      <c r="EVW57" s="13"/>
      <c r="EVX57" s="13"/>
      <c r="EVY57" s="13"/>
      <c r="EVZ57" s="13"/>
      <c r="EWA57" s="13"/>
      <c r="EWB57" s="13"/>
      <c r="EWC57" s="13"/>
      <c r="EWD57" s="13"/>
      <c r="EWE57" s="13"/>
      <c r="EWF57" s="13"/>
      <c r="EWG57" s="13"/>
      <c r="EWH57" s="13"/>
      <c r="EWI57" s="13"/>
      <c r="EWJ57" s="13"/>
      <c r="EWK57" s="13"/>
      <c r="EWL57" s="13"/>
      <c r="EWM57" s="13"/>
      <c r="EWN57" s="13"/>
      <c r="EWO57" s="13"/>
      <c r="EWP57" s="13"/>
      <c r="EWQ57" s="13"/>
      <c r="EWR57" s="13"/>
      <c r="EWS57" s="13"/>
      <c r="EWT57" s="13"/>
      <c r="EWU57" s="13"/>
      <c r="EWV57" s="13"/>
      <c r="EWW57" s="13"/>
      <c r="EWX57" s="13"/>
      <c r="EWY57" s="13"/>
      <c r="EWZ57" s="13"/>
      <c r="EXA57" s="13"/>
      <c r="EXB57" s="13"/>
      <c r="EXC57" s="13"/>
      <c r="EXD57" s="13"/>
      <c r="EXE57" s="13"/>
      <c r="EXF57" s="13"/>
      <c r="EXG57" s="13"/>
      <c r="EXH57" s="13"/>
      <c r="EXI57" s="13"/>
      <c r="EXJ57" s="13"/>
      <c r="EXK57" s="13"/>
      <c r="EXL57" s="13"/>
      <c r="EXM57" s="13"/>
      <c r="EXN57" s="13"/>
      <c r="EXO57" s="13"/>
      <c r="EXP57" s="13"/>
      <c r="EXQ57" s="13"/>
      <c r="EXR57" s="13"/>
      <c r="EXS57" s="13"/>
      <c r="EXT57" s="13"/>
      <c r="EXU57" s="13"/>
      <c r="EXV57" s="13"/>
      <c r="EXW57" s="13"/>
      <c r="EXX57" s="13"/>
      <c r="EXY57" s="13"/>
      <c r="EXZ57" s="13"/>
      <c r="EYA57" s="13"/>
      <c r="EYB57" s="13"/>
      <c r="EYC57" s="13"/>
      <c r="EYD57" s="13"/>
      <c r="EYE57" s="13"/>
      <c r="EYF57" s="13"/>
      <c r="EYG57" s="13"/>
      <c r="EYH57" s="13"/>
      <c r="EYI57" s="13"/>
      <c r="EYJ57" s="13"/>
      <c r="EYK57" s="13"/>
      <c r="EYL57" s="13"/>
      <c r="EYM57" s="13"/>
      <c r="EYN57" s="13"/>
      <c r="EYO57" s="13"/>
      <c r="EYP57" s="13"/>
      <c r="EYQ57" s="13"/>
      <c r="EYR57" s="13"/>
      <c r="EYS57" s="13"/>
      <c r="EYT57" s="13"/>
      <c r="EYU57" s="13"/>
      <c r="EYV57" s="13"/>
      <c r="EYW57" s="13"/>
      <c r="EYX57" s="13"/>
      <c r="EYY57" s="13"/>
      <c r="EYZ57" s="13"/>
      <c r="EZA57" s="13"/>
      <c r="EZB57" s="13"/>
      <c r="EZC57" s="13"/>
      <c r="EZD57" s="13"/>
      <c r="EZE57" s="13"/>
      <c r="EZF57" s="13"/>
      <c r="EZG57" s="13"/>
      <c r="EZH57" s="13"/>
      <c r="EZI57" s="13"/>
      <c r="EZJ57" s="13"/>
      <c r="EZK57" s="13"/>
      <c r="EZL57" s="13"/>
      <c r="EZM57" s="13"/>
      <c r="EZN57" s="13"/>
      <c r="EZO57" s="13"/>
      <c r="EZP57" s="13"/>
      <c r="EZQ57" s="13"/>
      <c r="EZR57" s="13"/>
      <c r="EZS57" s="13"/>
      <c r="EZT57" s="13"/>
      <c r="EZU57" s="13"/>
      <c r="EZV57" s="13"/>
      <c r="EZW57" s="13"/>
      <c r="EZX57" s="13"/>
      <c r="EZY57" s="13"/>
      <c r="EZZ57" s="13"/>
      <c r="FAA57" s="13"/>
      <c r="FAB57" s="13"/>
      <c r="FAC57" s="13"/>
      <c r="FAD57" s="13"/>
      <c r="FAE57" s="13"/>
      <c r="FAF57" s="13"/>
      <c r="FAG57" s="13"/>
      <c r="FAH57" s="13"/>
      <c r="FAI57" s="13"/>
      <c r="FAJ57" s="13"/>
      <c r="FAK57" s="13"/>
      <c r="FAL57" s="13"/>
      <c r="FAM57" s="13"/>
      <c r="FAN57" s="13"/>
      <c r="FAO57" s="13"/>
      <c r="FAP57" s="13"/>
      <c r="FAQ57" s="13"/>
      <c r="FAR57" s="13"/>
      <c r="FAS57" s="13"/>
      <c r="FAT57" s="13"/>
      <c r="FAU57" s="13"/>
      <c r="FAV57" s="13"/>
      <c r="FAW57" s="13"/>
      <c r="FAX57" s="13"/>
      <c r="FAY57" s="13"/>
      <c r="FAZ57" s="13"/>
      <c r="FBA57" s="13"/>
      <c r="FBB57" s="13"/>
      <c r="FBC57" s="13"/>
      <c r="FBD57" s="13"/>
      <c r="FBE57" s="13"/>
      <c r="FBF57" s="13"/>
      <c r="FBG57" s="13"/>
      <c r="FBH57" s="13"/>
      <c r="FBI57" s="13"/>
      <c r="FBJ57" s="13"/>
      <c r="FBK57" s="13"/>
      <c r="FBL57" s="13"/>
      <c r="FBM57" s="13"/>
      <c r="FBN57" s="13"/>
      <c r="FBO57" s="13"/>
      <c r="FBP57" s="13"/>
      <c r="FBQ57" s="13"/>
      <c r="FBR57" s="13"/>
      <c r="FBS57" s="13"/>
      <c r="FBT57" s="13"/>
      <c r="FBU57" s="13"/>
      <c r="FBV57" s="13"/>
      <c r="FBW57" s="13"/>
      <c r="FBX57" s="13"/>
      <c r="FBY57" s="13"/>
      <c r="FBZ57" s="13"/>
      <c r="FCA57" s="13"/>
      <c r="FCB57" s="13"/>
      <c r="FCC57" s="13"/>
      <c r="FCD57" s="13"/>
      <c r="FCE57" s="13"/>
      <c r="FCF57" s="13"/>
      <c r="FCG57" s="13"/>
      <c r="FCH57" s="13"/>
      <c r="FCI57" s="13"/>
      <c r="FCJ57" s="13"/>
      <c r="FCK57" s="13"/>
      <c r="FCL57" s="13"/>
      <c r="FCM57" s="13"/>
      <c r="FCN57" s="13"/>
      <c r="FCO57" s="13"/>
      <c r="FCP57" s="13"/>
      <c r="FCQ57" s="13"/>
      <c r="FCR57" s="13"/>
      <c r="FCS57" s="13"/>
      <c r="FCT57" s="13"/>
      <c r="FCU57" s="13"/>
      <c r="FCV57" s="13"/>
      <c r="FCW57" s="13"/>
      <c r="FCX57" s="13"/>
      <c r="FCY57" s="13"/>
      <c r="FCZ57" s="13"/>
      <c r="FDA57" s="13"/>
      <c r="FDB57" s="13"/>
      <c r="FDC57" s="13"/>
      <c r="FDD57" s="13"/>
      <c r="FDE57" s="13"/>
      <c r="FDF57" s="13"/>
      <c r="FDG57" s="13"/>
      <c r="FDH57" s="13"/>
      <c r="FDI57" s="13"/>
      <c r="FDJ57" s="13"/>
      <c r="FDK57" s="13"/>
      <c r="FDL57" s="13"/>
      <c r="FDM57" s="13"/>
      <c r="FDN57" s="13"/>
      <c r="FDO57" s="13"/>
      <c r="FDP57" s="13"/>
      <c r="FDQ57" s="13"/>
      <c r="FDR57" s="13"/>
      <c r="FDS57" s="13"/>
      <c r="FDT57" s="13"/>
      <c r="FDU57" s="13"/>
      <c r="FDV57" s="13"/>
      <c r="FDW57" s="13"/>
      <c r="FDX57" s="13"/>
      <c r="FDY57" s="13"/>
      <c r="FDZ57" s="13"/>
      <c r="FEA57" s="13"/>
      <c r="FEB57" s="13"/>
      <c r="FEC57" s="13"/>
      <c r="FED57" s="13"/>
      <c r="FEE57" s="13"/>
      <c r="FEF57" s="13"/>
      <c r="FEG57" s="13"/>
      <c r="FEH57" s="13"/>
      <c r="FEI57" s="13"/>
      <c r="FEJ57" s="13"/>
      <c r="FEK57" s="13"/>
      <c r="FEL57" s="13"/>
      <c r="FEM57" s="13"/>
      <c r="FEN57" s="13"/>
      <c r="FEO57" s="13"/>
      <c r="FEP57" s="13"/>
      <c r="FEQ57" s="13"/>
      <c r="FER57" s="13"/>
      <c r="FES57" s="13"/>
      <c r="FET57" s="13"/>
      <c r="FEU57" s="13"/>
      <c r="FEV57" s="13"/>
      <c r="FEW57" s="13"/>
      <c r="FEX57" s="13"/>
      <c r="FEY57" s="13"/>
      <c r="FEZ57" s="13"/>
      <c r="FFA57" s="13"/>
      <c r="FFB57" s="13"/>
      <c r="FFC57" s="13"/>
      <c r="FFD57" s="13"/>
      <c r="FFE57" s="13"/>
      <c r="FFF57" s="13"/>
      <c r="FFG57" s="13"/>
      <c r="FFH57" s="13"/>
      <c r="FFI57" s="13"/>
      <c r="FFJ57" s="13"/>
      <c r="FFK57" s="13"/>
      <c r="FFL57" s="13"/>
      <c r="FFM57" s="13"/>
      <c r="FFN57" s="13"/>
      <c r="FFO57" s="13"/>
      <c r="FFP57" s="13"/>
      <c r="FFQ57" s="13"/>
      <c r="FFR57" s="13"/>
      <c r="FFS57" s="13"/>
      <c r="FFT57" s="13"/>
      <c r="FFU57" s="13"/>
      <c r="FFV57" s="13"/>
      <c r="FFW57" s="13"/>
      <c r="FFX57" s="13"/>
      <c r="FFY57" s="13"/>
      <c r="FFZ57" s="13"/>
      <c r="FGA57" s="13"/>
      <c r="FGB57" s="13"/>
      <c r="FGC57" s="13"/>
      <c r="FGD57" s="13"/>
      <c r="FGE57" s="13"/>
      <c r="FGF57" s="13"/>
      <c r="FGG57" s="13"/>
      <c r="FGH57" s="13"/>
      <c r="FGI57" s="13"/>
      <c r="FGJ57" s="13"/>
      <c r="FGK57" s="13"/>
      <c r="FGL57" s="13"/>
      <c r="FGM57" s="13"/>
      <c r="FGN57" s="13"/>
      <c r="FGO57" s="13"/>
      <c r="FGP57" s="13"/>
      <c r="FGQ57" s="13"/>
      <c r="FGR57" s="13"/>
      <c r="FGS57" s="13"/>
      <c r="FGT57" s="13"/>
      <c r="FGU57" s="13"/>
      <c r="FGV57" s="13"/>
      <c r="FGW57" s="13"/>
      <c r="FGX57" s="13"/>
      <c r="FGY57" s="13"/>
      <c r="FGZ57" s="13"/>
      <c r="FHA57" s="13"/>
      <c r="FHB57" s="13"/>
      <c r="FHC57" s="13"/>
      <c r="FHD57" s="13"/>
      <c r="FHE57" s="13"/>
      <c r="FHF57" s="13"/>
      <c r="FHG57" s="13"/>
      <c r="FHH57" s="13"/>
      <c r="FHI57" s="13"/>
      <c r="FHJ57" s="13"/>
      <c r="FHK57" s="13"/>
      <c r="FHL57" s="13"/>
      <c r="FHM57" s="13"/>
      <c r="FHN57" s="13"/>
      <c r="FHO57" s="13"/>
      <c r="FHP57" s="13"/>
      <c r="FHQ57" s="13"/>
      <c r="FHR57" s="13"/>
      <c r="FHS57" s="13"/>
      <c r="FHT57" s="13"/>
      <c r="FHU57" s="13"/>
      <c r="FHV57" s="13"/>
      <c r="FHW57" s="13"/>
      <c r="FHX57" s="13"/>
      <c r="FHY57" s="13"/>
      <c r="FHZ57" s="13"/>
      <c r="FIA57" s="13"/>
      <c r="FIB57" s="13"/>
      <c r="FIC57" s="13"/>
      <c r="FID57" s="13"/>
      <c r="FIE57" s="13"/>
      <c r="FIF57" s="13"/>
      <c r="FIG57" s="13"/>
      <c r="FIH57" s="13"/>
      <c r="FII57" s="13"/>
      <c r="FIJ57" s="13"/>
      <c r="FIK57" s="13"/>
      <c r="FIL57" s="13"/>
      <c r="FIM57" s="13"/>
      <c r="FIN57" s="13"/>
      <c r="FIO57" s="13"/>
      <c r="FIP57" s="13"/>
      <c r="FIQ57" s="13"/>
      <c r="FIR57" s="13"/>
      <c r="FIS57" s="13"/>
      <c r="FIT57" s="13"/>
      <c r="FIU57" s="13"/>
      <c r="FIV57" s="13"/>
      <c r="FIW57" s="13"/>
      <c r="FIX57" s="13"/>
      <c r="FIY57" s="13"/>
      <c r="FIZ57" s="13"/>
      <c r="FJA57" s="13"/>
      <c r="FJB57" s="13"/>
      <c r="FJC57" s="13"/>
      <c r="FJD57" s="13"/>
      <c r="FJE57" s="13"/>
      <c r="FJF57" s="13"/>
      <c r="FJG57" s="13"/>
      <c r="FJH57" s="13"/>
      <c r="FJI57" s="13"/>
      <c r="FJJ57" s="13"/>
      <c r="FJK57" s="13"/>
      <c r="FJL57" s="13"/>
      <c r="FJM57" s="13"/>
      <c r="FJN57" s="13"/>
      <c r="FJO57" s="13"/>
      <c r="FJP57" s="13"/>
      <c r="FJQ57" s="13"/>
      <c r="FJR57" s="13"/>
      <c r="FJS57" s="13"/>
      <c r="FJT57" s="13"/>
      <c r="FJU57" s="13"/>
      <c r="FJV57" s="13"/>
      <c r="FJW57" s="13"/>
      <c r="FJX57" s="13"/>
      <c r="FJY57" s="13"/>
      <c r="FJZ57" s="13"/>
      <c r="FKA57" s="13"/>
      <c r="FKB57" s="13"/>
      <c r="FKC57" s="13"/>
      <c r="FKD57" s="13"/>
      <c r="FKE57" s="13"/>
      <c r="FKF57" s="13"/>
      <c r="FKG57" s="13"/>
      <c r="FKH57" s="13"/>
      <c r="FKI57" s="13"/>
      <c r="FKJ57" s="13"/>
      <c r="FKK57" s="13"/>
      <c r="FKL57" s="13"/>
      <c r="FKM57" s="13"/>
      <c r="FKN57" s="13"/>
      <c r="FKO57" s="13"/>
      <c r="FKP57" s="13"/>
      <c r="FKQ57" s="13"/>
      <c r="FKR57" s="13"/>
      <c r="FKS57" s="13"/>
      <c r="FKT57" s="13"/>
      <c r="FKU57" s="13"/>
      <c r="FKV57" s="13"/>
      <c r="FKW57" s="13"/>
      <c r="FKX57" s="13"/>
      <c r="FKY57" s="13"/>
      <c r="FKZ57" s="13"/>
      <c r="FLA57" s="13"/>
      <c r="FLB57" s="13"/>
      <c r="FLC57" s="13"/>
      <c r="FLD57" s="13"/>
      <c r="FLE57" s="13"/>
      <c r="FLF57" s="13"/>
      <c r="FLG57" s="13"/>
      <c r="FLH57" s="13"/>
      <c r="FLI57" s="13"/>
      <c r="FLJ57" s="13"/>
      <c r="FLK57" s="13"/>
      <c r="FLL57" s="13"/>
      <c r="FLM57" s="13"/>
      <c r="FLN57" s="13"/>
      <c r="FLO57" s="13"/>
      <c r="FLP57" s="13"/>
      <c r="FLQ57" s="13"/>
      <c r="FLR57" s="13"/>
      <c r="FLS57" s="13"/>
      <c r="FLT57" s="13"/>
      <c r="FLU57" s="13"/>
      <c r="FLV57" s="13"/>
      <c r="FLW57" s="13"/>
      <c r="FLX57" s="13"/>
      <c r="FLY57" s="13"/>
      <c r="FLZ57" s="13"/>
      <c r="FMA57" s="13"/>
      <c r="FMB57" s="13"/>
      <c r="FMC57" s="13"/>
      <c r="FMD57" s="13"/>
      <c r="FME57" s="13"/>
      <c r="FMF57" s="13"/>
      <c r="FMG57" s="13"/>
      <c r="FMH57" s="13"/>
      <c r="FMI57" s="13"/>
      <c r="FMJ57" s="13"/>
      <c r="FMK57" s="13"/>
      <c r="FML57" s="13"/>
      <c r="FMM57" s="13"/>
      <c r="FMN57" s="13"/>
      <c r="FMO57" s="13"/>
      <c r="FMP57" s="13"/>
      <c r="FMQ57" s="13"/>
      <c r="FMR57" s="13"/>
      <c r="FMS57" s="13"/>
      <c r="FMT57" s="13"/>
      <c r="FMU57" s="13"/>
      <c r="FMV57" s="13"/>
      <c r="FMW57" s="13"/>
      <c r="FMX57" s="13"/>
      <c r="FMY57" s="13"/>
      <c r="FMZ57" s="13"/>
      <c r="FNA57" s="13"/>
      <c r="FNB57" s="13"/>
      <c r="FNC57" s="13"/>
      <c r="FND57" s="13"/>
      <c r="FNE57" s="13"/>
      <c r="FNF57" s="13"/>
      <c r="FNG57" s="13"/>
      <c r="FNH57" s="13"/>
      <c r="FNI57" s="13"/>
      <c r="FNJ57" s="13"/>
      <c r="FNK57" s="13"/>
      <c r="FNL57" s="13"/>
      <c r="FNM57" s="13"/>
      <c r="FNN57" s="13"/>
      <c r="FNO57" s="13"/>
      <c r="FNP57" s="13"/>
      <c r="FNQ57" s="13"/>
      <c r="FNR57" s="13"/>
      <c r="FNS57" s="13"/>
      <c r="FNT57" s="13"/>
      <c r="FNU57" s="13"/>
      <c r="FNV57" s="13"/>
      <c r="FNW57" s="13"/>
      <c r="FNX57" s="13"/>
      <c r="FNY57" s="13"/>
      <c r="FNZ57" s="13"/>
      <c r="FOA57" s="13"/>
      <c r="FOB57" s="13"/>
      <c r="FOC57" s="13"/>
      <c r="FOD57" s="13"/>
      <c r="FOE57" s="13"/>
      <c r="FOF57" s="13"/>
      <c r="FOG57" s="13"/>
      <c r="FOH57" s="13"/>
      <c r="FOI57" s="13"/>
      <c r="FOJ57" s="13"/>
      <c r="FOK57" s="13"/>
      <c r="FOL57" s="13"/>
      <c r="FOM57" s="13"/>
      <c r="FON57" s="13"/>
      <c r="FOO57" s="13"/>
      <c r="FOP57" s="13"/>
      <c r="FOQ57" s="13"/>
      <c r="FOR57" s="13"/>
      <c r="FOS57" s="13"/>
      <c r="FOT57" s="13"/>
      <c r="FOU57" s="13"/>
      <c r="FOV57" s="13"/>
      <c r="FOW57" s="13"/>
      <c r="FOX57" s="13"/>
      <c r="FOY57" s="13"/>
      <c r="FOZ57" s="13"/>
      <c r="FPA57" s="13"/>
      <c r="FPB57" s="13"/>
      <c r="FPC57" s="13"/>
      <c r="FPD57" s="13"/>
      <c r="FPE57" s="13"/>
      <c r="FPF57" s="13"/>
      <c r="FPG57" s="13"/>
      <c r="FPH57" s="13"/>
      <c r="FPI57" s="13"/>
      <c r="FPJ57" s="13"/>
      <c r="FPK57" s="13"/>
      <c r="FPL57" s="13"/>
      <c r="FPM57" s="13"/>
      <c r="FPN57" s="13"/>
      <c r="FPO57" s="13"/>
      <c r="FPP57" s="13"/>
      <c r="FPQ57" s="13"/>
      <c r="FPR57" s="13"/>
      <c r="FPS57" s="13"/>
      <c r="FPT57" s="13"/>
      <c r="FPU57" s="13"/>
      <c r="FPV57" s="13"/>
      <c r="FPW57" s="13"/>
      <c r="FPX57" s="13"/>
      <c r="FPY57" s="13"/>
      <c r="FPZ57" s="13"/>
      <c r="FQA57" s="13"/>
      <c r="FQB57" s="13"/>
      <c r="FQC57" s="13"/>
      <c r="FQD57" s="13"/>
      <c r="FQE57" s="13"/>
      <c r="FQF57" s="13"/>
      <c r="FQG57" s="13"/>
      <c r="FQH57" s="13"/>
      <c r="FQI57" s="13"/>
      <c r="FQJ57" s="13"/>
      <c r="FQK57" s="13"/>
      <c r="FQL57" s="13"/>
      <c r="FQM57" s="13"/>
      <c r="FQN57" s="13"/>
      <c r="FQO57" s="13"/>
      <c r="FQP57" s="13"/>
      <c r="FQQ57" s="13"/>
      <c r="FQR57" s="13"/>
      <c r="FQS57" s="13"/>
      <c r="FQT57" s="13"/>
      <c r="FQU57" s="13"/>
      <c r="FQV57" s="13"/>
      <c r="FQW57" s="13"/>
      <c r="FQX57" s="13"/>
      <c r="FQY57" s="13"/>
      <c r="FQZ57" s="13"/>
      <c r="FRA57" s="13"/>
      <c r="FRB57" s="13"/>
      <c r="FRC57" s="13"/>
      <c r="FRD57" s="13"/>
      <c r="FRE57" s="13"/>
      <c r="FRF57" s="13"/>
      <c r="FRG57" s="13"/>
      <c r="FRH57" s="13"/>
      <c r="FRI57" s="13"/>
      <c r="FRJ57" s="13"/>
      <c r="FRK57" s="13"/>
      <c r="FRL57" s="13"/>
      <c r="FRM57" s="13"/>
      <c r="FRN57" s="13"/>
      <c r="FRO57" s="13"/>
      <c r="FRP57" s="13"/>
      <c r="FRQ57" s="13"/>
      <c r="FRR57" s="13"/>
      <c r="FRS57" s="13"/>
      <c r="FRT57" s="13"/>
      <c r="FRU57" s="13"/>
      <c r="FRV57" s="13"/>
      <c r="FRW57" s="13"/>
      <c r="FRX57" s="13"/>
      <c r="FRY57" s="13"/>
      <c r="FRZ57" s="13"/>
      <c r="FSA57" s="13"/>
      <c r="FSB57" s="13"/>
      <c r="FSC57" s="13"/>
      <c r="FSD57" s="13"/>
      <c r="FSE57" s="13"/>
      <c r="FSF57" s="13"/>
      <c r="FSG57" s="13"/>
      <c r="FSH57" s="13"/>
      <c r="FSI57" s="13"/>
      <c r="FSJ57" s="13"/>
      <c r="FSK57" s="13"/>
      <c r="FSL57" s="13"/>
      <c r="FSM57" s="13"/>
      <c r="FSN57" s="13"/>
      <c r="FSO57" s="13"/>
      <c r="FSP57" s="13"/>
      <c r="FSQ57" s="13"/>
      <c r="FSR57" s="13"/>
      <c r="FSS57" s="13"/>
      <c r="FST57" s="13"/>
      <c r="FSU57" s="13"/>
      <c r="FSV57" s="13"/>
      <c r="FSW57" s="13"/>
      <c r="FSX57" s="13"/>
      <c r="FSY57" s="13"/>
      <c r="FSZ57" s="13"/>
      <c r="FTA57" s="13"/>
      <c r="FTB57" s="13"/>
      <c r="FTC57" s="13"/>
      <c r="FTD57" s="13"/>
      <c r="FTE57" s="13"/>
      <c r="FTF57" s="13"/>
      <c r="FTG57" s="13"/>
      <c r="FTH57" s="13"/>
      <c r="FTI57" s="13"/>
      <c r="FTJ57" s="13"/>
      <c r="FTK57" s="13"/>
      <c r="FTL57" s="13"/>
      <c r="FTM57" s="13"/>
      <c r="FTN57" s="13"/>
      <c r="FTO57" s="13"/>
      <c r="FTP57" s="13"/>
      <c r="FTQ57" s="13"/>
      <c r="FTR57" s="13"/>
      <c r="FTS57" s="13"/>
      <c r="FTT57" s="13"/>
      <c r="FTU57" s="13"/>
      <c r="FTV57" s="13"/>
      <c r="FTW57" s="13"/>
      <c r="FTX57" s="13"/>
      <c r="FTY57" s="13"/>
      <c r="FTZ57" s="13"/>
      <c r="FUA57" s="13"/>
      <c r="FUB57" s="13"/>
      <c r="FUC57" s="13"/>
      <c r="FUD57" s="13"/>
      <c r="FUE57" s="13"/>
      <c r="FUF57" s="13"/>
      <c r="FUG57" s="13"/>
      <c r="FUH57" s="13"/>
      <c r="FUI57" s="13"/>
      <c r="FUJ57" s="13"/>
      <c r="FUK57" s="13"/>
      <c r="FUL57" s="13"/>
      <c r="FUM57" s="13"/>
      <c r="FUN57" s="13"/>
      <c r="FUO57" s="13"/>
      <c r="FUP57" s="13"/>
      <c r="FUQ57" s="13"/>
      <c r="FUR57" s="13"/>
      <c r="FUS57" s="13"/>
      <c r="FUT57" s="13"/>
      <c r="FUU57" s="13"/>
      <c r="FUV57" s="13"/>
      <c r="FUW57" s="13"/>
      <c r="FUX57" s="13"/>
      <c r="FUY57" s="13"/>
      <c r="FUZ57" s="13"/>
      <c r="FVA57" s="13"/>
      <c r="FVB57" s="13"/>
      <c r="FVC57" s="13"/>
      <c r="FVD57" s="13"/>
      <c r="FVE57" s="13"/>
      <c r="FVF57" s="13"/>
      <c r="FVG57" s="13"/>
      <c r="FVH57" s="13"/>
      <c r="FVI57" s="13"/>
      <c r="FVJ57" s="13"/>
      <c r="FVK57" s="13"/>
      <c r="FVL57" s="13"/>
      <c r="FVM57" s="13"/>
      <c r="FVN57" s="13"/>
      <c r="FVO57" s="13"/>
      <c r="FVP57" s="13"/>
      <c r="FVQ57" s="13"/>
      <c r="FVR57" s="13"/>
      <c r="FVS57" s="13"/>
      <c r="FVT57" s="13"/>
      <c r="FVU57" s="13"/>
      <c r="FVV57" s="13"/>
      <c r="FVW57" s="13"/>
      <c r="FVX57" s="13"/>
      <c r="FVY57" s="13"/>
      <c r="FVZ57" s="13"/>
      <c r="FWA57" s="13"/>
      <c r="FWB57" s="13"/>
      <c r="FWC57" s="13"/>
      <c r="FWD57" s="13"/>
      <c r="FWE57" s="13"/>
      <c r="FWF57" s="13"/>
      <c r="FWG57" s="13"/>
      <c r="FWH57" s="13"/>
      <c r="FWI57" s="13"/>
      <c r="FWJ57" s="13"/>
      <c r="FWK57" s="13"/>
      <c r="FWL57" s="13"/>
      <c r="FWM57" s="13"/>
      <c r="FWN57" s="13"/>
      <c r="FWO57" s="13"/>
      <c r="FWP57" s="13"/>
      <c r="FWQ57" s="13"/>
      <c r="FWR57" s="13"/>
      <c r="FWS57" s="13"/>
      <c r="FWT57" s="13"/>
      <c r="FWU57" s="13"/>
      <c r="FWV57" s="13"/>
      <c r="FWW57" s="13"/>
      <c r="FWX57" s="13"/>
      <c r="FWY57" s="13"/>
      <c r="FWZ57" s="13"/>
      <c r="FXA57" s="13"/>
      <c r="FXB57" s="13"/>
      <c r="FXC57" s="13"/>
      <c r="FXD57" s="13"/>
      <c r="FXE57" s="13"/>
      <c r="FXF57" s="13"/>
      <c r="FXG57" s="13"/>
      <c r="FXH57" s="13"/>
      <c r="FXI57" s="13"/>
      <c r="FXJ57" s="13"/>
      <c r="FXK57" s="13"/>
      <c r="FXL57" s="13"/>
      <c r="FXM57" s="13"/>
      <c r="FXN57" s="13"/>
      <c r="FXO57" s="13"/>
      <c r="FXP57" s="13"/>
      <c r="FXQ57" s="13"/>
      <c r="FXR57" s="13"/>
      <c r="FXS57" s="13"/>
      <c r="FXT57" s="13"/>
      <c r="FXU57" s="13"/>
      <c r="FXV57" s="13"/>
      <c r="FXW57" s="13"/>
      <c r="FXX57" s="13"/>
      <c r="FXY57" s="13"/>
      <c r="FXZ57" s="13"/>
      <c r="FYA57" s="13"/>
      <c r="FYB57" s="13"/>
      <c r="FYC57" s="13"/>
      <c r="FYD57" s="13"/>
      <c r="FYE57" s="13"/>
      <c r="FYF57" s="13"/>
      <c r="FYG57" s="13"/>
      <c r="FYH57" s="13"/>
      <c r="FYI57" s="13"/>
      <c r="FYJ57" s="13"/>
      <c r="FYK57" s="13"/>
      <c r="FYL57" s="13"/>
      <c r="FYM57" s="13"/>
      <c r="FYN57" s="13"/>
      <c r="FYO57" s="13"/>
      <c r="FYP57" s="13"/>
      <c r="FYQ57" s="13"/>
      <c r="FYR57" s="13"/>
      <c r="FYS57" s="13"/>
      <c r="FYT57" s="13"/>
      <c r="FYU57" s="13"/>
      <c r="FYV57" s="13"/>
      <c r="FYW57" s="13"/>
      <c r="FYX57" s="13"/>
      <c r="FYY57" s="13"/>
      <c r="FYZ57" s="13"/>
      <c r="FZA57" s="13"/>
      <c r="FZB57" s="13"/>
      <c r="FZC57" s="13"/>
      <c r="FZD57" s="13"/>
      <c r="FZE57" s="13"/>
      <c r="FZF57" s="13"/>
      <c r="FZG57" s="13"/>
      <c r="FZH57" s="13"/>
      <c r="FZI57" s="13"/>
      <c r="FZJ57" s="13"/>
      <c r="FZK57" s="13"/>
      <c r="FZL57" s="13"/>
      <c r="FZM57" s="13"/>
      <c r="FZN57" s="13"/>
      <c r="FZO57" s="13"/>
      <c r="FZP57" s="13"/>
      <c r="FZQ57" s="13"/>
      <c r="FZR57" s="13"/>
      <c r="FZS57" s="13"/>
      <c r="FZT57" s="13"/>
      <c r="FZU57" s="13"/>
      <c r="FZV57" s="13"/>
      <c r="FZW57" s="13"/>
      <c r="FZX57" s="13"/>
      <c r="FZY57" s="13"/>
      <c r="FZZ57" s="13"/>
      <c r="GAA57" s="13"/>
      <c r="GAB57" s="13"/>
      <c r="GAC57" s="13"/>
      <c r="GAD57" s="13"/>
      <c r="GAE57" s="13"/>
      <c r="GAF57" s="13"/>
      <c r="GAG57" s="13"/>
      <c r="GAH57" s="13"/>
      <c r="GAI57" s="13"/>
      <c r="GAJ57" s="13"/>
      <c r="GAK57" s="13"/>
      <c r="GAL57" s="13"/>
      <c r="GAM57" s="13"/>
      <c r="GAN57" s="13"/>
      <c r="GAO57" s="13"/>
      <c r="GAP57" s="13"/>
      <c r="GAQ57" s="13"/>
      <c r="GAR57" s="13"/>
      <c r="GAS57" s="13"/>
      <c r="GAT57" s="13"/>
      <c r="GAU57" s="13"/>
      <c r="GAV57" s="13"/>
      <c r="GAW57" s="13"/>
      <c r="GAX57" s="13"/>
      <c r="GAY57" s="13"/>
      <c r="GAZ57" s="13"/>
      <c r="GBA57" s="13"/>
      <c r="GBB57" s="13"/>
      <c r="GBC57" s="13"/>
      <c r="GBD57" s="13"/>
      <c r="GBE57" s="13"/>
      <c r="GBF57" s="13"/>
      <c r="GBG57" s="13"/>
      <c r="GBH57" s="13"/>
      <c r="GBI57" s="13"/>
      <c r="GBJ57" s="13"/>
      <c r="GBK57" s="13"/>
      <c r="GBL57" s="13"/>
      <c r="GBM57" s="13"/>
      <c r="GBN57" s="13"/>
      <c r="GBO57" s="13"/>
      <c r="GBP57" s="13"/>
      <c r="GBQ57" s="13"/>
      <c r="GBR57" s="13"/>
      <c r="GBS57" s="13"/>
      <c r="GBT57" s="13"/>
      <c r="GBU57" s="13"/>
      <c r="GBV57" s="13"/>
      <c r="GBW57" s="13"/>
      <c r="GBX57" s="13"/>
      <c r="GBY57" s="13"/>
      <c r="GBZ57" s="13"/>
      <c r="GCA57" s="13"/>
      <c r="GCB57" s="13"/>
      <c r="GCC57" s="13"/>
      <c r="GCD57" s="13"/>
      <c r="GCE57" s="13"/>
      <c r="GCF57" s="13"/>
      <c r="GCG57" s="13"/>
      <c r="GCH57" s="13"/>
      <c r="GCI57" s="13"/>
      <c r="GCJ57" s="13"/>
      <c r="GCK57" s="13"/>
      <c r="GCL57" s="13"/>
      <c r="GCM57" s="13"/>
      <c r="GCN57" s="13"/>
      <c r="GCO57" s="13"/>
      <c r="GCP57" s="13"/>
      <c r="GCQ57" s="13"/>
      <c r="GCR57" s="13"/>
      <c r="GCS57" s="13"/>
      <c r="GCT57" s="13"/>
      <c r="GCU57" s="13"/>
      <c r="GCV57" s="13"/>
      <c r="GCW57" s="13"/>
      <c r="GCX57" s="13"/>
      <c r="GCY57" s="13"/>
      <c r="GCZ57" s="13"/>
      <c r="GDA57" s="13"/>
      <c r="GDB57" s="13"/>
      <c r="GDC57" s="13"/>
      <c r="GDD57" s="13"/>
      <c r="GDE57" s="13"/>
      <c r="GDF57" s="13"/>
      <c r="GDG57" s="13"/>
      <c r="GDH57" s="13"/>
      <c r="GDI57" s="13"/>
      <c r="GDJ57" s="13"/>
      <c r="GDK57" s="13"/>
      <c r="GDL57" s="13"/>
      <c r="GDM57" s="13"/>
      <c r="GDN57" s="13"/>
      <c r="GDO57" s="13"/>
      <c r="GDP57" s="13"/>
      <c r="GDQ57" s="13"/>
      <c r="GDR57" s="13"/>
      <c r="GDS57" s="13"/>
      <c r="GDT57" s="13"/>
      <c r="GDU57" s="13"/>
      <c r="GDV57" s="13"/>
      <c r="GDW57" s="13"/>
      <c r="GDX57" s="13"/>
      <c r="GDY57" s="13"/>
      <c r="GDZ57" s="13"/>
      <c r="GEA57" s="13"/>
      <c r="GEB57" s="13"/>
      <c r="GEC57" s="13"/>
      <c r="GED57" s="13"/>
      <c r="GEE57" s="13"/>
      <c r="GEF57" s="13"/>
      <c r="GEG57" s="13"/>
      <c r="GEH57" s="13"/>
      <c r="GEI57" s="13"/>
      <c r="GEJ57" s="13"/>
      <c r="GEK57" s="13"/>
      <c r="GEL57" s="13"/>
      <c r="GEM57" s="13"/>
      <c r="GEN57" s="13"/>
      <c r="GEO57" s="13"/>
      <c r="GEP57" s="13"/>
      <c r="GEQ57" s="13"/>
      <c r="GER57" s="13"/>
      <c r="GES57" s="13"/>
      <c r="GET57" s="13"/>
      <c r="GEU57" s="13"/>
      <c r="GEV57" s="13"/>
      <c r="GEW57" s="13"/>
      <c r="GEX57" s="13"/>
      <c r="GEY57" s="13"/>
      <c r="GEZ57" s="13"/>
      <c r="GFA57" s="13"/>
      <c r="GFB57" s="13"/>
      <c r="GFC57" s="13"/>
      <c r="GFD57" s="13"/>
      <c r="GFE57" s="13"/>
      <c r="GFF57" s="13"/>
      <c r="GFG57" s="13"/>
      <c r="GFH57" s="13"/>
      <c r="GFI57" s="13"/>
      <c r="GFJ57" s="13"/>
      <c r="GFK57" s="13"/>
      <c r="GFL57" s="13"/>
      <c r="GFM57" s="13"/>
      <c r="GFN57" s="13"/>
      <c r="GFO57" s="13"/>
      <c r="GFP57" s="13"/>
      <c r="GFQ57" s="13"/>
      <c r="GFR57" s="13"/>
      <c r="GFS57" s="13"/>
      <c r="GFT57" s="13"/>
      <c r="GFU57" s="13"/>
      <c r="GFV57" s="13"/>
      <c r="GFW57" s="13"/>
      <c r="GFX57" s="13"/>
      <c r="GFY57" s="13"/>
      <c r="GFZ57" s="13"/>
      <c r="GGA57" s="13"/>
      <c r="GGB57" s="13"/>
      <c r="GGC57" s="13"/>
      <c r="GGD57" s="13"/>
      <c r="GGE57" s="13"/>
      <c r="GGF57" s="13"/>
      <c r="GGG57" s="13"/>
      <c r="GGH57" s="13"/>
      <c r="GGI57" s="13"/>
      <c r="GGJ57" s="13"/>
      <c r="GGK57" s="13"/>
      <c r="GGL57" s="13"/>
      <c r="GGM57" s="13"/>
      <c r="GGN57" s="13"/>
      <c r="GGO57" s="13"/>
      <c r="GGP57" s="13"/>
      <c r="GGQ57" s="13"/>
      <c r="GGR57" s="13"/>
      <c r="GGS57" s="13"/>
      <c r="GGT57" s="13"/>
      <c r="GGU57" s="13"/>
      <c r="GGV57" s="13"/>
      <c r="GGW57" s="13"/>
      <c r="GGX57" s="13"/>
      <c r="GGY57" s="13"/>
      <c r="GGZ57" s="13"/>
      <c r="GHA57" s="13"/>
      <c r="GHB57" s="13"/>
      <c r="GHC57" s="13"/>
      <c r="GHD57" s="13"/>
      <c r="GHE57" s="13"/>
      <c r="GHF57" s="13"/>
      <c r="GHG57" s="13"/>
      <c r="GHH57" s="13"/>
      <c r="GHI57" s="13"/>
      <c r="GHJ57" s="13"/>
      <c r="GHK57" s="13"/>
      <c r="GHL57" s="13"/>
      <c r="GHM57" s="13"/>
      <c r="GHN57" s="13"/>
      <c r="GHO57" s="13"/>
      <c r="GHP57" s="13"/>
      <c r="GHQ57" s="13"/>
      <c r="GHR57" s="13"/>
      <c r="GHS57" s="13"/>
      <c r="GHT57" s="13"/>
      <c r="GHU57" s="13"/>
      <c r="GHV57" s="13"/>
      <c r="GHW57" s="13"/>
      <c r="GHX57" s="13"/>
      <c r="GHY57" s="13"/>
      <c r="GHZ57" s="13"/>
      <c r="GIA57" s="13"/>
      <c r="GIB57" s="13"/>
      <c r="GIC57" s="13"/>
      <c r="GID57" s="13"/>
      <c r="GIE57" s="13"/>
      <c r="GIF57" s="13"/>
      <c r="GIG57" s="13"/>
      <c r="GIH57" s="13"/>
      <c r="GII57" s="13"/>
      <c r="GIJ57" s="13"/>
      <c r="GIK57" s="13"/>
      <c r="GIL57" s="13"/>
      <c r="GIM57" s="13"/>
      <c r="GIN57" s="13"/>
      <c r="GIO57" s="13"/>
      <c r="GIP57" s="13"/>
      <c r="GIQ57" s="13"/>
      <c r="GIR57" s="13"/>
      <c r="GIS57" s="13"/>
      <c r="GIT57" s="13"/>
      <c r="GIU57" s="13"/>
      <c r="GIV57" s="13"/>
      <c r="GIW57" s="13"/>
      <c r="GIX57" s="13"/>
      <c r="GIY57" s="13"/>
      <c r="GIZ57" s="13"/>
      <c r="GJA57" s="13"/>
      <c r="GJB57" s="13"/>
      <c r="GJC57" s="13"/>
      <c r="GJD57" s="13"/>
      <c r="GJE57" s="13"/>
      <c r="GJF57" s="13"/>
      <c r="GJG57" s="13"/>
      <c r="GJH57" s="13"/>
      <c r="GJI57" s="13"/>
      <c r="GJJ57" s="13"/>
      <c r="GJK57" s="13"/>
      <c r="GJL57" s="13"/>
      <c r="GJM57" s="13"/>
      <c r="GJN57" s="13"/>
      <c r="GJO57" s="13"/>
      <c r="GJP57" s="13"/>
      <c r="GJQ57" s="13"/>
      <c r="GJR57" s="13"/>
      <c r="GJS57" s="13"/>
      <c r="GJT57" s="13"/>
      <c r="GJU57" s="13"/>
      <c r="GJV57" s="13"/>
      <c r="GJW57" s="13"/>
      <c r="GJX57" s="13"/>
      <c r="GJY57" s="13"/>
      <c r="GJZ57" s="13"/>
      <c r="GKA57" s="13"/>
      <c r="GKB57" s="13"/>
      <c r="GKC57" s="13"/>
      <c r="GKD57" s="13"/>
      <c r="GKE57" s="13"/>
      <c r="GKF57" s="13"/>
      <c r="GKG57" s="13"/>
      <c r="GKH57" s="13"/>
      <c r="GKI57" s="13"/>
      <c r="GKJ57" s="13"/>
      <c r="GKK57" s="13"/>
      <c r="GKL57" s="13"/>
      <c r="GKM57" s="13"/>
      <c r="GKN57" s="13"/>
      <c r="GKO57" s="13"/>
      <c r="GKP57" s="13"/>
      <c r="GKQ57" s="13"/>
      <c r="GKR57" s="13"/>
      <c r="GKS57" s="13"/>
      <c r="GKT57" s="13"/>
      <c r="GKU57" s="13"/>
      <c r="GKV57" s="13"/>
      <c r="GKW57" s="13"/>
      <c r="GKX57" s="13"/>
      <c r="GKY57" s="13"/>
      <c r="GKZ57" s="13"/>
      <c r="GLA57" s="13"/>
      <c r="GLB57" s="13"/>
      <c r="GLC57" s="13"/>
      <c r="GLD57" s="13"/>
      <c r="GLE57" s="13"/>
      <c r="GLF57" s="13"/>
      <c r="GLG57" s="13"/>
      <c r="GLH57" s="13"/>
      <c r="GLI57" s="13"/>
      <c r="GLJ57" s="13"/>
      <c r="GLK57" s="13"/>
      <c r="GLL57" s="13"/>
      <c r="GLM57" s="13"/>
      <c r="GLN57" s="13"/>
      <c r="GLO57" s="13"/>
      <c r="GLP57" s="13"/>
      <c r="GLQ57" s="13"/>
      <c r="GLR57" s="13"/>
      <c r="GLS57" s="13"/>
      <c r="GLT57" s="13"/>
      <c r="GLU57" s="13"/>
      <c r="GLV57" s="13"/>
      <c r="GLW57" s="13"/>
      <c r="GLX57" s="13"/>
      <c r="GLY57" s="13"/>
      <c r="GLZ57" s="13"/>
      <c r="GMA57" s="13"/>
      <c r="GMB57" s="13"/>
      <c r="GMC57" s="13"/>
      <c r="GMD57" s="13"/>
      <c r="GME57" s="13"/>
      <c r="GMF57" s="13"/>
      <c r="GMG57" s="13"/>
      <c r="GMH57" s="13"/>
      <c r="GMI57" s="13"/>
      <c r="GMJ57" s="13"/>
      <c r="GMK57" s="13"/>
      <c r="GML57" s="13"/>
      <c r="GMM57" s="13"/>
      <c r="GMN57" s="13"/>
      <c r="GMO57" s="13"/>
      <c r="GMP57" s="13"/>
      <c r="GMQ57" s="13"/>
      <c r="GMR57" s="13"/>
      <c r="GMS57" s="13"/>
      <c r="GMT57" s="13"/>
      <c r="GMU57" s="13"/>
      <c r="GMV57" s="13"/>
      <c r="GMW57" s="13"/>
      <c r="GMX57" s="13"/>
      <c r="GMY57" s="13"/>
      <c r="GMZ57" s="13"/>
      <c r="GNA57" s="13"/>
      <c r="GNB57" s="13"/>
      <c r="GNC57" s="13"/>
      <c r="GND57" s="13"/>
      <c r="GNE57" s="13"/>
      <c r="GNF57" s="13"/>
      <c r="GNG57" s="13"/>
      <c r="GNH57" s="13"/>
      <c r="GNI57" s="13"/>
      <c r="GNJ57" s="13"/>
      <c r="GNK57" s="13"/>
      <c r="GNL57" s="13"/>
      <c r="GNM57" s="13"/>
      <c r="GNN57" s="13"/>
      <c r="GNO57" s="13"/>
      <c r="GNP57" s="13"/>
      <c r="GNQ57" s="13"/>
      <c r="GNR57" s="13"/>
      <c r="GNS57" s="13"/>
      <c r="GNT57" s="13"/>
      <c r="GNU57" s="13"/>
      <c r="GNV57" s="13"/>
      <c r="GNW57" s="13"/>
      <c r="GNX57" s="13"/>
      <c r="GNY57" s="13"/>
      <c r="GNZ57" s="13"/>
      <c r="GOA57" s="13"/>
      <c r="GOB57" s="13"/>
      <c r="GOC57" s="13"/>
      <c r="GOD57" s="13"/>
      <c r="GOE57" s="13"/>
      <c r="GOF57" s="13"/>
      <c r="GOG57" s="13"/>
      <c r="GOH57" s="13"/>
      <c r="GOI57" s="13"/>
      <c r="GOJ57" s="13"/>
      <c r="GOK57" s="13"/>
      <c r="GOL57" s="13"/>
      <c r="GOM57" s="13"/>
      <c r="GON57" s="13"/>
      <c r="GOO57" s="13"/>
      <c r="GOP57" s="13"/>
      <c r="GOQ57" s="13"/>
      <c r="GOR57" s="13"/>
      <c r="GOS57" s="13"/>
      <c r="GOT57" s="13"/>
      <c r="GOU57" s="13"/>
      <c r="GOV57" s="13"/>
      <c r="GOW57" s="13"/>
      <c r="GOX57" s="13"/>
      <c r="GOY57" s="13"/>
      <c r="GOZ57" s="13"/>
      <c r="GPA57" s="13"/>
      <c r="GPB57" s="13"/>
      <c r="GPC57" s="13"/>
      <c r="GPD57" s="13"/>
      <c r="GPE57" s="13"/>
      <c r="GPF57" s="13"/>
      <c r="GPG57" s="13"/>
      <c r="GPH57" s="13"/>
      <c r="GPI57" s="13"/>
      <c r="GPJ57" s="13"/>
      <c r="GPK57" s="13"/>
      <c r="GPL57" s="13"/>
      <c r="GPM57" s="13"/>
      <c r="GPN57" s="13"/>
      <c r="GPO57" s="13"/>
      <c r="GPP57" s="13"/>
      <c r="GPQ57" s="13"/>
      <c r="GPR57" s="13"/>
      <c r="GPS57" s="13"/>
      <c r="GPT57" s="13"/>
      <c r="GPU57" s="13"/>
      <c r="GPV57" s="13"/>
      <c r="GPW57" s="13"/>
      <c r="GPX57" s="13"/>
      <c r="GPY57" s="13"/>
      <c r="GPZ57" s="13"/>
      <c r="GQA57" s="13"/>
      <c r="GQB57" s="13"/>
      <c r="GQC57" s="13"/>
      <c r="GQD57" s="13"/>
      <c r="GQE57" s="13"/>
      <c r="GQF57" s="13"/>
      <c r="GQG57" s="13"/>
      <c r="GQH57" s="13"/>
      <c r="GQI57" s="13"/>
      <c r="GQJ57" s="13"/>
      <c r="GQK57" s="13"/>
      <c r="GQL57" s="13"/>
      <c r="GQM57" s="13"/>
      <c r="GQN57" s="13"/>
      <c r="GQO57" s="13"/>
      <c r="GQP57" s="13"/>
      <c r="GQQ57" s="13"/>
      <c r="GQR57" s="13"/>
      <c r="GQS57" s="13"/>
      <c r="GQT57" s="13"/>
      <c r="GQU57" s="13"/>
      <c r="GQV57" s="13"/>
      <c r="GQW57" s="13"/>
      <c r="GQX57" s="13"/>
      <c r="GQY57" s="13"/>
      <c r="GQZ57" s="13"/>
      <c r="GRA57" s="13"/>
      <c r="GRB57" s="13"/>
      <c r="GRC57" s="13"/>
      <c r="GRD57" s="13"/>
      <c r="GRE57" s="13"/>
      <c r="GRF57" s="13"/>
      <c r="GRG57" s="13"/>
      <c r="GRH57" s="13"/>
      <c r="GRI57" s="13"/>
      <c r="GRJ57" s="13"/>
      <c r="GRK57" s="13"/>
      <c r="GRL57" s="13"/>
      <c r="GRM57" s="13"/>
      <c r="GRN57" s="13"/>
      <c r="GRO57" s="13"/>
      <c r="GRP57" s="13"/>
      <c r="GRQ57" s="13"/>
      <c r="GRR57" s="13"/>
      <c r="GRS57" s="13"/>
      <c r="GRT57" s="13"/>
      <c r="GRU57" s="13"/>
      <c r="GRV57" s="13"/>
      <c r="GRW57" s="13"/>
      <c r="GRX57" s="13"/>
      <c r="GRY57" s="13"/>
      <c r="GRZ57" s="13"/>
      <c r="GSA57" s="13"/>
      <c r="GSB57" s="13"/>
      <c r="GSC57" s="13"/>
      <c r="GSD57" s="13"/>
      <c r="GSE57" s="13"/>
      <c r="GSF57" s="13"/>
      <c r="GSG57" s="13"/>
      <c r="GSH57" s="13"/>
      <c r="GSI57" s="13"/>
      <c r="GSJ57" s="13"/>
      <c r="GSK57" s="13"/>
      <c r="GSL57" s="13"/>
      <c r="GSM57" s="13"/>
      <c r="GSN57" s="13"/>
      <c r="GSO57" s="13"/>
      <c r="GSP57" s="13"/>
      <c r="GSQ57" s="13"/>
      <c r="GSR57" s="13"/>
      <c r="GSS57" s="13"/>
      <c r="GST57" s="13"/>
      <c r="GSU57" s="13"/>
      <c r="GSV57" s="13"/>
      <c r="GSW57" s="13"/>
      <c r="GSX57" s="13"/>
      <c r="GSY57" s="13"/>
      <c r="GSZ57" s="13"/>
      <c r="GTA57" s="13"/>
      <c r="GTB57" s="13"/>
      <c r="GTC57" s="13"/>
      <c r="GTD57" s="13"/>
      <c r="GTE57" s="13"/>
      <c r="GTF57" s="13"/>
      <c r="GTG57" s="13"/>
      <c r="GTH57" s="13"/>
      <c r="GTI57" s="13"/>
      <c r="GTJ57" s="13"/>
      <c r="GTK57" s="13"/>
      <c r="GTL57" s="13"/>
      <c r="GTM57" s="13"/>
      <c r="GTN57" s="13"/>
      <c r="GTO57" s="13"/>
      <c r="GTP57" s="13"/>
      <c r="GTQ57" s="13"/>
      <c r="GTR57" s="13"/>
      <c r="GTS57" s="13"/>
      <c r="GTT57" s="13"/>
      <c r="GTU57" s="13"/>
      <c r="GTV57" s="13"/>
      <c r="GTW57" s="13"/>
      <c r="GTX57" s="13"/>
      <c r="GTY57" s="13"/>
      <c r="GTZ57" s="13"/>
      <c r="GUA57" s="13"/>
      <c r="GUB57" s="13"/>
      <c r="GUC57" s="13"/>
      <c r="GUD57" s="13"/>
      <c r="GUE57" s="13"/>
      <c r="GUF57" s="13"/>
      <c r="GUG57" s="13"/>
      <c r="GUH57" s="13"/>
      <c r="GUI57" s="13"/>
      <c r="GUJ57" s="13"/>
      <c r="GUK57" s="13"/>
      <c r="GUL57" s="13"/>
      <c r="GUM57" s="13"/>
      <c r="GUN57" s="13"/>
      <c r="GUO57" s="13"/>
      <c r="GUP57" s="13"/>
      <c r="GUQ57" s="13"/>
      <c r="GUR57" s="13"/>
      <c r="GUS57" s="13"/>
      <c r="GUT57" s="13"/>
      <c r="GUU57" s="13"/>
      <c r="GUV57" s="13"/>
      <c r="GUW57" s="13"/>
      <c r="GUX57" s="13"/>
      <c r="GUY57" s="13"/>
      <c r="GUZ57" s="13"/>
      <c r="GVA57" s="13"/>
      <c r="GVB57" s="13"/>
      <c r="GVC57" s="13"/>
      <c r="GVD57" s="13"/>
      <c r="GVE57" s="13"/>
      <c r="GVF57" s="13"/>
      <c r="GVG57" s="13"/>
      <c r="GVH57" s="13"/>
      <c r="GVI57" s="13"/>
      <c r="GVJ57" s="13"/>
      <c r="GVK57" s="13"/>
      <c r="GVL57" s="13"/>
      <c r="GVM57" s="13"/>
      <c r="GVN57" s="13"/>
      <c r="GVO57" s="13"/>
      <c r="GVP57" s="13"/>
      <c r="GVQ57" s="13"/>
      <c r="GVR57" s="13"/>
      <c r="GVS57" s="13"/>
      <c r="GVT57" s="13"/>
      <c r="GVU57" s="13"/>
      <c r="GVV57" s="13"/>
      <c r="GVW57" s="13"/>
      <c r="GVX57" s="13"/>
      <c r="GVY57" s="13"/>
      <c r="GVZ57" s="13"/>
      <c r="GWA57" s="13"/>
      <c r="GWB57" s="13"/>
      <c r="GWC57" s="13"/>
      <c r="GWD57" s="13"/>
      <c r="GWE57" s="13"/>
      <c r="GWF57" s="13"/>
      <c r="GWG57" s="13"/>
      <c r="GWH57" s="13"/>
      <c r="GWI57" s="13"/>
      <c r="GWJ57" s="13"/>
      <c r="GWK57" s="13"/>
      <c r="GWL57" s="13"/>
      <c r="GWM57" s="13"/>
      <c r="GWN57" s="13"/>
      <c r="GWO57" s="13"/>
      <c r="GWP57" s="13"/>
      <c r="GWQ57" s="13"/>
      <c r="GWR57" s="13"/>
      <c r="GWS57" s="13"/>
      <c r="GWT57" s="13"/>
      <c r="GWU57" s="13"/>
      <c r="GWV57" s="13"/>
      <c r="GWW57" s="13"/>
      <c r="GWX57" s="13"/>
      <c r="GWY57" s="13"/>
      <c r="GWZ57" s="13"/>
      <c r="GXA57" s="13"/>
      <c r="GXB57" s="13"/>
      <c r="GXC57" s="13"/>
      <c r="GXD57" s="13"/>
      <c r="GXE57" s="13"/>
      <c r="GXF57" s="13"/>
      <c r="GXG57" s="13"/>
      <c r="GXH57" s="13"/>
      <c r="GXI57" s="13"/>
      <c r="GXJ57" s="13"/>
      <c r="GXK57" s="13"/>
      <c r="GXL57" s="13"/>
      <c r="GXM57" s="13"/>
      <c r="GXN57" s="13"/>
      <c r="GXO57" s="13"/>
      <c r="GXP57" s="13"/>
      <c r="GXQ57" s="13"/>
      <c r="GXR57" s="13"/>
      <c r="GXS57" s="13"/>
      <c r="GXT57" s="13"/>
      <c r="GXU57" s="13"/>
      <c r="GXV57" s="13"/>
      <c r="GXW57" s="13"/>
      <c r="GXX57" s="13"/>
      <c r="GXY57" s="13"/>
      <c r="GXZ57" s="13"/>
      <c r="GYA57" s="13"/>
      <c r="GYB57" s="13"/>
      <c r="GYC57" s="13"/>
      <c r="GYD57" s="13"/>
      <c r="GYE57" s="13"/>
      <c r="GYF57" s="13"/>
      <c r="GYG57" s="13"/>
      <c r="GYH57" s="13"/>
      <c r="GYI57" s="13"/>
      <c r="GYJ57" s="13"/>
      <c r="GYK57" s="13"/>
      <c r="GYL57" s="13"/>
      <c r="GYM57" s="13"/>
      <c r="GYN57" s="13"/>
      <c r="GYO57" s="13"/>
      <c r="GYP57" s="13"/>
      <c r="GYQ57" s="13"/>
      <c r="GYR57" s="13"/>
      <c r="GYS57" s="13"/>
      <c r="GYT57" s="13"/>
      <c r="GYU57" s="13"/>
      <c r="GYV57" s="13"/>
      <c r="GYW57" s="13"/>
      <c r="GYX57" s="13"/>
      <c r="GYY57" s="13"/>
      <c r="GYZ57" s="13"/>
      <c r="GZA57" s="13"/>
      <c r="GZB57" s="13"/>
      <c r="GZC57" s="13"/>
      <c r="GZD57" s="13"/>
      <c r="GZE57" s="13"/>
      <c r="GZF57" s="13"/>
      <c r="GZG57" s="13"/>
      <c r="GZH57" s="13"/>
      <c r="GZI57" s="13"/>
      <c r="GZJ57" s="13"/>
      <c r="GZK57" s="13"/>
      <c r="GZL57" s="13"/>
      <c r="GZM57" s="13"/>
      <c r="GZN57" s="13"/>
      <c r="GZO57" s="13"/>
      <c r="GZP57" s="13"/>
      <c r="GZQ57" s="13"/>
      <c r="GZR57" s="13"/>
      <c r="GZS57" s="13"/>
      <c r="GZT57" s="13"/>
      <c r="GZU57" s="13"/>
      <c r="GZV57" s="13"/>
      <c r="GZW57" s="13"/>
      <c r="GZX57" s="13"/>
      <c r="GZY57" s="13"/>
      <c r="GZZ57" s="13"/>
      <c r="HAA57" s="13"/>
      <c r="HAB57" s="13"/>
      <c r="HAC57" s="13"/>
      <c r="HAD57" s="13"/>
      <c r="HAE57" s="13"/>
      <c r="HAF57" s="13"/>
      <c r="HAG57" s="13"/>
      <c r="HAH57" s="13"/>
      <c r="HAI57" s="13"/>
      <c r="HAJ57" s="13"/>
      <c r="HAK57" s="13"/>
      <c r="HAL57" s="13"/>
      <c r="HAM57" s="13"/>
      <c r="HAN57" s="13"/>
      <c r="HAO57" s="13"/>
      <c r="HAP57" s="13"/>
      <c r="HAQ57" s="13"/>
      <c r="HAR57" s="13"/>
      <c r="HAS57" s="13"/>
      <c r="HAT57" s="13"/>
      <c r="HAU57" s="13"/>
      <c r="HAV57" s="13"/>
      <c r="HAW57" s="13"/>
      <c r="HAX57" s="13"/>
      <c r="HAY57" s="13"/>
      <c r="HAZ57" s="13"/>
      <c r="HBA57" s="13"/>
      <c r="HBB57" s="13"/>
      <c r="HBC57" s="13"/>
      <c r="HBD57" s="13"/>
      <c r="HBE57" s="13"/>
      <c r="HBF57" s="13"/>
      <c r="HBG57" s="13"/>
      <c r="HBH57" s="13"/>
      <c r="HBI57" s="13"/>
      <c r="HBJ57" s="13"/>
      <c r="HBK57" s="13"/>
      <c r="HBL57" s="13"/>
      <c r="HBM57" s="13"/>
      <c r="HBN57" s="13"/>
      <c r="HBO57" s="13"/>
      <c r="HBP57" s="13"/>
      <c r="HBQ57" s="13"/>
      <c r="HBR57" s="13"/>
      <c r="HBS57" s="13"/>
      <c r="HBT57" s="13"/>
      <c r="HBU57" s="13"/>
      <c r="HBV57" s="13"/>
      <c r="HBW57" s="13"/>
      <c r="HBX57" s="13"/>
      <c r="HBY57" s="13"/>
      <c r="HBZ57" s="13"/>
      <c r="HCA57" s="13"/>
      <c r="HCB57" s="13"/>
      <c r="HCC57" s="13"/>
      <c r="HCD57" s="13"/>
      <c r="HCE57" s="13"/>
      <c r="HCF57" s="13"/>
      <c r="HCG57" s="13"/>
      <c r="HCH57" s="13"/>
      <c r="HCI57" s="13"/>
      <c r="HCJ57" s="13"/>
      <c r="HCK57" s="13"/>
      <c r="HCL57" s="13"/>
      <c r="HCM57" s="13"/>
      <c r="HCN57" s="13"/>
      <c r="HCO57" s="13"/>
      <c r="HCP57" s="13"/>
      <c r="HCQ57" s="13"/>
      <c r="HCR57" s="13"/>
      <c r="HCS57" s="13"/>
      <c r="HCT57" s="13"/>
      <c r="HCU57" s="13"/>
      <c r="HCV57" s="13"/>
      <c r="HCW57" s="13"/>
      <c r="HCX57" s="13"/>
      <c r="HCY57" s="13"/>
      <c r="HCZ57" s="13"/>
      <c r="HDA57" s="13"/>
      <c r="HDB57" s="13"/>
      <c r="HDC57" s="13"/>
      <c r="HDD57" s="13"/>
      <c r="HDE57" s="13"/>
      <c r="HDF57" s="13"/>
      <c r="HDG57" s="13"/>
      <c r="HDH57" s="13"/>
      <c r="HDI57" s="13"/>
      <c r="HDJ57" s="13"/>
      <c r="HDK57" s="13"/>
      <c r="HDL57" s="13"/>
      <c r="HDM57" s="13"/>
      <c r="HDN57" s="13"/>
      <c r="HDO57" s="13"/>
      <c r="HDP57" s="13"/>
      <c r="HDQ57" s="13"/>
      <c r="HDR57" s="13"/>
      <c r="HDS57" s="13"/>
      <c r="HDT57" s="13"/>
      <c r="HDU57" s="13"/>
      <c r="HDV57" s="13"/>
      <c r="HDW57" s="13"/>
      <c r="HDX57" s="13"/>
      <c r="HDY57" s="13"/>
      <c r="HDZ57" s="13"/>
      <c r="HEA57" s="13"/>
      <c r="HEB57" s="13"/>
      <c r="HEC57" s="13"/>
      <c r="HED57" s="13"/>
      <c r="HEE57" s="13"/>
      <c r="HEF57" s="13"/>
      <c r="HEG57" s="13"/>
      <c r="HEH57" s="13"/>
      <c r="HEI57" s="13"/>
      <c r="HEJ57" s="13"/>
      <c r="HEK57" s="13"/>
      <c r="HEL57" s="13"/>
      <c r="HEM57" s="13"/>
      <c r="HEN57" s="13"/>
      <c r="HEO57" s="13"/>
      <c r="HEP57" s="13"/>
      <c r="HEQ57" s="13"/>
      <c r="HER57" s="13"/>
      <c r="HES57" s="13"/>
      <c r="HET57" s="13"/>
      <c r="HEU57" s="13"/>
      <c r="HEV57" s="13"/>
      <c r="HEW57" s="13"/>
      <c r="HEX57" s="13"/>
      <c r="HEY57" s="13"/>
      <c r="HEZ57" s="13"/>
      <c r="HFA57" s="13"/>
      <c r="HFB57" s="13"/>
      <c r="HFC57" s="13"/>
      <c r="HFD57" s="13"/>
      <c r="HFE57" s="13"/>
      <c r="HFF57" s="13"/>
      <c r="HFG57" s="13"/>
      <c r="HFH57" s="13"/>
      <c r="HFI57" s="13"/>
      <c r="HFJ57" s="13"/>
      <c r="HFK57" s="13"/>
      <c r="HFL57" s="13"/>
      <c r="HFM57" s="13"/>
      <c r="HFN57" s="13"/>
      <c r="HFO57" s="13"/>
      <c r="HFP57" s="13"/>
      <c r="HFQ57" s="13"/>
      <c r="HFR57" s="13"/>
      <c r="HFS57" s="13"/>
      <c r="HFT57" s="13"/>
      <c r="HFU57" s="13"/>
      <c r="HFV57" s="13"/>
      <c r="HFW57" s="13"/>
      <c r="HFX57" s="13"/>
      <c r="HFY57" s="13"/>
      <c r="HFZ57" s="13"/>
      <c r="HGA57" s="13"/>
      <c r="HGB57" s="13"/>
      <c r="HGC57" s="13"/>
      <c r="HGD57" s="13"/>
      <c r="HGE57" s="13"/>
      <c r="HGF57" s="13"/>
      <c r="HGG57" s="13"/>
      <c r="HGH57" s="13"/>
      <c r="HGI57" s="13"/>
      <c r="HGJ57" s="13"/>
      <c r="HGK57" s="13"/>
      <c r="HGL57" s="13"/>
      <c r="HGM57" s="13"/>
      <c r="HGN57" s="13"/>
      <c r="HGO57" s="13"/>
      <c r="HGP57" s="13"/>
      <c r="HGQ57" s="13"/>
      <c r="HGR57" s="13"/>
      <c r="HGS57" s="13"/>
      <c r="HGT57" s="13"/>
      <c r="HGU57" s="13"/>
      <c r="HGV57" s="13"/>
      <c r="HGW57" s="13"/>
      <c r="HGX57" s="13"/>
      <c r="HGY57" s="13"/>
      <c r="HGZ57" s="13"/>
      <c r="HHA57" s="13"/>
      <c r="HHB57" s="13"/>
      <c r="HHC57" s="13"/>
      <c r="HHD57" s="13"/>
      <c r="HHE57" s="13"/>
      <c r="HHF57" s="13"/>
      <c r="HHG57" s="13"/>
      <c r="HHH57" s="13"/>
      <c r="HHI57" s="13"/>
      <c r="HHJ57" s="13"/>
      <c r="HHK57" s="13"/>
      <c r="HHL57" s="13"/>
      <c r="HHM57" s="13"/>
      <c r="HHN57" s="13"/>
      <c r="HHO57" s="13"/>
      <c r="HHP57" s="13"/>
      <c r="HHQ57" s="13"/>
      <c r="HHR57" s="13"/>
      <c r="HHS57" s="13"/>
      <c r="HHT57" s="13"/>
      <c r="HHU57" s="13"/>
      <c r="HHV57" s="13"/>
      <c r="HHW57" s="13"/>
      <c r="HHX57" s="13"/>
      <c r="HHY57" s="13"/>
      <c r="HHZ57" s="13"/>
      <c r="HIA57" s="13"/>
      <c r="HIB57" s="13"/>
      <c r="HIC57" s="13"/>
      <c r="HID57" s="13"/>
      <c r="HIE57" s="13"/>
      <c r="HIF57" s="13"/>
      <c r="HIG57" s="13"/>
      <c r="HIH57" s="13"/>
      <c r="HII57" s="13"/>
      <c r="HIJ57" s="13"/>
      <c r="HIK57" s="13"/>
      <c r="HIL57" s="13"/>
      <c r="HIM57" s="13"/>
      <c r="HIN57" s="13"/>
      <c r="HIO57" s="13"/>
      <c r="HIP57" s="13"/>
      <c r="HIQ57" s="13"/>
      <c r="HIR57" s="13"/>
      <c r="HIS57" s="13"/>
      <c r="HIT57" s="13"/>
      <c r="HIU57" s="13"/>
      <c r="HIV57" s="13"/>
      <c r="HIW57" s="13"/>
      <c r="HIX57" s="13"/>
      <c r="HIY57" s="13"/>
      <c r="HIZ57" s="13"/>
      <c r="HJA57" s="13"/>
      <c r="HJB57" s="13"/>
      <c r="HJC57" s="13"/>
      <c r="HJD57" s="13"/>
      <c r="HJE57" s="13"/>
      <c r="HJF57" s="13"/>
      <c r="HJG57" s="13"/>
      <c r="HJH57" s="13"/>
      <c r="HJI57" s="13"/>
      <c r="HJJ57" s="13"/>
      <c r="HJK57" s="13"/>
      <c r="HJL57" s="13"/>
      <c r="HJM57" s="13"/>
      <c r="HJN57" s="13"/>
      <c r="HJO57" s="13"/>
      <c r="HJP57" s="13"/>
      <c r="HJQ57" s="13"/>
      <c r="HJR57" s="13"/>
      <c r="HJS57" s="13"/>
      <c r="HJT57" s="13"/>
      <c r="HJU57" s="13"/>
      <c r="HJV57" s="13"/>
      <c r="HJW57" s="13"/>
      <c r="HJX57" s="13"/>
      <c r="HJY57" s="13"/>
      <c r="HJZ57" s="13"/>
      <c r="HKA57" s="13"/>
      <c r="HKB57" s="13"/>
      <c r="HKC57" s="13"/>
      <c r="HKD57" s="13"/>
      <c r="HKE57" s="13"/>
      <c r="HKF57" s="13"/>
      <c r="HKG57" s="13"/>
      <c r="HKH57" s="13"/>
      <c r="HKI57" s="13"/>
      <c r="HKJ57" s="13"/>
      <c r="HKK57" s="13"/>
      <c r="HKL57" s="13"/>
      <c r="HKM57" s="13"/>
      <c r="HKN57" s="13"/>
      <c r="HKO57" s="13"/>
      <c r="HKP57" s="13"/>
      <c r="HKQ57" s="13"/>
      <c r="HKR57" s="13"/>
      <c r="HKS57" s="13"/>
      <c r="HKT57" s="13"/>
      <c r="HKU57" s="13"/>
      <c r="HKV57" s="13"/>
      <c r="HKW57" s="13"/>
      <c r="HKX57" s="13"/>
      <c r="HKY57" s="13"/>
      <c r="HKZ57" s="13"/>
      <c r="HLA57" s="13"/>
      <c r="HLB57" s="13"/>
      <c r="HLC57" s="13"/>
      <c r="HLD57" s="13"/>
      <c r="HLE57" s="13"/>
      <c r="HLF57" s="13"/>
      <c r="HLG57" s="13"/>
      <c r="HLH57" s="13"/>
      <c r="HLI57" s="13"/>
      <c r="HLJ57" s="13"/>
      <c r="HLK57" s="13"/>
      <c r="HLL57" s="13"/>
      <c r="HLM57" s="13"/>
      <c r="HLN57" s="13"/>
      <c r="HLO57" s="13"/>
      <c r="HLP57" s="13"/>
      <c r="HLQ57" s="13"/>
      <c r="HLR57" s="13"/>
      <c r="HLS57" s="13"/>
      <c r="HLT57" s="13"/>
      <c r="HLU57" s="13"/>
      <c r="HLV57" s="13"/>
      <c r="HLW57" s="13"/>
      <c r="HLX57" s="13"/>
      <c r="HLY57" s="13"/>
      <c r="HLZ57" s="13"/>
      <c r="HMA57" s="13"/>
      <c r="HMB57" s="13"/>
      <c r="HMC57" s="13"/>
      <c r="HMD57" s="13"/>
      <c r="HME57" s="13"/>
      <c r="HMF57" s="13"/>
      <c r="HMG57" s="13"/>
      <c r="HMH57" s="13"/>
      <c r="HMI57" s="13"/>
      <c r="HMJ57" s="13"/>
      <c r="HMK57" s="13"/>
      <c r="HML57" s="13"/>
      <c r="HMM57" s="13"/>
      <c r="HMN57" s="13"/>
      <c r="HMO57" s="13"/>
      <c r="HMP57" s="13"/>
      <c r="HMQ57" s="13"/>
      <c r="HMR57" s="13"/>
      <c r="HMS57" s="13"/>
      <c r="HMT57" s="13"/>
      <c r="HMU57" s="13"/>
      <c r="HMV57" s="13"/>
      <c r="HMW57" s="13"/>
      <c r="HMX57" s="13"/>
      <c r="HMY57" s="13"/>
      <c r="HMZ57" s="13"/>
      <c r="HNA57" s="13"/>
      <c r="HNB57" s="13"/>
      <c r="HNC57" s="13"/>
      <c r="HND57" s="13"/>
      <c r="HNE57" s="13"/>
      <c r="HNF57" s="13"/>
      <c r="HNG57" s="13"/>
      <c r="HNH57" s="13"/>
      <c r="HNI57" s="13"/>
      <c r="HNJ57" s="13"/>
      <c r="HNK57" s="13"/>
      <c r="HNL57" s="13"/>
      <c r="HNM57" s="13"/>
      <c r="HNN57" s="13"/>
      <c r="HNO57" s="13"/>
      <c r="HNP57" s="13"/>
      <c r="HNQ57" s="13"/>
      <c r="HNR57" s="13"/>
      <c r="HNS57" s="13"/>
      <c r="HNT57" s="13"/>
      <c r="HNU57" s="13"/>
      <c r="HNV57" s="13"/>
      <c r="HNW57" s="13"/>
      <c r="HNX57" s="13"/>
      <c r="HNY57" s="13"/>
      <c r="HNZ57" s="13"/>
      <c r="HOA57" s="13"/>
      <c r="HOB57" s="13"/>
      <c r="HOC57" s="13"/>
      <c r="HOD57" s="13"/>
      <c r="HOE57" s="13"/>
      <c r="HOF57" s="13"/>
      <c r="HOG57" s="13"/>
      <c r="HOH57" s="13"/>
      <c r="HOI57" s="13"/>
      <c r="HOJ57" s="13"/>
      <c r="HOK57" s="13"/>
      <c r="HOL57" s="13"/>
      <c r="HOM57" s="13"/>
      <c r="HON57" s="13"/>
      <c r="HOO57" s="13"/>
      <c r="HOP57" s="13"/>
      <c r="HOQ57" s="13"/>
      <c r="HOR57" s="13"/>
      <c r="HOS57" s="13"/>
      <c r="HOT57" s="13"/>
      <c r="HOU57" s="13"/>
      <c r="HOV57" s="13"/>
      <c r="HOW57" s="13"/>
      <c r="HOX57" s="13"/>
      <c r="HOY57" s="13"/>
      <c r="HOZ57" s="13"/>
      <c r="HPA57" s="13"/>
      <c r="HPB57" s="13"/>
      <c r="HPC57" s="13"/>
      <c r="HPD57" s="13"/>
      <c r="HPE57" s="13"/>
      <c r="HPF57" s="13"/>
      <c r="HPG57" s="13"/>
      <c r="HPH57" s="13"/>
      <c r="HPI57" s="13"/>
      <c r="HPJ57" s="13"/>
      <c r="HPK57" s="13"/>
      <c r="HPL57" s="13"/>
      <c r="HPM57" s="13"/>
      <c r="HPN57" s="13"/>
      <c r="HPO57" s="13"/>
      <c r="HPP57" s="13"/>
      <c r="HPQ57" s="13"/>
      <c r="HPR57" s="13"/>
      <c r="HPS57" s="13"/>
      <c r="HPT57" s="13"/>
      <c r="HPU57" s="13"/>
      <c r="HPV57" s="13"/>
      <c r="HPW57" s="13"/>
      <c r="HPX57" s="13"/>
      <c r="HPY57" s="13"/>
      <c r="HPZ57" s="13"/>
      <c r="HQA57" s="13"/>
      <c r="HQB57" s="13"/>
      <c r="HQC57" s="13"/>
      <c r="HQD57" s="13"/>
      <c r="HQE57" s="13"/>
      <c r="HQF57" s="13"/>
      <c r="HQG57" s="13"/>
      <c r="HQH57" s="13"/>
      <c r="HQI57" s="13"/>
      <c r="HQJ57" s="13"/>
      <c r="HQK57" s="13"/>
      <c r="HQL57" s="13"/>
      <c r="HQM57" s="13"/>
      <c r="HQN57" s="13"/>
      <c r="HQO57" s="13"/>
      <c r="HQP57" s="13"/>
      <c r="HQQ57" s="13"/>
      <c r="HQR57" s="13"/>
      <c r="HQS57" s="13"/>
      <c r="HQT57" s="13"/>
      <c r="HQU57" s="13"/>
      <c r="HQV57" s="13"/>
      <c r="HQW57" s="13"/>
      <c r="HQX57" s="13"/>
      <c r="HQY57" s="13"/>
      <c r="HQZ57" s="13"/>
      <c r="HRA57" s="13"/>
      <c r="HRB57" s="13"/>
      <c r="HRC57" s="13"/>
      <c r="HRD57" s="13"/>
      <c r="HRE57" s="13"/>
      <c r="HRF57" s="13"/>
      <c r="HRG57" s="13"/>
      <c r="HRH57" s="13"/>
      <c r="HRI57" s="13"/>
      <c r="HRJ57" s="13"/>
      <c r="HRK57" s="13"/>
      <c r="HRL57" s="13"/>
      <c r="HRM57" s="13"/>
      <c r="HRN57" s="13"/>
      <c r="HRO57" s="13"/>
      <c r="HRP57" s="13"/>
      <c r="HRQ57" s="13"/>
      <c r="HRR57" s="13"/>
      <c r="HRS57" s="13"/>
      <c r="HRT57" s="13"/>
      <c r="HRU57" s="13"/>
      <c r="HRV57" s="13"/>
      <c r="HRW57" s="13"/>
      <c r="HRX57" s="13"/>
      <c r="HRY57" s="13"/>
      <c r="HRZ57" s="13"/>
      <c r="HSA57" s="13"/>
      <c r="HSB57" s="13"/>
      <c r="HSC57" s="13"/>
      <c r="HSD57" s="13"/>
      <c r="HSE57" s="13"/>
      <c r="HSF57" s="13"/>
      <c r="HSG57" s="13"/>
      <c r="HSH57" s="13"/>
      <c r="HSI57" s="13"/>
      <c r="HSJ57" s="13"/>
      <c r="HSK57" s="13"/>
      <c r="HSL57" s="13"/>
      <c r="HSM57" s="13"/>
      <c r="HSN57" s="13"/>
      <c r="HSO57" s="13"/>
      <c r="HSP57" s="13"/>
      <c r="HSQ57" s="13"/>
      <c r="HSR57" s="13"/>
      <c r="HSS57" s="13"/>
      <c r="HST57" s="13"/>
      <c r="HSU57" s="13"/>
      <c r="HSV57" s="13"/>
      <c r="HSW57" s="13"/>
      <c r="HSX57" s="13"/>
      <c r="HSY57" s="13"/>
      <c r="HSZ57" s="13"/>
      <c r="HTA57" s="13"/>
      <c r="HTB57" s="13"/>
      <c r="HTC57" s="13"/>
      <c r="HTD57" s="13"/>
      <c r="HTE57" s="13"/>
      <c r="HTF57" s="13"/>
      <c r="HTG57" s="13"/>
      <c r="HTH57" s="13"/>
      <c r="HTI57" s="13"/>
      <c r="HTJ57" s="13"/>
      <c r="HTK57" s="13"/>
      <c r="HTL57" s="13"/>
      <c r="HTM57" s="13"/>
      <c r="HTN57" s="13"/>
      <c r="HTO57" s="13"/>
      <c r="HTP57" s="13"/>
      <c r="HTQ57" s="13"/>
      <c r="HTR57" s="13"/>
      <c r="HTS57" s="13"/>
      <c r="HTT57" s="13"/>
      <c r="HTU57" s="13"/>
      <c r="HTV57" s="13"/>
      <c r="HTW57" s="13"/>
      <c r="HTX57" s="13"/>
      <c r="HTY57" s="13"/>
      <c r="HTZ57" s="13"/>
      <c r="HUA57" s="13"/>
      <c r="HUB57" s="13"/>
      <c r="HUC57" s="13"/>
      <c r="HUD57" s="13"/>
      <c r="HUE57" s="13"/>
      <c r="HUF57" s="13"/>
      <c r="HUG57" s="13"/>
      <c r="HUH57" s="13"/>
      <c r="HUI57" s="13"/>
      <c r="HUJ57" s="13"/>
      <c r="HUK57" s="13"/>
      <c r="HUL57" s="13"/>
      <c r="HUM57" s="13"/>
      <c r="HUN57" s="13"/>
      <c r="HUO57" s="13"/>
      <c r="HUP57" s="13"/>
      <c r="HUQ57" s="13"/>
      <c r="HUR57" s="13"/>
      <c r="HUS57" s="13"/>
      <c r="HUT57" s="13"/>
      <c r="HUU57" s="13"/>
      <c r="HUV57" s="13"/>
      <c r="HUW57" s="13"/>
      <c r="HUX57" s="13"/>
      <c r="HUY57" s="13"/>
      <c r="HUZ57" s="13"/>
      <c r="HVA57" s="13"/>
      <c r="HVB57" s="13"/>
      <c r="HVC57" s="13"/>
      <c r="HVD57" s="13"/>
      <c r="HVE57" s="13"/>
      <c r="HVF57" s="13"/>
      <c r="HVG57" s="13"/>
      <c r="HVH57" s="13"/>
      <c r="HVI57" s="13"/>
      <c r="HVJ57" s="13"/>
      <c r="HVK57" s="13"/>
      <c r="HVL57" s="13"/>
      <c r="HVM57" s="13"/>
      <c r="HVN57" s="13"/>
      <c r="HVO57" s="13"/>
      <c r="HVP57" s="13"/>
      <c r="HVQ57" s="13"/>
      <c r="HVR57" s="13"/>
      <c r="HVS57" s="13"/>
      <c r="HVT57" s="13"/>
      <c r="HVU57" s="13"/>
      <c r="HVV57" s="13"/>
      <c r="HVW57" s="13"/>
      <c r="HVX57" s="13"/>
      <c r="HVY57" s="13"/>
      <c r="HVZ57" s="13"/>
      <c r="HWA57" s="13"/>
      <c r="HWB57" s="13"/>
      <c r="HWC57" s="13"/>
      <c r="HWD57" s="13"/>
      <c r="HWE57" s="13"/>
      <c r="HWF57" s="13"/>
      <c r="HWG57" s="13"/>
      <c r="HWH57" s="13"/>
      <c r="HWI57" s="13"/>
      <c r="HWJ57" s="13"/>
      <c r="HWK57" s="13"/>
      <c r="HWL57" s="13"/>
      <c r="HWM57" s="13"/>
      <c r="HWN57" s="13"/>
      <c r="HWO57" s="13"/>
      <c r="HWP57" s="13"/>
      <c r="HWQ57" s="13"/>
      <c r="HWR57" s="13"/>
      <c r="HWS57" s="13"/>
      <c r="HWT57" s="13"/>
      <c r="HWU57" s="13"/>
      <c r="HWV57" s="13"/>
      <c r="HWW57" s="13"/>
      <c r="HWX57" s="13"/>
      <c r="HWY57" s="13"/>
      <c r="HWZ57" s="13"/>
      <c r="HXA57" s="13"/>
      <c r="HXB57" s="13"/>
      <c r="HXC57" s="13"/>
      <c r="HXD57" s="13"/>
      <c r="HXE57" s="13"/>
      <c r="HXF57" s="13"/>
      <c r="HXG57" s="13"/>
      <c r="HXH57" s="13"/>
      <c r="HXI57" s="13"/>
      <c r="HXJ57" s="13"/>
      <c r="HXK57" s="13"/>
      <c r="HXL57" s="13"/>
      <c r="HXM57" s="13"/>
      <c r="HXN57" s="13"/>
      <c r="HXO57" s="13"/>
      <c r="HXP57" s="13"/>
      <c r="HXQ57" s="13"/>
      <c r="HXR57" s="13"/>
      <c r="HXS57" s="13"/>
      <c r="HXT57" s="13"/>
      <c r="HXU57" s="13"/>
      <c r="HXV57" s="13"/>
      <c r="HXW57" s="13"/>
      <c r="HXX57" s="13"/>
      <c r="HXY57" s="13"/>
      <c r="HXZ57" s="13"/>
      <c r="HYA57" s="13"/>
      <c r="HYB57" s="13"/>
      <c r="HYC57" s="13"/>
      <c r="HYD57" s="13"/>
      <c r="HYE57" s="13"/>
      <c r="HYF57" s="13"/>
      <c r="HYG57" s="13"/>
      <c r="HYH57" s="13"/>
      <c r="HYI57" s="13"/>
      <c r="HYJ57" s="13"/>
      <c r="HYK57" s="13"/>
      <c r="HYL57" s="13"/>
      <c r="HYM57" s="13"/>
      <c r="HYN57" s="13"/>
      <c r="HYO57" s="13"/>
      <c r="HYP57" s="13"/>
      <c r="HYQ57" s="13"/>
      <c r="HYR57" s="13"/>
      <c r="HYS57" s="13"/>
      <c r="HYT57" s="13"/>
      <c r="HYU57" s="13"/>
      <c r="HYV57" s="13"/>
      <c r="HYW57" s="13"/>
      <c r="HYX57" s="13"/>
      <c r="HYY57" s="13"/>
      <c r="HYZ57" s="13"/>
      <c r="HZA57" s="13"/>
      <c r="HZB57" s="13"/>
      <c r="HZC57" s="13"/>
      <c r="HZD57" s="13"/>
      <c r="HZE57" s="13"/>
      <c r="HZF57" s="13"/>
      <c r="HZG57" s="13"/>
      <c r="HZH57" s="13"/>
      <c r="HZI57" s="13"/>
      <c r="HZJ57" s="13"/>
      <c r="HZK57" s="13"/>
      <c r="HZL57" s="13"/>
      <c r="HZM57" s="13"/>
      <c r="HZN57" s="13"/>
      <c r="HZO57" s="13"/>
      <c r="HZP57" s="13"/>
      <c r="HZQ57" s="13"/>
      <c r="HZR57" s="13"/>
      <c r="HZS57" s="13"/>
      <c r="HZT57" s="13"/>
      <c r="HZU57" s="13"/>
      <c r="HZV57" s="13"/>
      <c r="HZW57" s="13"/>
      <c r="HZX57" s="13"/>
      <c r="HZY57" s="13"/>
      <c r="HZZ57" s="13"/>
      <c r="IAA57" s="13"/>
      <c r="IAB57" s="13"/>
      <c r="IAC57" s="13"/>
      <c r="IAD57" s="13"/>
      <c r="IAE57" s="13"/>
      <c r="IAF57" s="13"/>
      <c r="IAG57" s="13"/>
      <c r="IAH57" s="13"/>
      <c r="IAI57" s="13"/>
      <c r="IAJ57" s="13"/>
      <c r="IAK57" s="13"/>
      <c r="IAL57" s="13"/>
      <c r="IAM57" s="13"/>
      <c r="IAN57" s="13"/>
      <c r="IAO57" s="13"/>
      <c r="IAP57" s="13"/>
      <c r="IAQ57" s="13"/>
      <c r="IAR57" s="13"/>
      <c r="IAS57" s="13"/>
      <c r="IAT57" s="13"/>
      <c r="IAU57" s="13"/>
      <c r="IAV57" s="13"/>
      <c r="IAW57" s="13"/>
      <c r="IAX57" s="13"/>
      <c r="IAY57" s="13"/>
      <c r="IAZ57" s="13"/>
      <c r="IBA57" s="13"/>
      <c r="IBB57" s="13"/>
      <c r="IBC57" s="13"/>
      <c r="IBD57" s="13"/>
      <c r="IBE57" s="13"/>
      <c r="IBF57" s="13"/>
      <c r="IBG57" s="13"/>
      <c r="IBH57" s="13"/>
      <c r="IBI57" s="13"/>
      <c r="IBJ57" s="13"/>
      <c r="IBK57" s="13"/>
      <c r="IBL57" s="13"/>
      <c r="IBM57" s="13"/>
      <c r="IBN57" s="13"/>
      <c r="IBO57" s="13"/>
      <c r="IBP57" s="13"/>
      <c r="IBQ57" s="13"/>
      <c r="IBR57" s="13"/>
      <c r="IBS57" s="13"/>
      <c r="IBT57" s="13"/>
      <c r="IBU57" s="13"/>
      <c r="IBV57" s="13"/>
      <c r="IBW57" s="13"/>
      <c r="IBX57" s="13"/>
      <c r="IBY57" s="13"/>
      <c r="IBZ57" s="13"/>
      <c r="ICA57" s="13"/>
      <c r="ICB57" s="13"/>
      <c r="ICC57" s="13"/>
      <c r="ICD57" s="13"/>
      <c r="ICE57" s="13"/>
      <c r="ICF57" s="13"/>
      <c r="ICG57" s="13"/>
      <c r="ICH57" s="13"/>
      <c r="ICI57" s="13"/>
      <c r="ICJ57" s="13"/>
      <c r="ICK57" s="13"/>
      <c r="ICL57" s="13"/>
      <c r="ICM57" s="13"/>
      <c r="ICN57" s="13"/>
      <c r="ICO57" s="13"/>
      <c r="ICP57" s="13"/>
      <c r="ICQ57" s="13"/>
      <c r="ICR57" s="13"/>
      <c r="ICS57" s="13"/>
      <c r="ICT57" s="13"/>
      <c r="ICU57" s="13"/>
      <c r="ICV57" s="13"/>
      <c r="ICW57" s="13"/>
      <c r="ICX57" s="13"/>
      <c r="ICY57" s="13"/>
      <c r="ICZ57" s="13"/>
      <c r="IDA57" s="13"/>
      <c r="IDB57" s="13"/>
      <c r="IDC57" s="13"/>
      <c r="IDD57" s="13"/>
      <c r="IDE57" s="13"/>
      <c r="IDF57" s="13"/>
      <c r="IDG57" s="13"/>
      <c r="IDH57" s="13"/>
      <c r="IDI57" s="13"/>
      <c r="IDJ57" s="13"/>
      <c r="IDK57" s="13"/>
      <c r="IDL57" s="13"/>
      <c r="IDM57" s="13"/>
      <c r="IDN57" s="13"/>
      <c r="IDO57" s="13"/>
      <c r="IDP57" s="13"/>
      <c r="IDQ57" s="13"/>
      <c r="IDR57" s="13"/>
      <c r="IDS57" s="13"/>
      <c r="IDT57" s="13"/>
      <c r="IDU57" s="13"/>
      <c r="IDV57" s="13"/>
      <c r="IDW57" s="13"/>
      <c r="IDX57" s="13"/>
      <c r="IDY57" s="13"/>
      <c r="IDZ57" s="13"/>
      <c r="IEA57" s="13"/>
      <c r="IEB57" s="13"/>
      <c r="IEC57" s="13"/>
      <c r="IED57" s="13"/>
      <c r="IEE57" s="13"/>
      <c r="IEF57" s="13"/>
      <c r="IEG57" s="13"/>
      <c r="IEH57" s="13"/>
      <c r="IEI57" s="13"/>
      <c r="IEJ57" s="13"/>
      <c r="IEK57" s="13"/>
      <c r="IEL57" s="13"/>
      <c r="IEM57" s="13"/>
      <c r="IEN57" s="13"/>
      <c r="IEO57" s="13"/>
      <c r="IEP57" s="13"/>
      <c r="IEQ57" s="13"/>
      <c r="IER57" s="13"/>
      <c r="IES57" s="13"/>
      <c r="IET57" s="13"/>
      <c r="IEU57" s="13"/>
      <c r="IEV57" s="13"/>
      <c r="IEW57" s="13"/>
      <c r="IEX57" s="13"/>
      <c r="IEY57" s="13"/>
      <c r="IEZ57" s="13"/>
      <c r="IFA57" s="13"/>
      <c r="IFB57" s="13"/>
      <c r="IFC57" s="13"/>
      <c r="IFD57" s="13"/>
      <c r="IFE57" s="13"/>
      <c r="IFF57" s="13"/>
      <c r="IFG57" s="13"/>
      <c r="IFH57" s="13"/>
      <c r="IFI57" s="13"/>
      <c r="IFJ57" s="13"/>
      <c r="IFK57" s="13"/>
      <c r="IFL57" s="13"/>
      <c r="IFM57" s="13"/>
      <c r="IFN57" s="13"/>
      <c r="IFO57" s="13"/>
      <c r="IFP57" s="13"/>
      <c r="IFQ57" s="13"/>
      <c r="IFR57" s="13"/>
      <c r="IFS57" s="13"/>
      <c r="IFT57" s="13"/>
      <c r="IFU57" s="13"/>
      <c r="IFV57" s="13"/>
      <c r="IFW57" s="13"/>
      <c r="IFX57" s="13"/>
      <c r="IFY57" s="13"/>
      <c r="IFZ57" s="13"/>
      <c r="IGA57" s="13"/>
      <c r="IGB57" s="13"/>
      <c r="IGC57" s="13"/>
      <c r="IGD57" s="13"/>
      <c r="IGE57" s="13"/>
      <c r="IGF57" s="13"/>
      <c r="IGG57" s="13"/>
      <c r="IGH57" s="13"/>
      <c r="IGI57" s="13"/>
      <c r="IGJ57" s="13"/>
      <c r="IGK57" s="13"/>
      <c r="IGL57" s="13"/>
      <c r="IGM57" s="13"/>
      <c r="IGN57" s="13"/>
      <c r="IGO57" s="13"/>
      <c r="IGP57" s="13"/>
      <c r="IGQ57" s="13"/>
      <c r="IGR57" s="13"/>
      <c r="IGS57" s="13"/>
      <c r="IGT57" s="13"/>
      <c r="IGU57" s="13"/>
      <c r="IGV57" s="13"/>
      <c r="IGW57" s="13"/>
      <c r="IGX57" s="13"/>
      <c r="IGY57" s="13"/>
      <c r="IGZ57" s="13"/>
      <c r="IHA57" s="13"/>
      <c r="IHB57" s="13"/>
      <c r="IHC57" s="13"/>
      <c r="IHD57" s="13"/>
      <c r="IHE57" s="13"/>
      <c r="IHF57" s="13"/>
      <c r="IHG57" s="13"/>
      <c r="IHH57" s="13"/>
      <c r="IHI57" s="13"/>
      <c r="IHJ57" s="13"/>
      <c r="IHK57" s="13"/>
      <c r="IHL57" s="13"/>
      <c r="IHM57" s="13"/>
      <c r="IHN57" s="13"/>
      <c r="IHO57" s="13"/>
      <c r="IHP57" s="13"/>
      <c r="IHQ57" s="13"/>
      <c r="IHR57" s="13"/>
      <c r="IHS57" s="13"/>
      <c r="IHT57" s="13"/>
      <c r="IHU57" s="13"/>
      <c r="IHV57" s="13"/>
      <c r="IHW57" s="13"/>
      <c r="IHX57" s="13"/>
      <c r="IHY57" s="13"/>
      <c r="IHZ57" s="13"/>
      <c r="IIA57" s="13"/>
      <c r="IIB57" s="13"/>
      <c r="IIC57" s="13"/>
      <c r="IID57" s="13"/>
      <c r="IIE57" s="13"/>
      <c r="IIF57" s="13"/>
      <c r="IIG57" s="13"/>
      <c r="IIH57" s="13"/>
      <c r="III57" s="13"/>
      <c r="IIJ57" s="13"/>
      <c r="IIK57" s="13"/>
      <c r="IIL57" s="13"/>
      <c r="IIM57" s="13"/>
      <c r="IIN57" s="13"/>
      <c r="IIO57" s="13"/>
      <c r="IIP57" s="13"/>
      <c r="IIQ57" s="13"/>
      <c r="IIR57" s="13"/>
      <c r="IIS57" s="13"/>
      <c r="IIT57" s="13"/>
      <c r="IIU57" s="13"/>
      <c r="IIV57" s="13"/>
      <c r="IIW57" s="13"/>
      <c r="IIX57" s="13"/>
      <c r="IIY57" s="13"/>
      <c r="IIZ57" s="13"/>
      <c r="IJA57" s="13"/>
      <c r="IJB57" s="13"/>
      <c r="IJC57" s="13"/>
      <c r="IJD57" s="13"/>
      <c r="IJE57" s="13"/>
      <c r="IJF57" s="13"/>
      <c r="IJG57" s="13"/>
      <c r="IJH57" s="13"/>
      <c r="IJI57" s="13"/>
      <c r="IJJ57" s="13"/>
      <c r="IJK57" s="13"/>
      <c r="IJL57" s="13"/>
      <c r="IJM57" s="13"/>
      <c r="IJN57" s="13"/>
      <c r="IJO57" s="13"/>
      <c r="IJP57" s="13"/>
      <c r="IJQ57" s="13"/>
      <c r="IJR57" s="13"/>
      <c r="IJS57" s="13"/>
      <c r="IJT57" s="13"/>
      <c r="IJU57" s="13"/>
      <c r="IJV57" s="13"/>
      <c r="IJW57" s="13"/>
      <c r="IJX57" s="13"/>
      <c r="IJY57" s="13"/>
      <c r="IJZ57" s="13"/>
      <c r="IKA57" s="13"/>
      <c r="IKB57" s="13"/>
      <c r="IKC57" s="13"/>
      <c r="IKD57" s="13"/>
      <c r="IKE57" s="13"/>
      <c r="IKF57" s="13"/>
      <c r="IKG57" s="13"/>
      <c r="IKH57" s="13"/>
      <c r="IKI57" s="13"/>
      <c r="IKJ57" s="13"/>
      <c r="IKK57" s="13"/>
      <c r="IKL57" s="13"/>
      <c r="IKM57" s="13"/>
      <c r="IKN57" s="13"/>
      <c r="IKO57" s="13"/>
      <c r="IKP57" s="13"/>
      <c r="IKQ57" s="13"/>
      <c r="IKR57" s="13"/>
      <c r="IKS57" s="13"/>
      <c r="IKT57" s="13"/>
      <c r="IKU57" s="13"/>
      <c r="IKV57" s="13"/>
      <c r="IKW57" s="13"/>
      <c r="IKX57" s="13"/>
      <c r="IKY57" s="13"/>
      <c r="IKZ57" s="13"/>
      <c r="ILA57" s="13"/>
      <c r="ILB57" s="13"/>
      <c r="ILC57" s="13"/>
      <c r="ILD57" s="13"/>
      <c r="ILE57" s="13"/>
      <c r="ILF57" s="13"/>
      <c r="ILG57" s="13"/>
      <c r="ILH57" s="13"/>
      <c r="ILI57" s="13"/>
      <c r="ILJ57" s="13"/>
      <c r="ILK57" s="13"/>
      <c r="ILL57" s="13"/>
      <c r="ILM57" s="13"/>
      <c r="ILN57" s="13"/>
      <c r="ILO57" s="13"/>
      <c r="ILP57" s="13"/>
      <c r="ILQ57" s="13"/>
      <c r="ILR57" s="13"/>
      <c r="ILS57" s="13"/>
      <c r="ILT57" s="13"/>
      <c r="ILU57" s="13"/>
      <c r="ILV57" s="13"/>
      <c r="ILW57" s="13"/>
      <c r="ILX57" s="13"/>
      <c r="ILY57" s="13"/>
      <c r="ILZ57" s="13"/>
      <c r="IMA57" s="13"/>
      <c r="IMB57" s="13"/>
      <c r="IMC57" s="13"/>
      <c r="IMD57" s="13"/>
      <c r="IME57" s="13"/>
      <c r="IMF57" s="13"/>
      <c r="IMG57" s="13"/>
      <c r="IMH57" s="13"/>
      <c r="IMI57" s="13"/>
      <c r="IMJ57" s="13"/>
      <c r="IMK57" s="13"/>
      <c r="IML57" s="13"/>
      <c r="IMM57" s="13"/>
      <c r="IMN57" s="13"/>
      <c r="IMO57" s="13"/>
      <c r="IMP57" s="13"/>
      <c r="IMQ57" s="13"/>
      <c r="IMR57" s="13"/>
      <c r="IMS57" s="13"/>
      <c r="IMT57" s="13"/>
      <c r="IMU57" s="13"/>
      <c r="IMV57" s="13"/>
      <c r="IMW57" s="13"/>
      <c r="IMX57" s="13"/>
      <c r="IMY57" s="13"/>
      <c r="IMZ57" s="13"/>
      <c r="INA57" s="13"/>
      <c r="INB57" s="13"/>
      <c r="INC57" s="13"/>
      <c r="IND57" s="13"/>
      <c r="INE57" s="13"/>
      <c r="INF57" s="13"/>
      <c r="ING57" s="13"/>
      <c r="INH57" s="13"/>
      <c r="INI57" s="13"/>
      <c r="INJ57" s="13"/>
      <c r="INK57" s="13"/>
      <c r="INL57" s="13"/>
      <c r="INM57" s="13"/>
      <c r="INN57" s="13"/>
      <c r="INO57" s="13"/>
      <c r="INP57" s="13"/>
      <c r="INQ57" s="13"/>
      <c r="INR57" s="13"/>
      <c r="INS57" s="13"/>
      <c r="INT57" s="13"/>
      <c r="INU57" s="13"/>
      <c r="INV57" s="13"/>
      <c r="INW57" s="13"/>
      <c r="INX57" s="13"/>
      <c r="INY57" s="13"/>
      <c r="INZ57" s="13"/>
      <c r="IOA57" s="13"/>
      <c r="IOB57" s="13"/>
      <c r="IOC57" s="13"/>
      <c r="IOD57" s="13"/>
      <c r="IOE57" s="13"/>
      <c r="IOF57" s="13"/>
      <c r="IOG57" s="13"/>
      <c r="IOH57" s="13"/>
      <c r="IOI57" s="13"/>
      <c r="IOJ57" s="13"/>
      <c r="IOK57" s="13"/>
      <c r="IOL57" s="13"/>
      <c r="IOM57" s="13"/>
      <c r="ION57" s="13"/>
      <c r="IOO57" s="13"/>
      <c r="IOP57" s="13"/>
      <c r="IOQ57" s="13"/>
      <c r="IOR57" s="13"/>
      <c r="IOS57" s="13"/>
      <c r="IOT57" s="13"/>
      <c r="IOU57" s="13"/>
      <c r="IOV57" s="13"/>
      <c r="IOW57" s="13"/>
      <c r="IOX57" s="13"/>
      <c r="IOY57" s="13"/>
      <c r="IOZ57" s="13"/>
      <c r="IPA57" s="13"/>
      <c r="IPB57" s="13"/>
      <c r="IPC57" s="13"/>
      <c r="IPD57" s="13"/>
      <c r="IPE57" s="13"/>
      <c r="IPF57" s="13"/>
      <c r="IPG57" s="13"/>
      <c r="IPH57" s="13"/>
      <c r="IPI57" s="13"/>
      <c r="IPJ57" s="13"/>
      <c r="IPK57" s="13"/>
      <c r="IPL57" s="13"/>
      <c r="IPM57" s="13"/>
      <c r="IPN57" s="13"/>
      <c r="IPO57" s="13"/>
      <c r="IPP57" s="13"/>
      <c r="IPQ57" s="13"/>
      <c r="IPR57" s="13"/>
      <c r="IPS57" s="13"/>
      <c r="IPT57" s="13"/>
      <c r="IPU57" s="13"/>
      <c r="IPV57" s="13"/>
      <c r="IPW57" s="13"/>
      <c r="IPX57" s="13"/>
      <c r="IPY57" s="13"/>
      <c r="IPZ57" s="13"/>
      <c r="IQA57" s="13"/>
      <c r="IQB57" s="13"/>
      <c r="IQC57" s="13"/>
      <c r="IQD57" s="13"/>
      <c r="IQE57" s="13"/>
      <c r="IQF57" s="13"/>
      <c r="IQG57" s="13"/>
      <c r="IQH57" s="13"/>
      <c r="IQI57" s="13"/>
      <c r="IQJ57" s="13"/>
      <c r="IQK57" s="13"/>
      <c r="IQL57" s="13"/>
      <c r="IQM57" s="13"/>
      <c r="IQN57" s="13"/>
      <c r="IQO57" s="13"/>
      <c r="IQP57" s="13"/>
      <c r="IQQ57" s="13"/>
      <c r="IQR57" s="13"/>
      <c r="IQS57" s="13"/>
      <c r="IQT57" s="13"/>
      <c r="IQU57" s="13"/>
      <c r="IQV57" s="13"/>
      <c r="IQW57" s="13"/>
      <c r="IQX57" s="13"/>
      <c r="IQY57" s="13"/>
      <c r="IQZ57" s="13"/>
      <c r="IRA57" s="13"/>
      <c r="IRB57" s="13"/>
      <c r="IRC57" s="13"/>
      <c r="IRD57" s="13"/>
      <c r="IRE57" s="13"/>
      <c r="IRF57" s="13"/>
      <c r="IRG57" s="13"/>
      <c r="IRH57" s="13"/>
      <c r="IRI57" s="13"/>
      <c r="IRJ57" s="13"/>
      <c r="IRK57" s="13"/>
      <c r="IRL57" s="13"/>
      <c r="IRM57" s="13"/>
      <c r="IRN57" s="13"/>
      <c r="IRO57" s="13"/>
      <c r="IRP57" s="13"/>
      <c r="IRQ57" s="13"/>
      <c r="IRR57" s="13"/>
      <c r="IRS57" s="13"/>
      <c r="IRT57" s="13"/>
      <c r="IRU57" s="13"/>
      <c r="IRV57" s="13"/>
      <c r="IRW57" s="13"/>
      <c r="IRX57" s="13"/>
      <c r="IRY57" s="13"/>
      <c r="IRZ57" s="13"/>
      <c r="ISA57" s="13"/>
      <c r="ISB57" s="13"/>
      <c r="ISC57" s="13"/>
      <c r="ISD57" s="13"/>
      <c r="ISE57" s="13"/>
      <c r="ISF57" s="13"/>
      <c r="ISG57" s="13"/>
      <c r="ISH57" s="13"/>
      <c r="ISI57" s="13"/>
      <c r="ISJ57" s="13"/>
      <c r="ISK57" s="13"/>
      <c r="ISL57" s="13"/>
      <c r="ISM57" s="13"/>
      <c r="ISN57" s="13"/>
      <c r="ISO57" s="13"/>
      <c r="ISP57" s="13"/>
      <c r="ISQ57" s="13"/>
      <c r="ISR57" s="13"/>
      <c r="ISS57" s="13"/>
      <c r="IST57" s="13"/>
      <c r="ISU57" s="13"/>
      <c r="ISV57" s="13"/>
      <c r="ISW57" s="13"/>
      <c r="ISX57" s="13"/>
      <c r="ISY57" s="13"/>
      <c r="ISZ57" s="13"/>
      <c r="ITA57" s="13"/>
      <c r="ITB57" s="13"/>
      <c r="ITC57" s="13"/>
      <c r="ITD57" s="13"/>
      <c r="ITE57" s="13"/>
      <c r="ITF57" s="13"/>
      <c r="ITG57" s="13"/>
      <c r="ITH57" s="13"/>
      <c r="ITI57" s="13"/>
      <c r="ITJ57" s="13"/>
      <c r="ITK57" s="13"/>
      <c r="ITL57" s="13"/>
      <c r="ITM57" s="13"/>
      <c r="ITN57" s="13"/>
      <c r="ITO57" s="13"/>
      <c r="ITP57" s="13"/>
      <c r="ITQ57" s="13"/>
      <c r="ITR57" s="13"/>
      <c r="ITS57" s="13"/>
      <c r="ITT57" s="13"/>
      <c r="ITU57" s="13"/>
      <c r="ITV57" s="13"/>
      <c r="ITW57" s="13"/>
      <c r="ITX57" s="13"/>
      <c r="ITY57" s="13"/>
      <c r="ITZ57" s="13"/>
      <c r="IUA57" s="13"/>
      <c r="IUB57" s="13"/>
      <c r="IUC57" s="13"/>
      <c r="IUD57" s="13"/>
      <c r="IUE57" s="13"/>
      <c r="IUF57" s="13"/>
      <c r="IUG57" s="13"/>
      <c r="IUH57" s="13"/>
      <c r="IUI57" s="13"/>
      <c r="IUJ57" s="13"/>
      <c r="IUK57" s="13"/>
      <c r="IUL57" s="13"/>
      <c r="IUM57" s="13"/>
      <c r="IUN57" s="13"/>
      <c r="IUO57" s="13"/>
      <c r="IUP57" s="13"/>
      <c r="IUQ57" s="13"/>
      <c r="IUR57" s="13"/>
      <c r="IUS57" s="13"/>
      <c r="IUT57" s="13"/>
      <c r="IUU57" s="13"/>
      <c r="IUV57" s="13"/>
      <c r="IUW57" s="13"/>
      <c r="IUX57" s="13"/>
      <c r="IUY57" s="13"/>
      <c r="IUZ57" s="13"/>
      <c r="IVA57" s="13"/>
      <c r="IVB57" s="13"/>
      <c r="IVC57" s="13"/>
      <c r="IVD57" s="13"/>
      <c r="IVE57" s="13"/>
      <c r="IVF57" s="13"/>
      <c r="IVG57" s="13"/>
      <c r="IVH57" s="13"/>
      <c r="IVI57" s="13"/>
      <c r="IVJ57" s="13"/>
      <c r="IVK57" s="13"/>
      <c r="IVL57" s="13"/>
      <c r="IVM57" s="13"/>
      <c r="IVN57" s="13"/>
      <c r="IVO57" s="13"/>
      <c r="IVP57" s="13"/>
      <c r="IVQ57" s="13"/>
      <c r="IVR57" s="13"/>
      <c r="IVS57" s="13"/>
      <c r="IVT57" s="13"/>
      <c r="IVU57" s="13"/>
      <c r="IVV57" s="13"/>
      <c r="IVW57" s="13"/>
      <c r="IVX57" s="13"/>
      <c r="IVY57" s="13"/>
      <c r="IVZ57" s="13"/>
      <c r="IWA57" s="13"/>
      <c r="IWB57" s="13"/>
      <c r="IWC57" s="13"/>
      <c r="IWD57" s="13"/>
      <c r="IWE57" s="13"/>
      <c r="IWF57" s="13"/>
      <c r="IWG57" s="13"/>
      <c r="IWH57" s="13"/>
      <c r="IWI57" s="13"/>
      <c r="IWJ57" s="13"/>
      <c r="IWK57" s="13"/>
      <c r="IWL57" s="13"/>
      <c r="IWM57" s="13"/>
      <c r="IWN57" s="13"/>
      <c r="IWO57" s="13"/>
      <c r="IWP57" s="13"/>
      <c r="IWQ57" s="13"/>
      <c r="IWR57" s="13"/>
      <c r="IWS57" s="13"/>
      <c r="IWT57" s="13"/>
      <c r="IWU57" s="13"/>
      <c r="IWV57" s="13"/>
      <c r="IWW57" s="13"/>
      <c r="IWX57" s="13"/>
      <c r="IWY57" s="13"/>
      <c r="IWZ57" s="13"/>
      <c r="IXA57" s="13"/>
      <c r="IXB57" s="13"/>
      <c r="IXC57" s="13"/>
      <c r="IXD57" s="13"/>
      <c r="IXE57" s="13"/>
      <c r="IXF57" s="13"/>
      <c r="IXG57" s="13"/>
      <c r="IXH57" s="13"/>
      <c r="IXI57" s="13"/>
      <c r="IXJ57" s="13"/>
      <c r="IXK57" s="13"/>
      <c r="IXL57" s="13"/>
      <c r="IXM57" s="13"/>
      <c r="IXN57" s="13"/>
      <c r="IXO57" s="13"/>
      <c r="IXP57" s="13"/>
      <c r="IXQ57" s="13"/>
      <c r="IXR57" s="13"/>
      <c r="IXS57" s="13"/>
      <c r="IXT57" s="13"/>
      <c r="IXU57" s="13"/>
      <c r="IXV57" s="13"/>
      <c r="IXW57" s="13"/>
      <c r="IXX57" s="13"/>
      <c r="IXY57" s="13"/>
      <c r="IXZ57" s="13"/>
      <c r="IYA57" s="13"/>
      <c r="IYB57" s="13"/>
      <c r="IYC57" s="13"/>
      <c r="IYD57" s="13"/>
      <c r="IYE57" s="13"/>
      <c r="IYF57" s="13"/>
      <c r="IYG57" s="13"/>
      <c r="IYH57" s="13"/>
      <c r="IYI57" s="13"/>
      <c r="IYJ57" s="13"/>
      <c r="IYK57" s="13"/>
      <c r="IYL57" s="13"/>
      <c r="IYM57" s="13"/>
      <c r="IYN57" s="13"/>
      <c r="IYO57" s="13"/>
      <c r="IYP57" s="13"/>
      <c r="IYQ57" s="13"/>
      <c r="IYR57" s="13"/>
      <c r="IYS57" s="13"/>
      <c r="IYT57" s="13"/>
      <c r="IYU57" s="13"/>
      <c r="IYV57" s="13"/>
      <c r="IYW57" s="13"/>
      <c r="IYX57" s="13"/>
      <c r="IYY57" s="13"/>
      <c r="IYZ57" s="13"/>
      <c r="IZA57" s="13"/>
      <c r="IZB57" s="13"/>
      <c r="IZC57" s="13"/>
      <c r="IZD57" s="13"/>
      <c r="IZE57" s="13"/>
      <c r="IZF57" s="13"/>
      <c r="IZG57" s="13"/>
      <c r="IZH57" s="13"/>
      <c r="IZI57" s="13"/>
      <c r="IZJ57" s="13"/>
      <c r="IZK57" s="13"/>
      <c r="IZL57" s="13"/>
      <c r="IZM57" s="13"/>
      <c r="IZN57" s="13"/>
      <c r="IZO57" s="13"/>
      <c r="IZP57" s="13"/>
      <c r="IZQ57" s="13"/>
      <c r="IZR57" s="13"/>
      <c r="IZS57" s="13"/>
      <c r="IZT57" s="13"/>
      <c r="IZU57" s="13"/>
      <c r="IZV57" s="13"/>
      <c r="IZW57" s="13"/>
      <c r="IZX57" s="13"/>
      <c r="IZY57" s="13"/>
      <c r="IZZ57" s="13"/>
      <c r="JAA57" s="13"/>
      <c r="JAB57" s="13"/>
      <c r="JAC57" s="13"/>
      <c r="JAD57" s="13"/>
      <c r="JAE57" s="13"/>
      <c r="JAF57" s="13"/>
      <c r="JAG57" s="13"/>
      <c r="JAH57" s="13"/>
      <c r="JAI57" s="13"/>
      <c r="JAJ57" s="13"/>
      <c r="JAK57" s="13"/>
      <c r="JAL57" s="13"/>
      <c r="JAM57" s="13"/>
      <c r="JAN57" s="13"/>
      <c r="JAO57" s="13"/>
      <c r="JAP57" s="13"/>
      <c r="JAQ57" s="13"/>
      <c r="JAR57" s="13"/>
      <c r="JAS57" s="13"/>
      <c r="JAT57" s="13"/>
      <c r="JAU57" s="13"/>
      <c r="JAV57" s="13"/>
      <c r="JAW57" s="13"/>
      <c r="JAX57" s="13"/>
      <c r="JAY57" s="13"/>
      <c r="JAZ57" s="13"/>
      <c r="JBA57" s="13"/>
      <c r="JBB57" s="13"/>
      <c r="JBC57" s="13"/>
      <c r="JBD57" s="13"/>
      <c r="JBE57" s="13"/>
      <c r="JBF57" s="13"/>
      <c r="JBG57" s="13"/>
      <c r="JBH57" s="13"/>
      <c r="JBI57" s="13"/>
      <c r="JBJ57" s="13"/>
      <c r="JBK57" s="13"/>
      <c r="JBL57" s="13"/>
      <c r="JBM57" s="13"/>
      <c r="JBN57" s="13"/>
      <c r="JBO57" s="13"/>
      <c r="JBP57" s="13"/>
      <c r="JBQ57" s="13"/>
      <c r="JBR57" s="13"/>
      <c r="JBS57" s="13"/>
      <c r="JBT57" s="13"/>
      <c r="JBU57" s="13"/>
      <c r="JBV57" s="13"/>
      <c r="JBW57" s="13"/>
      <c r="JBX57" s="13"/>
      <c r="JBY57" s="13"/>
      <c r="JBZ57" s="13"/>
      <c r="JCA57" s="13"/>
      <c r="JCB57" s="13"/>
      <c r="JCC57" s="13"/>
      <c r="JCD57" s="13"/>
      <c r="JCE57" s="13"/>
      <c r="JCF57" s="13"/>
      <c r="JCG57" s="13"/>
      <c r="JCH57" s="13"/>
      <c r="JCI57" s="13"/>
      <c r="JCJ57" s="13"/>
      <c r="JCK57" s="13"/>
      <c r="JCL57" s="13"/>
      <c r="JCM57" s="13"/>
      <c r="JCN57" s="13"/>
      <c r="JCO57" s="13"/>
      <c r="JCP57" s="13"/>
      <c r="JCQ57" s="13"/>
      <c r="JCR57" s="13"/>
      <c r="JCS57" s="13"/>
      <c r="JCT57" s="13"/>
      <c r="JCU57" s="13"/>
      <c r="JCV57" s="13"/>
      <c r="JCW57" s="13"/>
      <c r="JCX57" s="13"/>
      <c r="JCY57" s="13"/>
      <c r="JCZ57" s="13"/>
      <c r="JDA57" s="13"/>
      <c r="JDB57" s="13"/>
      <c r="JDC57" s="13"/>
      <c r="JDD57" s="13"/>
      <c r="JDE57" s="13"/>
      <c r="JDF57" s="13"/>
      <c r="JDG57" s="13"/>
      <c r="JDH57" s="13"/>
      <c r="JDI57" s="13"/>
      <c r="JDJ57" s="13"/>
      <c r="JDK57" s="13"/>
      <c r="JDL57" s="13"/>
      <c r="JDM57" s="13"/>
      <c r="JDN57" s="13"/>
      <c r="JDO57" s="13"/>
      <c r="JDP57" s="13"/>
      <c r="JDQ57" s="13"/>
      <c r="JDR57" s="13"/>
      <c r="JDS57" s="13"/>
      <c r="JDT57" s="13"/>
      <c r="JDU57" s="13"/>
      <c r="JDV57" s="13"/>
      <c r="JDW57" s="13"/>
      <c r="JDX57" s="13"/>
      <c r="JDY57" s="13"/>
      <c r="JDZ57" s="13"/>
      <c r="JEA57" s="13"/>
      <c r="JEB57" s="13"/>
      <c r="JEC57" s="13"/>
      <c r="JED57" s="13"/>
      <c r="JEE57" s="13"/>
      <c r="JEF57" s="13"/>
      <c r="JEG57" s="13"/>
      <c r="JEH57" s="13"/>
      <c r="JEI57" s="13"/>
      <c r="JEJ57" s="13"/>
      <c r="JEK57" s="13"/>
      <c r="JEL57" s="13"/>
      <c r="JEM57" s="13"/>
      <c r="JEN57" s="13"/>
      <c r="JEO57" s="13"/>
      <c r="JEP57" s="13"/>
      <c r="JEQ57" s="13"/>
      <c r="JER57" s="13"/>
      <c r="JES57" s="13"/>
      <c r="JET57" s="13"/>
      <c r="JEU57" s="13"/>
      <c r="JEV57" s="13"/>
      <c r="JEW57" s="13"/>
      <c r="JEX57" s="13"/>
      <c r="JEY57" s="13"/>
      <c r="JEZ57" s="13"/>
      <c r="JFA57" s="13"/>
      <c r="JFB57" s="13"/>
      <c r="JFC57" s="13"/>
      <c r="JFD57" s="13"/>
      <c r="JFE57" s="13"/>
      <c r="JFF57" s="13"/>
      <c r="JFG57" s="13"/>
      <c r="JFH57" s="13"/>
      <c r="JFI57" s="13"/>
      <c r="JFJ57" s="13"/>
      <c r="JFK57" s="13"/>
      <c r="JFL57" s="13"/>
      <c r="JFM57" s="13"/>
      <c r="JFN57" s="13"/>
      <c r="JFO57" s="13"/>
      <c r="JFP57" s="13"/>
      <c r="JFQ57" s="13"/>
      <c r="JFR57" s="13"/>
      <c r="JFS57" s="13"/>
      <c r="JFT57" s="13"/>
      <c r="JFU57" s="13"/>
      <c r="JFV57" s="13"/>
      <c r="JFW57" s="13"/>
      <c r="JFX57" s="13"/>
      <c r="JFY57" s="13"/>
      <c r="JFZ57" s="13"/>
      <c r="JGA57" s="13"/>
      <c r="JGB57" s="13"/>
      <c r="JGC57" s="13"/>
      <c r="JGD57" s="13"/>
      <c r="JGE57" s="13"/>
      <c r="JGF57" s="13"/>
      <c r="JGG57" s="13"/>
      <c r="JGH57" s="13"/>
      <c r="JGI57" s="13"/>
      <c r="JGJ57" s="13"/>
      <c r="JGK57" s="13"/>
      <c r="JGL57" s="13"/>
      <c r="JGM57" s="13"/>
      <c r="JGN57" s="13"/>
      <c r="JGO57" s="13"/>
      <c r="JGP57" s="13"/>
      <c r="JGQ57" s="13"/>
      <c r="JGR57" s="13"/>
      <c r="JGS57" s="13"/>
      <c r="JGT57" s="13"/>
      <c r="JGU57" s="13"/>
      <c r="JGV57" s="13"/>
      <c r="JGW57" s="13"/>
      <c r="JGX57" s="13"/>
      <c r="JGY57" s="13"/>
      <c r="JGZ57" s="13"/>
      <c r="JHA57" s="13"/>
      <c r="JHB57" s="13"/>
      <c r="JHC57" s="13"/>
      <c r="JHD57" s="13"/>
      <c r="JHE57" s="13"/>
      <c r="JHF57" s="13"/>
      <c r="JHG57" s="13"/>
      <c r="JHH57" s="13"/>
      <c r="JHI57" s="13"/>
      <c r="JHJ57" s="13"/>
      <c r="JHK57" s="13"/>
      <c r="JHL57" s="13"/>
      <c r="JHM57" s="13"/>
      <c r="JHN57" s="13"/>
      <c r="JHO57" s="13"/>
      <c r="JHP57" s="13"/>
      <c r="JHQ57" s="13"/>
      <c r="JHR57" s="13"/>
      <c r="JHS57" s="13"/>
      <c r="JHT57" s="13"/>
      <c r="JHU57" s="13"/>
      <c r="JHV57" s="13"/>
      <c r="JHW57" s="13"/>
      <c r="JHX57" s="13"/>
      <c r="JHY57" s="13"/>
      <c r="JHZ57" s="13"/>
      <c r="JIA57" s="13"/>
      <c r="JIB57" s="13"/>
      <c r="JIC57" s="13"/>
      <c r="JID57" s="13"/>
      <c r="JIE57" s="13"/>
      <c r="JIF57" s="13"/>
      <c r="JIG57" s="13"/>
      <c r="JIH57" s="13"/>
      <c r="JII57" s="13"/>
      <c r="JIJ57" s="13"/>
      <c r="JIK57" s="13"/>
      <c r="JIL57" s="13"/>
      <c r="JIM57" s="13"/>
      <c r="JIN57" s="13"/>
      <c r="JIO57" s="13"/>
      <c r="JIP57" s="13"/>
      <c r="JIQ57" s="13"/>
      <c r="JIR57" s="13"/>
      <c r="JIS57" s="13"/>
      <c r="JIT57" s="13"/>
      <c r="JIU57" s="13"/>
      <c r="JIV57" s="13"/>
      <c r="JIW57" s="13"/>
      <c r="JIX57" s="13"/>
      <c r="JIY57" s="13"/>
      <c r="JIZ57" s="13"/>
      <c r="JJA57" s="13"/>
      <c r="JJB57" s="13"/>
      <c r="JJC57" s="13"/>
      <c r="JJD57" s="13"/>
      <c r="JJE57" s="13"/>
      <c r="JJF57" s="13"/>
      <c r="JJG57" s="13"/>
      <c r="JJH57" s="13"/>
      <c r="JJI57" s="13"/>
      <c r="JJJ57" s="13"/>
      <c r="JJK57" s="13"/>
      <c r="JJL57" s="13"/>
      <c r="JJM57" s="13"/>
      <c r="JJN57" s="13"/>
      <c r="JJO57" s="13"/>
      <c r="JJP57" s="13"/>
      <c r="JJQ57" s="13"/>
      <c r="JJR57" s="13"/>
      <c r="JJS57" s="13"/>
      <c r="JJT57" s="13"/>
      <c r="JJU57" s="13"/>
      <c r="JJV57" s="13"/>
      <c r="JJW57" s="13"/>
      <c r="JJX57" s="13"/>
      <c r="JJY57" s="13"/>
      <c r="JJZ57" s="13"/>
      <c r="JKA57" s="13"/>
      <c r="JKB57" s="13"/>
      <c r="JKC57" s="13"/>
      <c r="JKD57" s="13"/>
      <c r="JKE57" s="13"/>
      <c r="JKF57" s="13"/>
      <c r="JKG57" s="13"/>
      <c r="JKH57" s="13"/>
      <c r="JKI57" s="13"/>
      <c r="JKJ57" s="13"/>
      <c r="JKK57" s="13"/>
      <c r="JKL57" s="13"/>
      <c r="JKM57" s="13"/>
      <c r="JKN57" s="13"/>
      <c r="JKO57" s="13"/>
      <c r="JKP57" s="13"/>
      <c r="JKQ57" s="13"/>
      <c r="JKR57" s="13"/>
      <c r="JKS57" s="13"/>
      <c r="JKT57" s="13"/>
      <c r="JKU57" s="13"/>
      <c r="JKV57" s="13"/>
      <c r="JKW57" s="13"/>
      <c r="JKX57" s="13"/>
      <c r="JKY57" s="13"/>
      <c r="JKZ57" s="13"/>
      <c r="JLA57" s="13"/>
      <c r="JLB57" s="13"/>
      <c r="JLC57" s="13"/>
      <c r="JLD57" s="13"/>
      <c r="JLE57" s="13"/>
      <c r="JLF57" s="13"/>
      <c r="JLG57" s="13"/>
      <c r="JLH57" s="13"/>
      <c r="JLI57" s="13"/>
      <c r="JLJ57" s="13"/>
      <c r="JLK57" s="13"/>
      <c r="JLL57" s="13"/>
      <c r="JLM57" s="13"/>
      <c r="JLN57" s="13"/>
      <c r="JLO57" s="13"/>
      <c r="JLP57" s="13"/>
      <c r="JLQ57" s="13"/>
      <c r="JLR57" s="13"/>
      <c r="JLS57" s="13"/>
      <c r="JLT57" s="13"/>
      <c r="JLU57" s="13"/>
      <c r="JLV57" s="13"/>
      <c r="JLW57" s="13"/>
      <c r="JLX57" s="13"/>
      <c r="JLY57" s="13"/>
      <c r="JLZ57" s="13"/>
      <c r="JMA57" s="13"/>
      <c r="JMB57" s="13"/>
      <c r="JMC57" s="13"/>
      <c r="JMD57" s="13"/>
      <c r="JME57" s="13"/>
      <c r="JMF57" s="13"/>
      <c r="JMG57" s="13"/>
      <c r="JMH57" s="13"/>
      <c r="JMI57" s="13"/>
      <c r="JMJ57" s="13"/>
      <c r="JMK57" s="13"/>
      <c r="JML57" s="13"/>
      <c r="JMM57" s="13"/>
      <c r="JMN57" s="13"/>
      <c r="JMO57" s="13"/>
      <c r="JMP57" s="13"/>
      <c r="JMQ57" s="13"/>
      <c r="JMR57" s="13"/>
      <c r="JMS57" s="13"/>
      <c r="JMT57" s="13"/>
      <c r="JMU57" s="13"/>
      <c r="JMV57" s="13"/>
      <c r="JMW57" s="13"/>
      <c r="JMX57" s="13"/>
      <c r="JMY57" s="13"/>
      <c r="JMZ57" s="13"/>
      <c r="JNA57" s="13"/>
      <c r="JNB57" s="13"/>
      <c r="JNC57" s="13"/>
      <c r="JND57" s="13"/>
      <c r="JNE57" s="13"/>
      <c r="JNF57" s="13"/>
      <c r="JNG57" s="13"/>
      <c r="JNH57" s="13"/>
      <c r="JNI57" s="13"/>
      <c r="JNJ57" s="13"/>
      <c r="JNK57" s="13"/>
      <c r="JNL57" s="13"/>
      <c r="JNM57" s="13"/>
      <c r="JNN57" s="13"/>
      <c r="JNO57" s="13"/>
      <c r="JNP57" s="13"/>
      <c r="JNQ57" s="13"/>
      <c r="JNR57" s="13"/>
      <c r="JNS57" s="13"/>
      <c r="JNT57" s="13"/>
      <c r="JNU57" s="13"/>
      <c r="JNV57" s="13"/>
      <c r="JNW57" s="13"/>
      <c r="JNX57" s="13"/>
      <c r="JNY57" s="13"/>
      <c r="JNZ57" s="13"/>
      <c r="JOA57" s="13"/>
      <c r="JOB57" s="13"/>
      <c r="JOC57" s="13"/>
      <c r="JOD57" s="13"/>
      <c r="JOE57" s="13"/>
      <c r="JOF57" s="13"/>
      <c r="JOG57" s="13"/>
      <c r="JOH57" s="13"/>
      <c r="JOI57" s="13"/>
      <c r="JOJ57" s="13"/>
      <c r="JOK57" s="13"/>
      <c r="JOL57" s="13"/>
      <c r="JOM57" s="13"/>
      <c r="JON57" s="13"/>
      <c r="JOO57" s="13"/>
      <c r="JOP57" s="13"/>
      <c r="JOQ57" s="13"/>
      <c r="JOR57" s="13"/>
      <c r="JOS57" s="13"/>
      <c r="JOT57" s="13"/>
      <c r="JOU57" s="13"/>
      <c r="JOV57" s="13"/>
      <c r="JOW57" s="13"/>
      <c r="JOX57" s="13"/>
      <c r="JOY57" s="13"/>
      <c r="JOZ57" s="13"/>
      <c r="JPA57" s="13"/>
      <c r="JPB57" s="13"/>
      <c r="JPC57" s="13"/>
      <c r="JPD57" s="13"/>
      <c r="JPE57" s="13"/>
      <c r="JPF57" s="13"/>
      <c r="JPG57" s="13"/>
      <c r="JPH57" s="13"/>
      <c r="JPI57" s="13"/>
      <c r="JPJ57" s="13"/>
      <c r="JPK57" s="13"/>
      <c r="JPL57" s="13"/>
      <c r="JPM57" s="13"/>
      <c r="JPN57" s="13"/>
      <c r="JPO57" s="13"/>
      <c r="JPP57" s="13"/>
      <c r="JPQ57" s="13"/>
      <c r="JPR57" s="13"/>
      <c r="JPS57" s="13"/>
      <c r="JPT57" s="13"/>
      <c r="JPU57" s="13"/>
      <c r="JPV57" s="13"/>
      <c r="JPW57" s="13"/>
      <c r="JPX57" s="13"/>
      <c r="JPY57" s="13"/>
      <c r="JPZ57" s="13"/>
      <c r="JQA57" s="13"/>
      <c r="JQB57" s="13"/>
      <c r="JQC57" s="13"/>
      <c r="JQD57" s="13"/>
      <c r="JQE57" s="13"/>
      <c r="JQF57" s="13"/>
      <c r="JQG57" s="13"/>
      <c r="JQH57" s="13"/>
      <c r="JQI57" s="13"/>
      <c r="JQJ57" s="13"/>
      <c r="JQK57" s="13"/>
      <c r="JQL57" s="13"/>
      <c r="JQM57" s="13"/>
      <c r="JQN57" s="13"/>
      <c r="JQO57" s="13"/>
      <c r="JQP57" s="13"/>
      <c r="JQQ57" s="13"/>
      <c r="JQR57" s="13"/>
      <c r="JQS57" s="13"/>
      <c r="JQT57" s="13"/>
      <c r="JQU57" s="13"/>
      <c r="JQV57" s="13"/>
      <c r="JQW57" s="13"/>
      <c r="JQX57" s="13"/>
      <c r="JQY57" s="13"/>
      <c r="JQZ57" s="13"/>
      <c r="JRA57" s="13"/>
      <c r="JRB57" s="13"/>
      <c r="JRC57" s="13"/>
      <c r="JRD57" s="13"/>
      <c r="JRE57" s="13"/>
      <c r="JRF57" s="13"/>
      <c r="JRG57" s="13"/>
      <c r="JRH57" s="13"/>
      <c r="JRI57" s="13"/>
      <c r="JRJ57" s="13"/>
      <c r="JRK57" s="13"/>
      <c r="JRL57" s="13"/>
      <c r="JRM57" s="13"/>
      <c r="JRN57" s="13"/>
      <c r="JRO57" s="13"/>
      <c r="JRP57" s="13"/>
      <c r="JRQ57" s="13"/>
      <c r="JRR57" s="13"/>
      <c r="JRS57" s="13"/>
      <c r="JRT57" s="13"/>
      <c r="JRU57" s="13"/>
      <c r="JRV57" s="13"/>
      <c r="JRW57" s="13"/>
      <c r="JRX57" s="13"/>
      <c r="JRY57" s="13"/>
      <c r="JRZ57" s="13"/>
      <c r="JSA57" s="13"/>
      <c r="JSB57" s="13"/>
      <c r="JSC57" s="13"/>
      <c r="JSD57" s="13"/>
      <c r="JSE57" s="13"/>
      <c r="JSF57" s="13"/>
      <c r="JSG57" s="13"/>
      <c r="JSH57" s="13"/>
      <c r="JSI57" s="13"/>
      <c r="JSJ57" s="13"/>
      <c r="JSK57" s="13"/>
      <c r="JSL57" s="13"/>
      <c r="JSM57" s="13"/>
      <c r="JSN57" s="13"/>
      <c r="JSO57" s="13"/>
      <c r="JSP57" s="13"/>
      <c r="JSQ57" s="13"/>
      <c r="JSR57" s="13"/>
      <c r="JSS57" s="13"/>
      <c r="JST57" s="13"/>
      <c r="JSU57" s="13"/>
      <c r="JSV57" s="13"/>
      <c r="JSW57" s="13"/>
      <c r="JSX57" s="13"/>
      <c r="JSY57" s="13"/>
      <c r="JSZ57" s="13"/>
      <c r="JTA57" s="13"/>
      <c r="JTB57" s="13"/>
      <c r="JTC57" s="13"/>
      <c r="JTD57" s="13"/>
      <c r="JTE57" s="13"/>
      <c r="JTF57" s="13"/>
      <c r="JTG57" s="13"/>
      <c r="JTH57" s="13"/>
      <c r="JTI57" s="13"/>
      <c r="JTJ57" s="13"/>
      <c r="JTK57" s="13"/>
      <c r="JTL57" s="13"/>
      <c r="JTM57" s="13"/>
      <c r="JTN57" s="13"/>
      <c r="JTO57" s="13"/>
      <c r="JTP57" s="13"/>
      <c r="JTQ57" s="13"/>
      <c r="JTR57" s="13"/>
      <c r="JTS57" s="13"/>
      <c r="JTT57" s="13"/>
      <c r="JTU57" s="13"/>
      <c r="JTV57" s="13"/>
      <c r="JTW57" s="13"/>
      <c r="JTX57" s="13"/>
      <c r="JTY57" s="13"/>
      <c r="JTZ57" s="13"/>
      <c r="JUA57" s="13"/>
      <c r="JUB57" s="13"/>
      <c r="JUC57" s="13"/>
      <c r="JUD57" s="13"/>
      <c r="JUE57" s="13"/>
      <c r="JUF57" s="13"/>
      <c r="JUG57" s="13"/>
      <c r="JUH57" s="13"/>
      <c r="JUI57" s="13"/>
      <c r="JUJ57" s="13"/>
      <c r="JUK57" s="13"/>
      <c r="JUL57" s="13"/>
      <c r="JUM57" s="13"/>
      <c r="JUN57" s="13"/>
      <c r="JUO57" s="13"/>
      <c r="JUP57" s="13"/>
      <c r="JUQ57" s="13"/>
      <c r="JUR57" s="13"/>
      <c r="JUS57" s="13"/>
      <c r="JUT57" s="13"/>
      <c r="JUU57" s="13"/>
      <c r="JUV57" s="13"/>
      <c r="JUW57" s="13"/>
      <c r="JUX57" s="13"/>
      <c r="JUY57" s="13"/>
      <c r="JUZ57" s="13"/>
      <c r="JVA57" s="13"/>
      <c r="JVB57" s="13"/>
      <c r="JVC57" s="13"/>
      <c r="JVD57" s="13"/>
      <c r="JVE57" s="13"/>
      <c r="JVF57" s="13"/>
      <c r="JVG57" s="13"/>
      <c r="JVH57" s="13"/>
      <c r="JVI57" s="13"/>
      <c r="JVJ57" s="13"/>
      <c r="JVK57" s="13"/>
      <c r="JVL57" s="13"/>
      <c r="JVM57" s="13"/>
      <c r="JVN57" s="13"/>
      <c r="JVO57" s="13"/>
      <c r="JVP57" s="13"/>
      <c r="JVQ57" s="13"/>
      <c r="JVR57" s="13"/>
      <c r="JVS57" s="13"/>
      <c r="JVT57" s="13"/>
      <c r="JVU57" s="13"/>
      <c r="JVV57" s="13"/>
      <c r="JVW57" s="13"/>
      <c r="JVX57" s="13"/>
      <c r="JVY57" s="13"/>
      <c r="JVZ57" s="13"/>
      <c r="JWA57" s="13"/>
      <c r="JWB57" s="13"/>
      <c r="JWC57" s="13"/>
      <c r="JWD57" s="13"/>
      <c r="JWE57" s="13"/>
      <c r="JWF57" s="13"/>
      <c r="JWG57" s="13"/>
      <c r="JWH57" s="13"/>
      <c r="JWI57" s="13"/>
      <c r="JWJ57" s="13"/>
      <c r="JWK57" s="13"/>
      <c r="JWL57" s="13"/>
      <c r="JWM57" s="13"/>
      <c r="JWN57" s="13"/>
      <c r="JWO57" s="13"/>
      <c r="JWP57" s="13"/>
      <c r="JWQ57" s="13"/>
      <c r="JWR57" s="13"/>
      <c r="JWS57" s="13"/>
      <c r="JWT57" s="13"/>
      <c r="JWU57" s="13"/>
      <c r="JWV57" s="13"/>
      <c r="JWW57" s="13"/>
      <c r="JWX57" s="13"/>
      <c r="JWY57" s="13"/>
      <c r="JWZ57" s="13"/>
      <c r="JXA57" s="13"/>
      <c r="JXB57" s="13"/>
      <c r="JXC57" s="13"/>
      <c r="JXD57" s="13"/>
      <c r="JXE57" s="13"/>
      <c r="JXF57" s="13"/>
      <c r="JXG57" s="13"/>
      <c r="JXH57" s="13"/>
      <c r="JXI57" s="13"/>
      <c r="JXJ57" s="13"/>
      <c r="JXK57" s="13"/>
      <c r="JXL57" s="13"/>
      <c r="JXM57" s="13"/>
      <c r="JXN57" s="13"/>
      <c r="JXO57" s="13"/>
      <c r="JXP57" s="13"/>
      <c r="JXQ57" s="13"/>
      <c r="JXR57" s="13"/>
      <c r="JXS57" s="13"/>
      <c r="JXT57" s="13"/>
      <c r="JXU57" s="13"/>
      <c r="JXV57" s="13"/>
      <c r="JXW57" s="13"/>
      <c r="JXX57" s="13"/>
      <c r="JXY57" s="13"/>
      <c r="JXZ57" s="13"/>
      <c r="JYA57" s="13"/>
      <c r="JYB57" s="13"/>
      <c r="JYC57" s="13"/>
      <c r="JYD57" s="13"/>
      <c r="JYE57" s="13"/>
      <c r="JYF57" s="13"/>
      <c r="JYG57" s="13"/>
      <c r="JYH57" s="13"/>
      <c r="JYI57" s="13"/>
      <c r="JYJ57" s="13"/>
      <c r="JYK57" s="13"/>
      <c r="JYL57" s="13"/>
      <c r="JYM57" s="13"/>
      <c r="JYN57" s="13"/>
      <c r="JYO57" s="13"/>
      <c r="JYP57" s="13"/>
      <c r="JYQ57" s="13"/>
      <c r="JYR57" s="13"/>
      <c r="JYS57" s="13"/>
      <c r="JYT57" s="13"/>
      <c r="JYU57" s="13"/>
      <c r="JYV57" s="13"/>
      <c r="JYW57" s="13"/>
      <c r="JYX57" s="13"/>
      <c r="JYY57" s="13"/>
      <c r="JYZ57" s="13"/>
      <c r="JZA57" s="13"/>
      <c r="JZB57" s="13"/>
      <c r="JZC57" s="13"/>
      <c r="JZD57" s="13"/>
      <c r="JZE57" s="13"/>
      <c r="JZF57" s="13"/>
      <c r="JZG57" s="13"/>
      <c r="JZH57" s="13"/>
      <c r="JZI57" s="13"/>
      <c r="JZJ57" s="13"/>
      <c r="JZK57" s="13"/>
      <c r="JZL57" s="13"/>
      <c r="JZM57" s="13"/>
      <c r="JZN57" s="13"/>
      <c r="JZO57" s="13"/>
      <c r="JZP57" s="13"/>
      <c r="JZQ57" s="13"/>
      <c r="JZR57" s="13"/>
      <c r="JZS57" s="13"/>
      <c r="JZT57" s="13"/>
      <c r="JZU57" s="13"/>
      <c r="JZV57" s="13"/>
      <c r="JZW57" s="13"/>
      <c r="JZX57" s="13"/>
      <c r="JZY57" s="13"/>
      <c r="JZZ57" s="13"/>
      <c r="KAA57" s="13"/>
      <c r="KAB57" s="13"/>
      <c r="KAC57" s="13"/>
      <c r="KAD57" s="13"/>
      <c r="KAE57" s="13"/>
      <c r="KAF57" s="13"/>
      <c r="KAG57" s="13"/>
      <c r="KAH57" s="13"/>
      <c r="KAI57" s="13"/>
      <c r="KAJ57" s="13"/>
      <c r="KAK57" s="13"/>
      <c r="KAL57" s="13"/>
      <c r="KAM57" s="13"/>
      <c r="KAN57" s="13"/>
      <c r="KAO57" s="13"/>
      <c r="KAP57" s="13"/>
      <c r="KAQ57" s="13"/>
      <c r="KAR57" s="13"/>
      <c r="KAS57" s="13"/>
      <c r="KAT57" s="13"/>
      <c r="KAU57" s="13"/>
      <c r="KAV57" s="13"/>
      <c r="KAW57" s="13"/>
      <c r="KAX57" s="13"/>
      <c r="KAY57" s="13"/>
      <c r="KAZ57" s="13"/>
      <c r="KBA57" s="13"/>
      <c r="KBB57" s="13"/>
      <c r="KBC57" s="13"/>
      <c r="KBD57" s="13"/>
      <c r="KBE57" s="13"/>
      <c r="KBF57" s="13"/>
      <c r="KBG57" s="13"/>
      <c r="KBH57" s="13"/>
      <c r="KBI57" s="13"/>
      <c r="KBJ57" s="13"/>
      <c r="KBK57" s="13"/>
      <c r="KBL57" s="13"/>
      <c r="KBM57" s="13"/>
      <c r="KBN57" s="13"/>
      <c r="KBO57" s="13"/>
      <c r="KBP57" s="13"/>
      <c r="KBQ57" s="13"/>
      <c r="KBR57" s="13"/>
      <c r="KBS57" s="13"/>
      <c r="KBT57" s="13"/>
      <c r="KBU57" s="13"/>
      <c r="KBV57" s="13"/>
      <c r="KBW57" s="13"/>
      <c r="KBX57" s="13"/>
      <c r="KBY57" s="13"/>
      <c r="KBZ57" s="13"/>
      <c r="KCA57" s="13"/>
      <c r="KCB57" s="13"/>
      <c r="KCC57" s="13"/>
      <c r="KCD57" s="13"/>
      <c r="KCE57" s="13"/>
      <c r="KCF57" s="13"/>
      <c r="KCG57" s="13"/>
      <c r="KCH57" s="13"/>
      <c r="KCI57" s="13"/>
      <c r="KCJ57" s="13"/>
      <c r="KCK57" s="13"/>
      <c r="KCL57" s="13"/>
      <c r="KCM57" s="13"/>
      <c r="KCN57" s="13"/>
      <c r="KCO57" s="13"/>
      <c r="KCP57" s="13"/>
      <c r="KCQ57" s="13"/>
      <c r="KCR57" s="13"/>
      <c r="KCS57" s="13"/>
      <c r="KCT57" s="13"/>
      <c r="KCU57" s="13"/>
      <c r="KCV57" s="13"/>
      <c r="KCW57" s="13"/>
      <c r="KCX57" s="13"/>
      <c r="KCY57" s="13"/>
      <c r="KCZ57" s="13"/>
      <c r="KDA57" s="13"/>
      <c r="KDB57" s="13"/>
      <c r="KDC57" s="13"/>
      <c r="KDD57" s="13"/>
      <c r="KDE57" s="13"/>
      <c r="KDF57" s="13"/>
      <c r="KDG57" s="13"/>
      <c r="KDH57" s="13"/>
      <c r="KDI57" s="13"/>
      <c r="KDJ57" s="13"/>
      <c r="KDK57" s="13"/>
      <c r="KDL57" s="13"/>
      <c r="KDM57" s="13"/>
      <c r="KDN57" s="13"/>
      <c r="KDO57" s="13"/>
      <c r="KDP57" s="13"/>
      <c r="KDQ57" s="13"/>
      <c r="KDR57" s="13"/>
      <c r="KDS57" s="13"/>
      <c r="KDT57" s="13"/>
      <c r="KDU57" s="13"/>
      <c r="KDV57" s="13"/>
      <c r="KDW57" s="13"/>
      <c r="KDX57" s="13"/>
      <c r="KDY57" s="13"/>
      <c r="KDZ57" s="13"/>
      <c r="KEA57" s="13"/>
      <c r="KEB57" s="13"/>
      <c r="KEC57" s="13"/>
      <c r="KED57" s="13"/>
      <c r="KEE57" s="13"/>
      <c r="KEF57" s="13"/>
      <c r="KEG57" s="13"/>
      <c r="KEH57" s="13"/>
      <c r="KEI57" s="13"/>
      <c r="KEJ57" s="13"/>
      <c r="KEK57" s="13"/>
      <c r="KEL57" s="13"/>
      <c r="KEM57" s="13"/>
      <c r="KEN57" s="13"/>
      <c r="KEO57" s="13"/>
      <c r="KEP57" s="13"/>
      <c r="KEQ57" s="13"/>
      <c r="KER57" s="13"/>
      <c r="KES57" s="13"/>
      <c r="KET57" s="13"/>
      <c r="KEU57" s="13"/>
      <c r="KEV57" s="13"/>
      <c r="KEW57" s="13"/>
      <c r="KEX57" s="13"/>
      <c r="KEY57" s="13"/>
      <c r="KEZ57" s="13"/>
      <c r="KFA57" s="13"/>
      <c r="KFB57" s="13"/>
      <c r="KFC57" s="13"/>
      <c r="KFD57" s="13"/>
      <c r="KFE57" s="13"/>
      <c r="KFF57" s="13"/>
      <c r="KFG57" s="13"/>
      <c r="KFH57" s="13"/>
      <c r="KFI57" s="13"/>
      <c r="KFJ57" s="13"/>
      <c r="KFK57" s="13"/>
      <c r="KFL57" s="13"/>
      <c r="KFM57" s="13"/>
      <c r="KFN57" s="13"/>
      <c r="KFO57" s="13"/>
      <c r="KFP57" s="13"/>
      <c r="KFQ57" s="13"/>
      <c r="KFR57" s="13"/>
      <c r="KFS57" s="13"/>
      <c r="KFT57" s="13"/>
      <c r="KFU57" s="13"/>
      <c r="KFV57" s="13"/>
      <c r="KFW57" s="13"/>
      <c r="KFX57" s="13"/>
      <c r="KFY57" s="13"/>
      <c r="KFZ57" s="13"/>
      <c r="KGA57" s="13"/>
      <c r="KGB57" s="13"/>
      <c r="KGC57" s="13"/>
      <c r="KGD57" s="13"/>
      <c r="KGE57" s="13"/>
      <c r="KGF57" s="13"/>
      <c r="KGG57" s="13"/>
      <c r="KGH57" s="13"/>
      <c r="KGI57" s="13"/>
      <c r="KGJ57" s="13"/>
      <c r="KGK57" s="13"/>
      <c r="KGL57" s="13"/>
      <c r="KGM57" s="13"/>
      <c r="KGN57" s="13"/>
      <c r="KGO57" s="13"/>
      <c r="KGP57" s="13"/>
      <c r="KGQ57" s="13"/>
      <c r="KGR57" s="13"/>
      <c r="KGS57" s="13"/>
      <c r="KGT57" s="13"/>
      <c r="KGU57" s="13"/>
      <c r="KGV57" s="13"/>
      <c r="KGW57" s="13"/>
      <c r="KGX57" s="13"/>
      <c r="KGY57" s="13"/>
      <c r="KGZ57" s="13"/>
      <c r="KHA57" s="13"/>
      <c r="KHB57" s="13"/>
      <c r="KHC57" s="13"/>
      <c r="KHD57" s="13"/>
      <c r="KHE57" s="13"/>
      <c r="KHF57" s="13"/>
      <c r="KHG57" s="13"/>
      <c r="KHH57" s="13"/>
      <c r="KHI57" s="13"/>
      <c r="KHJ57" s="13"/>
      <c r="KHK57" s="13"/>
      <c r="KHL57" s="13"/>
      <c r="KHM57" s="13"/>
      <c r="KHN57" s="13"/>
      <c r="KHO57" s="13"/>
      <c r="KHP57" s="13"/>
      <c r="KHQ57" s="13"/>
      <c r="KHR57" s="13"/>
      <c r="KHS57" s="13"/>
      <c r="KHT57" s="13"/>
      <c r="KHU57" s="13"/>
      <c r="KHV57" s="13"/>
      <c r="KHW57" s="13"/>
      <c r="KHX57" s="13"/>
      <c r="KHY57" s="13"/>
      <c r="KHZ57" s="13"/>
      <c r="KIA57" s="13"/>
      <c r="KIB57" s="13"/>
      <c r="KIC57" s="13"/>
      <c r="KID57" s="13"/>
      <c r="KIE57" s="13"/>
      <c r="KIF57" s="13"/>
      <c r="KIG57" s="13"/>
      <c r="KIH57" s="13"/>
      <c r="KII57" s="13"/>
      <c r="KIJ57" s="13"/>
      <c r="KIK57" s="13"/>
      <c r="KIL57" s="13"/>
      <c r="KIM57" s="13"/>
      <c r="KIN57" s="13"/>
      <c r="KIO57" s="13"/>
      <c r="KIP57" s="13"/>
      <c r="KIQ57" s="13"/>
      <c r="KIR57" s="13"/>
      <c r="KIS57" s="13"/>
      <c r="KIT57" s="13"/>
      <c r="KIU57" s="13"/>
      <c r="KIV57" s="13"/>
      <c r="KIW57" s="13"/>
      <c r="KIX57" s="13"/>
      <c r="KIY57" s="13"/>
      <c r="KIZ57" s="13"/>
      <c r="KJA57" s="13"/>
      <c r="KJB57" s="13"/>
      <c r="KJC57" s="13"/>
      <c r="KJD57" s="13"/>
      <c r="KJE57" s="13"/>
      <c r="KJF57" s="13"/>
      <c r="KJG57" s="13"/>
      <c r="KJH57" s="13"/>
      <c r="KJI57" s="13"/>
      <c r="KJJ57" s="13"/>
      <c r="KJK57" s="13"/>
      <c r="KJL57" s="13"/>
      <c r="KJM57" s="13"/>
      <c r="KJN57" s="13"/>
      <c r="KJO57" s="13"/>
      <c r="KJP57" s="13"/>
      <c r="KJQ57" s="13"/>
      <c r="KJR57" s="13"/>
      <c r="KJS57" s="13"/>
      <c r="KJT57" s="13"/>
      <c r="KJU57" s="13"/>
      <c r="KJV57" s="13"/>
      <c r="KJW57" s="13"/>
      <c r="KJX57" s="13"/>
      <c r="KJY57" s="13"/>
      <c r="KJZ57" s="13"/>
      <c r="KKA57" s="13"/>
      <c r="KKB57" s="13"/>
      <c r="KKC57" s="13"/>
      <c r="KKD57" s="13"/>
      <c r="KKE57" s="13"/>
      <c r="KKF57" s="13"/>
      <c r="KKG57" s="13"/>
      <c r="KKH57" s="13"/>
      <c r="KKI57" s="13"/>
      <c r="KKJ57" s="13"/>
      <c r="KKK57" s="13"/>
      <c r="KKL57" s="13"/>
      <c r="KKM57" s="13"/>
      <c r="KKN57" s="13"/>
      <c r="KKO57" s="13"/>
      <c r="KKP57" s="13"/>
      <c r="KKQ57" s="13"/>
      <c r="KKR57" s="13"/>
      <c r="KKS57" s="13"/>
      <c r="KKT57" s="13"/>
      <c r="KKU57" s="13"/>
      <c r="KKV57" s="13"/>
      <c r="KKW57" s="13"/>
      <c r="KKX57" s="13"/>
      <c r="KKY57" s="13"/>
      <c r="KKZ57" s="13"/>
      <c r="KLA57" s="13"/>
      <c r="KLB57" s="13"/>
      <c r="KLC57" s="13"/>
      <c r="KLD57" s="13"/>
      <c r="KLE57" s="13"/>
      <c r="KLF57" s="13"/>
      <c r="KLG57" s="13"/>
      <c r="KLH57" s="13"/>
      <c r="KLI57" s="13"/>
      <c r="KLJ57" s="13"/>
      <c r="KLK57" s="13"/>
      <c r="KLL57" s="13"/>
      <c r="KLM57" s="13"/>
      <c r="KLN57" s="13"/>
      <c r="KLO57" s="13"/>
      <c r="KLP57" s="13"/>
      <c r="KLQ57" s="13"/>
      <c r="KLR57" s="13"/>
      <c r="KLS57" s="13"/>
      <c r="KLT57" s="13"/>
      <c r="KLU57" s="13"/>
      <c r="KLV57" s="13"/>
      <c r="KLW57" s="13"/>
      <c r="KLX57" s="13"/>
      <c r="KLY57" s="13"/>
      <c r="KLZ57" s="13"/>
      <c r="KMA57" s="13"/>
      <c r="KMB57" s="13"/>
      <c r="KMC57" s="13"/>
      <c r="KMD57" s="13"/>
      <c r="KME57" s="13"/>
      <c r="KMF57" s="13"/>
      <c r="KMG57" s="13"/>
      <c r="KMH57" s="13"/>
      <c r="KMI57" s="13"/>
      <c r="KMJ57" s="13"/>
      <c r="KMK57" s="13"/>
      <c r="KML57" s="13"/>
      <c r="KMM57" s="13"/>
      <c r="KMN57" s="13"/>
      <c r="KMO57" s="13"/>
      <c r="KMP57" s="13"/>
      <c r="KMQ57" s="13"/>
      <c r="KMR57" s="13"/>
      <c r="KMS57" s="13"/>
      <c r="KMT57" s="13"/>
      <c r="KMU57" s="13"/>
      <c r="KMV57" s="13"/>
      <c r="KMW57" s="13"/>
      <c r="KMX57" s="13"/>
      <c r="KMY57" s="13"/>
      <c r="KMZ57" s="13"/>
      <c r="KNA57" s="13"/>
      <c r="KNB57" s="13"/>
      <c r="KNC57" s="13"/>
      <c r="KND57" s="13"/>
      <c r="KNE57" s="13"/>
      <c r="KNF57" s="13"/>
      <c r="KNG57" s="13"/>
      <c r="KNH57" s="13"/>
      <c r="KNI57" s="13"/>
      <c r="KNJ57" s="13"/>
      <c r="KNK57" s="13"/>
      <c r="KNL57" s="13"/>
      <c r="KNM57" s="13"/>
      <c r="KNN57" s="13"/>
      <c r="KNO57" s="13"/>
      <c r="KNP57" s="13"/>
      <c r="KNQ57" s="13"/>
      <c r="KNR57" s="13"/>
      <c r="KNS57" s="13"/>
      <c r="KNT57" s="13"/>
      <c r="KNU57" s="13"/>
      <c r="KNV57" s="13"/>
      <c r="KNW57" s="13"/>
      <c r="KNX57" s="13"/>
      <c r="KNY57" s="13"/>
      <c r="KNZ57" s="13"/>
      <c r="KOA57" s="13"/>
      <c r="KOB57" s="13"/>
      <c r="KOC57" s="13"/>
      <c r="KOD57" s="13"/>
      <c r="KOE57" s="13"/>
      <c r="KOF57" s="13"/>
      <c r="KOG57" s="13"/>
      <c r="KOH57" s="13"/>
      <c r="KOI57" s="13"/>
      <c r="KOJ57" s="13"/>
      <c r="KOK57" s="13"/>
      <c r="KOL57" s="13"/>
      <c r="KOM57" s="13"/>
      <c r="KON57" s="13"/>
      <c r="KOO57" s="13"/>
      <c r="KOP57" s="13"/>
      <c r="KOQ57" s="13"/>
      <c r="KOR57" s="13"/>
      <c r="KOS57" s="13"/>
      <c r="KOT57" s="13"/>
      <c r="KOU57" s="13"/>
      <c r="KOV57" s="13"/>
      <c r="KOW57" s="13"/>
      <c r="KOX57" s="13"/>
      <c r="KOY57" s="13"/>
      <c r="KOZ57" s="13"/>
      <c r="KPA57" s="13"/>
      <c r="KPB57" s="13"/>
      <c r="KPC57" s="13"/>
      <c r="KPD57" s="13"/>
      <c r="KPE57" s="13"/>
      <c r="KPF57" s="13"/>
      <c r="KPG57" s="13"/>
      <c r="KPH57" s="13"/>
      <c r="KPI57" s="13"/>
      <c r="KPJ57" s="13"/>
      <c r="KPK57" s="13"/>
      <c r="KPL57" s="13"/>
      <c r="KPM57" s="13"/>
      <c r="KPN57" s="13"/>
      <c r="KPO57" s="13"/>
      <c r="KPP57" s="13"/>
      <c r="KPQ57" s="13"/>
      <c r="KPR57" s="13"/>
      <c r="KPS57" s="13"/>
      <c r="KPT57" s="13"/>
      <c r="KPU57" s="13"/>
      <c r="KPV57" s="13"/>
      <c r="KPW57" s="13"/>
      <c r="KPX57" s="13"/>
      <c r="KPY57" s="13"/>
      <c r="KPZ57" s="13"/>
      <c r="KQA57" s="13"/>
      <c r="KQB57" s="13"/>
      <c r="KQC57" s="13"/>
      <c r="KQD57" s="13"/>
      <c r="KQE57" s="13"/>
      <c r="KQF57" s="13"/>
      <c r="KQG57" s="13"/>
      <c r="KQH57" s="13"/>
      <c r="KQI57" s="13"/>
      <c r="KQJ57" s="13"/>
      <c r="KQK57" s="13"/>
      <c r="KQL57" s="13"/>
      <c r="KQM57" s="13"/>
      <c r="KQN57" s="13"/>
      <c r="KQO57" s="13"/>
      <c r="KQP57" s="13"/>
      <c r="KQQ57" s="13"/>
      <c r="KQR57" s="13"/>
      <c r="KQS57" s="13"/>
      <c r="KQT57" s="13"/>
      <c r="KQU57" s="13"/>
      <c r="KQV57" s="13"/>
      <c r="KQW57" s="13"/>
      <c r="KQX57" s="13"/>
      <c r="KQY57" s="13"/>
      <c r="KQZ57" s="13"/>
      <c r="KRA57" s="13"/>
      <c r="KRB57" s="13"/>
      <c r="KRC57" s="13"/>
      <c r="KRD57" s="13"/>
      <c r="KRE57" s="13"/>
      <c r="KRF57" s="13"/>
      <c r="KRG57" s="13"/>
      <c r="KRH57" s="13"/>
      <c r="KRI57" s="13"/>
      <c r="KRJ57" s="13"/>
      <c r="KRK57" s="13"/>
      <c r="KRL57" s="13"/>
      <c r="KRM57" s="13"/>
      <c r="KRN57" s="13"/>
      <c r="KRO57" s="13"/>
      <c r="KRP57" s="13"/>
      <c r="KRQ57" s="13"/>
      <c r="KRR57" s="13"/>
      <c r="KRS57" s="13"/>
      <c r="KRT57" s="13"/>
      <c r="KRU57" s="13"/>
      <c r="KRV57" s="13"/>
      <c r="KRW57" s="13"/>
      <c r="KRX57" s="13"/>
      <c r="KRY57" s="13"/>
      <c r="KRZ57" s="13"/>
      <c r="KSA57" s="13"/>
      <c r="KSB57" s="13"/>
      <c r="KSC57" s="13"/>
      <c r="KSD57" s="13"/>
      <c r="KSE57" s="13"/>
      <c r="KSF57" s="13"/>
      <c r="KSG57" s="13"/>
      <c r="KSH57" s="13"/>
      <c r="KSI57" s="13"/>
      <c r="KSJ57" s="13"/>
      <c r="KSK57" s="13"/>
      <c r="KSL57" s="13"/>
      <c r="KSM57" s="13"/>
      <c r="KSN57" s="13"/>
      <c r="KSO57" s="13"/>
      <c r="KSP57" s="13"/>
      <c r="KSQ57" s="13"/>
      <c r="KSR57" s="13"/>
      <c r="KSS57" s="13"/>
      <c r="KST57" s="13"/>
      <c r="KSU57" s="13"/>
      <c r="KSV57" s="13"/>
      <c r="KSW57" s="13"/>
      <c r="KSX57" s="13"/>
      <c r="KSY57" s="13"/>
      <c r="KSZ57" s="13"/>
      <c r="KTA57" s="13"/>
      <c r="KTB57" s="13"/>
      <c r="KTC57" s="13"/>
      <c r="KTD57" s="13"/>
      <c r="KTE57" s="13"/>
      <c r="KTF57" s="13"/>
      <c r="KTG57" s="13"/>
      <c r="KTH57" s="13"/>
      <c r="KTI57" s="13"/>
      <c r="KTJ57" s="13"/>
      <c r="KTK57" s="13"/>
      <c r="KTL57" s="13"/>
      <c r="KTM57" s="13"/>
      <c r="KTN57" s="13"/>
      <c r="KTO57" s="13"/>
      <c r="KTP57" s="13"/>
      <c r="KTQ57" s="13"/>
      <c r="KTR57" s="13"/>
      <c r="KTS57" s="13"/>
      <c r="KTT57" s="13"/>
      <c r="KTU57" s="13"/>
      <c r="KTV57" s="13"/>
      <c r="KTW57" s="13"/>
      <c r="KTX57" s="13"/>
      <c r="KTY57" s="13"/>
      <c r="KTZ57" s="13"/>
      <c r="KUA57" s="13"/>
      <c r="KUB57" s="13"/>
      <c r="KUC57" s="13"/>
      <c r="KUD57" s="13"/>
      <c r="KUE57" s="13"/>
      <c r="KUF57" s="13"/>
      <c r="KUG57" s="13"/>
      <c r="KUH57" s="13"/>
      <c r="KUI57" s="13"/>
      <c r="KUJ57" s="13"/>
      <c r="KUK57" s="13"/>
      <c r="KUL57" s="13"/>
      <c r="KUM57" s="13"/>
      <c r="KUN57" s="13"/>
      <c r="KUO57" s="13"/>
      <c r="KUP57" s="13"/>
      <c r="KUQ57" s="13"/>
      <c r="KUR57" s="13"/>
      <c r="KUS57" s="13"/>
      <c r="KUT57" s="13"/>
      <c r="KUU57" s="13"/>
      <c r="KUV57" s="13"/>
      <c r="KUW57" s="13"/>
      <c r="KUX57" s="13"/>
      <c r="KUY57" s="13"/>
      <c r="KUZ57" s="13"/>
      <c r="KVA57" s="13"/>
      <c r="KVB57" s="13"/>
      <c r="KVC57" s="13"/>
      <c r="KVD57" s="13"/>
      <c r="KVE57" s="13"/>
      <c r="KVF57" s="13"/>
      <c r="KVG57" s="13"/>
      <c r="KVH57" s="13"/>
      <c r="KVI57" s="13"/>
      <c r="KVJ57" s="13"/>
      <c r="KVK57" s="13"/>
      <c r="KVL57" s="13"/>
      <c r="KVM57" s="13"/>
      <c r="KVN57" s="13"/>
      <c r="KVO57" s="13"/>
      <c r="KVP57" s="13"/>
      <c r="KVQ57" s="13"/>
      <c r="KVR57" s="13"/>
      <c r="KVS57" s="13"/>
      <c r="KVT57" s="13"/>
      <c r="KVU57" s="13"/>
      <c r="KVV57" s="13"/>
      <c r="KVW57" s="13"/>
      <c r="KVX57" s="13"/>
      <c r="KVY57" s="13"/>
      <c r="KVZ57" s="13"/>
      <c r="KWA57" s="13"/>
      <c r="KWB57" s="13"/>
      <c r="KWC57" s="13"/>
      <c r="KWD57" s="13"/>
      <c r="KWE57" s="13"/>
      <c r="KWF57" s="13"/>
      <c r="KWG57" s="13"/>
      <c r="KWH57" s="13"/>
      <c r="KWI57" s="13"/>
      <c r="KWJ57" s="13"/>
      <c r="KWK57" s="13"/>
      <c r="KWL57" s="13"/>
      <c r="KWM57" s="13"/>
      <c r="KWN57" s="13"/>
      <c r="KWO57" s="13"/>
      <c r="KWP57" s="13"/>
      <c r="KWQ57" s="13"/>
      <c r="KWR57" s="13"/>
      <c r="KWS57" s="13"/>
      <c r="KWT57" s="13"/>
      <c r="KWU57" s="13"/>
      <c r="KWV57" s="13"/>
      <c r="KWW57" s="13"/>
      <c r="KWX57" s="13"/>
      <c r="KWY57" s="13"/>
      <c r="KWZ57" s="13"/>
      <c r="KXA57" s="13"/>
      <c r="KXB57" s="13"/>
      <c r="KXC57" s="13"/>
      <c r="KXD57" s="13"/>
      <c r="KXE57" s="13"/>
      <c r="KXF57" s="13"/>
      <c r="KXG57" s="13"/>
      <c r="KXH57" s="13"/>
      <c r="KXI57" s="13"/>
      <c r="KXJ57" s="13"/>
      <c r="KXK57" s="13"/>
      <c r="KXL57" s="13"/>
      <c r="KXM57" s="13"/>
      <c r="KXN57" s="13"/>
      <c r="KXO57" s="13"/>
      <c r="KXP57" s="13"/>
      <c r="KXQ57" s="13"/>
      <c r="KXR57" s="13"/>
      <c r="KXS57" s="13"/>
      <c r="KXT57" s="13"/>
      <c r="KXU57" s="13"/>
      <c r="KXV57" s="13"/>
      <c r="KXW57" s="13"/>
      <c r="KXX57" s="13"/>
      <c r="KXY57" s="13"/>
      <c r="KXZ57" s="13"/>
      <c r="KYA57" s="13"/>
      <c r="KYB57" s="13"/>
      <c r="KYC57" s="13"/>
      <c r="KYD57" s="13"/>
      <c r="KYE57" s="13"/>
      <c r="KYF57" s="13"/>
      <c r="KYG57" s="13"/>
      <c r="KYH57" s="13"/>
      <c r="KYI57" s="13"/>
      <c r="KYJ57" s="13"/>
      <c r="KYK57" s="13"/>
      <c r="KYL57" s="13"/>
      <c r="KYM57" s="13"/>
      <c r="KYN57" s="13"/>
      <c r="KYO57" s="13"/>
      <c r="KYP57" s="13"/>
      <c r="KYQ57" s="13"/>
      <c r="KYR57" s="13"/>
      <c r="KYS57" s="13"/>
      <c r="KYT57" s="13"/>
      <c r="KYU57" s="13"/>
      <c r="KYV57" s="13"/>
      <c r="KYW57" s="13"/>
      <c r="KYX57" s="13"/>
      <c r="KYY57" s="13"/>
      <c r="KYZ57" s="13"/>
      <c r="KZA57" s="13"/>
      <c r="KZB57" s="13"/>
      <c r="KZC57" s="13"/>
      <c r="KZD57" s="13"/>
      <c r="KZE57" s="13"/>
      <c r="KZF57" s="13"/>
      <c r="KZG57" s="13"/>
      <c r="KZH57" s="13"/>
      <c r="KZI57" s="13"/>
      <c r="KZJ57" s="13"/>
      <c r="KZK57" s="13"/>
      <c r="KZL57" s="13"/>
      <c r="KZM57" s="13"/>
      <c r="KZN57" s="13"/>
      <c r="KZO57" s="13"/>
      <c r="KZP57" s="13"/>
      <c r="KZQ57" s="13"/>
      <c r="KZR57" s="13"/>
      <c r="KZS57" s="13"/>
      <c r="KZT57" s="13"/>
      <c r="KZU57" s="13"/>
      <c r="KZV57" s="13"/>
      <c r="KZW57" s="13"/>
      <c r="KZX57" s="13"/>
      <c r="KZY57" s="13"/>
      <c r="KZZ57" s="13"/>
      <c r="LAA57" s="13"/>
      <c r="LAB57" s="13"/>
      <c r="LAC57" s="13"/>
      <c r="LAD57" s="13"/>
      <c r="LAE57" s="13"/>
      <c r="LAF57" s="13"/>
      <c r="LAG57" s="13"/>
      <c r="LAH57" s="13"/>
      <c r="LAI57" s="13"/>
      <c r="LAJ57" s="13"/>
      <c r="LAK57" s="13"/>
      <c r="LAL57" s="13"/>
      <c r="LAM57" s="13"/>
      <c r="LAN57" s="13"/>
      <c r="LAO57" s="13"/>
      <c r="LAP57" s="13"/>
      <c r="LAQ57" s="13"/>
      <c r="LAR57" s="13"/>
      <c r="LAS57" s="13"/>
      <c r="LAT57" s="13"/>
      <c r="LAU57" s="13"/>
      <c r="LAV57" s="13"/>
      <c r="LAW57" s="13"/>
      <c r="LAX57" s="13"/>
      <c r="LAY57" s="13"/>
      <c r="LAZ57" s="13"/>
      <c r="LBA57" s="13"/>
      <c r="LBB57" s="13"/>
      <c r="LBC57" s="13"/>
      <c r="LBD57" s="13"/>
      <c r="LBE57" s="13"/>
      <c r="LBF57" s="13"/>
      <c r="LBG57" s="13"/>
      <c r="LBH57" s="13"/>
      <c r="LBI57" s="13"/>
      <c r="LBJ57" s="13"/>
      <c r="LBK57" s="13"/>
      <c r="LBL57" s="13"/>
      <c r="LBM57" s="13"/>
      <c r="LBN57" s="13"/>
      <c r="LBO57" s="13"/>
      <c r="LBP57" s="13"/>
      <c r="LBQ57" s="13"/>
      <c r="LBR57" s="13"/>
      <c r="LBS57" s="13"/>
      <c r="LBT57" s="13"/>
      <c r="LBU57" s="13"/>
      <c r="LBV57" s="13"/>
      <c r="LBW57" s="13"/>
      <c r="LBX57" s="13"/>
      <c r="LBY57" s="13"/>
      <c r="LBZ57" s="13"/>
      <c r="LCA57" s="13"/>
      <c r="LCB57" s="13"/>
      <c r="LCC57" s="13"/>
      <c r="LCD57" s="13"/>
      <c r="LCE57" s="13"/>
      <c r="LCF57" s="13"/>
      <c r="LCG57" s="13"/>
      <c r="LCH57" s="13"/>
      <c r="LCI57" s="13"/>
      <c r="LCJ57" s="13"/>
      <c r="LCK57" s="13"/>
      <c r="LCL57" s="13"/>
      <c r="LCM57" s="13"/>
      <c r="LCN57" s="13"/>
      <c r="LCO57" s="13"/>
      <c r="LCP57" s="13"/>
      <c r="LCQ57" s="13"/>
      <c r="LCR57" s="13"/>
      <c r="LCS57" s="13"/>
      <c r="LCT57" s="13"/>
      <c r="LCU57" s="13"/>
      <c r="LCV57" s="13"/>
      <c r="LCW57" s="13"/>
      <c r="LCX57" s="13"/>
      <c r="LCY57" s="13"/>
      <c r="LCZ57" s="13"/>
      <c r="LDA57" s="13"/>
      <c r="LDB57" s="13"/>
      <c r="LDC57" s="13"/>
      <c r="LDD57" s="13"/>
      <c r="LDE57" s="13"/>
      <c r="LDF57" s="13"/>
      <c r="LDG57" s="13"/>
      <c r="LDH57" s="13"/>
      <c r="LDI57" s="13"/>
      <c r="LDJ57" s="13"/>
      <c r="LDK57" s="13"/>
      <c r="LDL57" s="13"/>
      <c r="LDM57" s="13"/>
      <c r="LDN57" s="13"/>
      <c r="LDO57" s="13"/>
      <c r="LDP57" s="13"/>
      <c r="LDQ57" s="13"/>
      <c r="LDR57" s="13"/>
      <c r="LDS57" s="13"/>
      <c r="LDT57" s="13"/>
      <c r="LDU57" s="13"/>
      <c r="LDV57" s="13"/>
      <c r="LDW57" s="13"/>
      <c r="LDX57" s="13"/>
      <c r="LDY57" s="13"/>
      <c r="LDZ57" s="13"/>
      <c r="LEA57" s="13"/>
      <c r="LEB57" s="13"/>
      <c r="LEC57" s="13"/>
      <c r="LED57" s="13"/>
      <c r="LEE57" s="13"/>
      <c r="LEF57" s="13"/>
      <c r="LEG57" s="13"/>
      <c r="LEH57" s="13"/>
      <c r="LEI57" s="13"/>
      <c r="LEJ57" s="13"/>
      <c r="LEK57" s="13"/>
      <c r="LEL57" s="13"/>
      <c r="LEM57" s="13"/>
      <c r="LEN57" s="13"/>
      <c r="LEO57" s="13"/>
      <c r="LEP57" s="13"/>
      <c r="LEQ57" s="13"/>
      <c r="LER57" s="13"/>
      <c r="LES57" s="13"/>
      <c r="LET57" s="13"/>
      <c r="LEU57" s="13"/>
      <c r="LEV57" s="13"/>
      <c r="LEW57" s="13"/>
      <c r="LEX57" s="13"/>
      <c r="LEY57" s="13"/>
      <c r="LEZ57" s="13"/>
      <c r="LFA57" s="13"/>
      <c r="LFB57" s="13"/>
      <c r="LFC57" s="13"/>
      <c r="LFD57" s="13"/>
      <c r="LFE57" s="13"/>
      <c r="LFF57" s="13"/>
      <c r="LFG57" s="13"/>
      <c r="LFH57" s="13"/>
      <c r="LFI57" s="13"/>
      <c r="LFJ57" s="13"/>
      <c r="LFK57" s="13"/>
      <c r="LFL57" s="13"/>
      <c r="LFM57" s="13"/>
      <c r="LFN57" s="13"/>
      <c r="LFO57" s="13"/>
      <c r="LFP57" s="13"/>
      <c r="LFQ57" s="13"/>
      <c r="LFR57" s="13"/>
      <c r="LFS57" s="13"/>
      <c r="LFT57" s="13"/>
      <c r="LFU57" s="13"/>
      <c r="LFV57" s="13"/>
      <c r="LFW57" s="13"/>
      <c r="LFX57" s="13"/>
      <c r="LFY57" s="13"/>
      <c r="LFZ57" s="13"/>
      <c r="LGA57" s="13"/>
      <c r="LGB57" s="13"/>
      <c r="LGC57" s="13"/>
      <c r="LGD57" s="13"/>
      <c r="LGE57" s="13"/>
      <c r="LGF57" s="13"/>
      <c r="LGG57" s="13"/>
      <c r="LGH57" s="13"/>
      <c r="LGI57" s="13"/>
      <c r="LGJ57" s="13"/>
      <c r="LGK57" s="13"/>
      <c r="LGL57" s="13"/>
      <c r="LGM57" s="13"/>
      <c r="LGN57" s="13"/>
      <c r="LGO57" s="13"/>
      <c r="LGP57" s="13"/>
      <c r="LGQ57" s="13"/>
      <c r="LGR57" s="13"/>
      <c r="LGS57" s="13"/>
      <c r="LGT57" s="13"/>
      <c r="LGU57" s="13"/>
      <c r="LGV57" s="13"/>
      <c r="LGW57" s="13"/>
      <c r="LGX57" s="13"/>
      <c r="LGY57" s="13"/>
      <c r="LGZ57" s="13"/>
      <c r="LHA57" s="13"/>
      <c r="LHB57" s="13"/>
      <c r="LHC57" s="13"/>
      <c r="LHD57" s="13"/>
      <c r="LHE57" s="13"/>
      <c r="LHF57" s="13"/>
      <c r="LHG57" s="13"/>
      <c r="LHH57" s="13"/>
      <c r="LHI57" s="13"/>
      <c r="LHJ57" s="13"/>
      <c r="LHK57" s="13"/>
      <c r="LHL57" s="13"/>
      <c r="LHM57" s="13"/>
      <c r="LHN57" s="13"/>
      <c r="LHO57" s="13"/>
      <c r="LHP57" s="13"/>
      <c r="LHQ57" s="13"/>
      <c r="LHR57" s="13"/>
      <c r="LHS57" s="13"/>
      <c r="LHT57" s="13"/>
      <c r="LHU57" s="13"/>
      <c r="LHV57" s="13"/>
      <c r="LHW57" s="13"/>
      <c r="LHX57" s="13"/>
      <c r="LHY57" s="13"/>
      <c r="LHZ57" s="13"/>
      <c r="LIA57" s="13"/>
      <c r="LIB57" s="13"/>
      <c r="LIC57" s="13"/>
      <c r="LID57" s="13"/>
      <c r="LIE57" s="13"/>
      <c r="LIF57" s="13"/>
      <c r="LIG57" s="13"/>
      <c r="LIH57" s="13"/>
      <c r="LII57" s="13"/>
      <c r="LIJ57" s="13"/>
      <c r="LIK57" s="13"/>
      <c r="LIL57" s="13"/>
      <c r="LIM57" s="13"/>
      <c r="LIN57" s="13"/>
      <c r="LIO57" s="13"/>
      <c r="LIP57" s="13"/>
      <c r="LIQ57" s="13"/>
      <c r="LIR57" s="13"/>
      <c r="LIS57" s="13"/>
      <c r="LIT57" s="13"/>
      <c r="LIU57" s="13"/>
      <c r="LIV57" s="13"/>
      <c r="LIW57" s="13"/>
      <c r="LIX57" s="13"/>
      <c r="LIY57" s="13"/>
      <c r="LIZ57" s="13"/>
      <c r="LJA57" s="13"/>
      <c r="LJB57" s="13"/>
      <c r="LJC57" s="13"/>
      <c r="LJD57" s="13"/>
      <c r="LJE57" s="13"/>
      <c r="LJF57" s="13"/>
      <c r="LJG57" s="13"/>
      <c r="LJH57" s="13"/>
      <c r="LJI57" s="13"/>
      <c r="LJJ57" s="13"/>
      <c r="LJK57" s="13"/>
      <c r="LJL57" s="13"/>
      <c r="LJM57" s="13"/>
      <c r="LJN57" s="13"/>
      <c r="LJO57" s="13"/>
      <c r="LJP57" s="13"/>
      <c r="LJQ57" s="13"/>
      <c r="LJR57" s="13"/>
      <c r="LJS57" s="13"/>
      <c r="LJT57" s="13"/>
      <c r="LJU57" s="13"/>
      <c r="LJV57" s="13"/>
      <c r="LJW57" s="13"/>
      <c r="LJX57" s="13"/>
      <c r="LJY57" s="13"/>
      <c r="LJZ57" s="13"/>
      <c r="LKA57" s="13"/>
      <c r="LKB57" s="13"/>
      <c r="LKC57" s="13"/>
      <c r="LKD57" s="13"/>
      <c r="LKE57" s="13"/>
      <c r="LKF57" s="13"/>
      <c r="LKG57" s="13"/>
      <c r="LKH57" s="13"/>
      <c r="LKI57" s="13"/>
      <c r="LKJ57" s="13"/>
      <c r="LKK57" s="13"/>
      <c r="LKL57" s="13"/>
      <c r="LKM57" s="13"/>
      <c r="LKN57" s="13"/>
      <c r="LKO57" s="13"/>
      <c r="LKP57" s="13"/>
      <c r="LKQ57" s="13"/>
      <c r="LKR57" s="13"/>
      <c r="LKS57" s="13"/>
      <c r="LKT57" s="13"/>
      <c r="LKU57" s="13"/>
      <c r="LKV57" s="13"/>
      <c r="LKW57" s="13"/>
      <c r="LKX57" s="13"/>
      <c r="LKY57" s="13"/>
      <c r="LKZ57" s="13"/>
      <c r="LLA57" s="13"/>
      <c r="LLB57" s="13"/>
      <c r="LLC57" s="13"/>
      <c r="LLD57" s="13"/>
      <c r="LLE57" s="13"/>
      <c r="LLF57" s="13"/>
      <c r="LLG57" s="13"/>
      <c r="LLH57" s="13"/>
      <c r="LLI57" s="13"/>
      <c r="LLJ57" s="13"/>
      <c r="LLK57" s="13"/>
      <c r="LLL57" s="13"/>
      <c r="LLM57" s="13"/>
      <c r="LLN57" s="13"/>
      <c r="LLO57" s="13"/>
      <c r="LLP57" s="13"/>
      <c r="LLQ57" s="13"/>
      <c r="LLR57" s="13"/>
      <c r="LLS57" s="13"/>
      <c r="LLT57" s="13"/>
      <c r="LLU57" s="13"/>
      <c r="LLV57" s="13"/>
      <c r="LLW57" s="13"/>
      <c r="LLX57" s="13"/>
      <c r="LLY57" s="13"/>
      <c r="LLZ57" s="13"/>
      <c r="LMA57" s="13"/>
      <c r="LMB57" s="13"/>
      <c r="LMC57" s="13"/>
      <c r="LMD57" s="13"/>
      <c r="LME57" s="13"/>
      <c r="LMF57" s="13"/>
      <c r="LMG57" s="13"/>
      <c r="LMH57" s="13"/>
      <c r="LMI57" s="13"/>
      <c r="LMJ57" s="13"/>
      <c r="LMK57" s="13"/>
      <c r="LML57" s="13"/>
      <c r="LMM57" s="13"/>
      <c r="LMN57" s="13"/>
      <c r="LMO57" s="13"/>
      <c r="LMP57" s="13"/>
      <c r="LMQ57" s="13"/>
      <c r="LMR57" s="13"/>
      <c r="LMS57" s="13"/>
      <c r="LMT57" s="13"/>
      <c r="LMU57" s="13"/>
      <c r="LMV57" s="13"/>
      <c r="LMW57" s="13"/>
      <c r="LMX57" s="13"/>
      <c r="LMY57" s="13"/>
      <c r="LMZ57" s="13"/>
      <c r="LNA57" s="13"/>
      <c r="LNB57" s="13"/>
      <c r="LNC57" s="13"/>
      <c r="LND57" s="13"/>
      <c r="LNE57" s="13"/>
      <c r="LNF57" s="13"/>
      <c r="LNG57" s="13"/>
      <c r="LNH57" s="13"/>
      <c r="LNI57" s="13"/>
      <c r="LNJ57" s="13"/>
      <c r="LNK57" s="13"/>
      <c r="LNL57" s="13"/>
      <c r="LNM57" s="13"/>
      <c r="LNN57" s="13"/>
      <c r="LNO57" s="13"/>
      <c r="LNP57" s="13"/>
      <c r="LNQ57" s="13"/>
      <c r="LNR57" s="13"/>
      <c r="LNS57" s="13"/>
      <c r="LNT57" s="13"/>
      <c r="LNU57" s="13"/>
      <c r="LNV57" s="13"/>
      <c r="LNW57" s="13"/>
      <c r="LNX57" s="13"/>
      <c r="LNY57" s="13"/>
      <c r="LNZ57" s="13"/>
      <c r="LOA57" s="13"/>
      <c r="LOB57" s="13"/>
      <c r="LOC57" s="13"/>
      <c r="LOD57" s="13"/>
      <c r="LOE57" s="13"/>
      <c r="LOF57" s="13"/>
      <c r="LOG57" s="13"/>
      <c r="LOH57" s="13"/>
      <c r="LOI57" s="13"/>
      <c r="LOJ57" s="13"/>
      <c r="LOK57" s="13"/>
      <c r="LOL57" s="13"/>
      <c r="LOM57" s="13"/>
      <c r="LON57" s="13"/>
      <c r="LOO57" s="13"/>
      <c r="LOP57" s="13"/>
      <c r="LOQ57" s="13"/>
      <c r="LOR57" s="13"/>
      <c r="LOS57" s="13"/>
      <c r="LOT57" s="13"/>
      <c r="LOU57" s="13"/>
      <c r="LOV57" s="13"/>
      <c r="LOW57" s="13"/>
      <c r="LOX57" s="13"/>
      <c r="LOY57" s="13"/>
      <c r="LOZ57" s="13"/>
      <c r="LPA57" s="13"/>
      <c r="LPB57" s="13"/>
      <c r="LPC57" s="13"/>
      <c r="LPD57" s="13"/>
      <c r="LPE57" s="13"/>
      <c r="LPF57" s="13"/>
      <c r="LPG57" s="13"/>
      <c r="LPH57" s="13"/>
      <c r="LPI57" s="13"/>
      <c r="LPJ57" s="13"/>
      <c r="LPK57" s="13"/>
      <c r="LPL57" s="13"/>
      <c r="LPM57" s="13"/>
      <c r="LPN57" s="13"/>
      <c r="LPO57" s="13"/>
      <c r="LPP57" s="13"/>
      <c r="LPQ57" s="13"/>
      <c r="LPR57" s="13"/>
      <c r="LPS57" s="13"/>
      <c r="LPT57" s="13"/>
      <c r="LPU57" s="13"/>
      <c r="LPV57" s="13"/>
      <c r="LPW57" s="13"/>
      <c r="LPX57" s="13"/>
      <c r="LPY57" s="13"/>
      <c r="LPZ57" s="13"/>
      <c r="LQA57" s="13"/>
      <c r="LQB57" s="13"/>
      <c r="LQC57" s="13"/>
      <c r="LQD57" s="13"/>
      <c r="LQE57" s="13"/>
      <c r="LQF57" s="13"/>
      <c r="LQG57" s="13"/>
      <c r="LQH57" s="13"/>
      <c r="LQI57" s="13"/>
      <c r="LQJ57" s="13"/>
      <c r="LQK57" s="13"/>
      <c r="LQL57" s="13"/>
      <c r="LQM57" s="13"/>
      <c r="LQN57" s="13"/>
      <c r="LQO57" s="13"/>
      <c r="LQP57" s="13"/>
      <c r="LQQ57" s="13"/>
      <c r="LQR57" s="13"/>
      <c r="LQS57" s="13"/>
      <c r="LQT57" s="13"/>
      <c r="LQU57" s="13"/>
      <c r="LQV57" s="13"/>
      <c r="LQW57" s="13"/>
      <c r="LQX57" s="13"/>
      <c r="LQY57" s="13"/>
      <c r="LQZ57" s="13"/>
      <c r="LRA57" s="13"/>
      <c r="LRB57" s="13"/>
      <c r="LRC57" s="13"/>
      <c r="LRD57" s="13"/>
      <c r="LRE57" s="13"/>
      <c r="LRF57" s="13"/>
      <c r="LRG57" s="13"/>
      <c r="LRH57" s="13"/>
      <c r="LRI57" s="13"/>
      <c r="LRJ57" s="13"/>
      <c r="LRK57" s="13"/>
      <c r="LRL57" s="13"/>
      <c r="LRM57" s="13"/>
      <c r="LRN57" s="13"/>
      <c r="LRO57" s="13"/>
      <c r="LRP57" s="13"/>
      <c r="LRQ57" s="13"/>
      <c r="LRR57" s="13"/>
      <c r="LRS57" s="13"/>
      <c r="LRT57" s="13"/>
      <c r="LRU57" s="13"/>
      <c r="LRV57" s="13"/>
      <c r="LRW57" s="13"/>
      <c r="LRX57" s="13"/>
      <c r="LRY57" s="13"/>
      <c r="LRZ57" s="13"/>
      <c r="LSA57" s="13"/>
      <c r="LSB57" s="13"/>
      <c r="LSC57" s="13"/>
      <c r="LSD57" s="13"/>
      <c r="LSE57" s="13"/>
      <c r="LSF57" s="13"/>
      <c r="LSG57" s="13"/>
      <c r="LSH57" s="13"/>
      <c r="LSI57" s="13"/>
      <c r="LSJ57" s="13"/>
      <c r="LSK57" s="13"/>
      <c r="LSL57" s="13"/>
      <c r="LSM57" s="13"/>
      <c r="LSN57" s="13"/>
      <c r="LSO57" s="13"/>
      <c r="LSP57" s="13"/>
      <c r="LSQ57" s="13"/>
      <c r="LSR57" s="13"/>
      <c r="LSS57" s="13"/>
      <c r="LST57" s="13"/>
      <c r="LSU57" s="13"/>
      <c r="LSV57" s="13"/>
      <c r="LSW57" s="13"/>
      <c r="LSX57" s="13"/>
      <c r="LSY57" s="13"/>
      <c r="LSZ57" s="13"/>
      <c r="LTA57" s="13"/>
      <c r="LTB57" s="13"/>
      <c r="LTC57" s="13"/>
      <c r="LTD57" s="13"/>
      <c r="LTE57" s="13"/>
      <c r="LTF57" s="13"/>
      <c r="LTG57" s="13"/>
      <c r="LTH57" s="13"/>
      <c r="LTI57" s="13"/>
      <c r="LTJ57" s="13"/>
      <c r="LTK57" s="13"/>
      <c r="LTL57" s="13"/>
      <c r="LTM57" s="13"/>
      <c r="LTN57" s="13"/>
      <c r="LTO57" s="13"/>
      <c r="LTP57" s="13"/>
      <c r="LTQ57" s="13"/>
      <c r="LTR57" s="13"/>
      <c r="LTS57" s="13"/>
      <c r="LTT57" s="13"/>
      <c r="LTU57" s="13"/>
      <c r="LTV57" s="13"/>
      <c r="LTW57" s="13"/>
      <c r="LTX57" s="13"/>
      <c r="LTY57" s="13"/>
      <c r="LTZ57" s="13"/>
      <c r="LUA57" s="13"/>
      <c r="LUB57" s="13"/>
      <c r="LUC57" s="13"/>
      <c r="LUD57" s="13"/>
      <c r="LUE57" s="13"/>
      <c r="LUF57" s="13"/>
      <c r="LUG57" s="13"/>
      <c r="LUH57" s="13"/>
      <c r="LUI57" s="13"/>
      <c r="LUJ57" s="13"/>
      <c r="LUK57" s="13"/>
      <c r="LUL57" s="13"/>
      <c r="LUM57" s="13"/>
      <c r="LUN57" s="13"/>
      <c r="LUO57" s="13"/>
      <c r="LUP57" s="13"/>
      <c r="LUQ57" s="13"/>
      <c r="LUR57" s="13"/>
      <c r="LUS57" s="13"/>
      <c r="LUT57" s="13"/>
      <c r="LUU57" s="13"/>
      <c r="LUV57" s="13"/>
      <c r="LUW57" s="13"/>
      <c r="LUX57" s="13"/>
      <c r="LUY57" s="13"/>
      <c r="LUZ57" s="13"/>
      <c r="LVA57" s="13"/>
      <c r="LVB57" s="13"/>
      <c r="LVC57" s="13"/>
      <c r="LVD57" s="13"/>
      <c r="LVE57" s="13"/>
      <c r="LVF57" s="13"/>
      <c r="LVG57" s="13"/>
      <c r="LVH57" s="13"/>
      <c r="LVI57" s="13"/>
      <c r="LVJ57" s="13"/>
      <c r="LVK57" s="13"/>
      <c r="LVL57" s="13"/>
      <c r="LVM57" s="13"/>
      <c r="LVN57" s="13"/>
      <c r="LVO57" s="13"/>
      <c r="LVP57" s="13"/>
      <c r="LVQ57" s="13"/>
      <c r="LVR57" s="13"/>
      <c r="LVS57" s="13"/>
      <c r="LVT57" s="13"/>
      <c r="LVU57" s="13"/>
      <c r="LVV57" s="13"/>
      <c r="LVW57" s="13"/>
      <c r="LVX57" s="13"/>
      <c r="LVY57" s="13"/>
      <c r="LVZ57" s="13"/>
      <c r="LWA57" s="13"/>
      <c r="LWB57" s="13"/>
      <c r="LWC57" s="13"/>
      <c r="LWD57" s="13"/>
      <c r="LWE57" s="13"/>
      <c r="LWF57" s="13"/>
      <c r="LWG57" s="13"/>
      <c r="LWH57" s="13"/>
      <c r="LWI57" s="13"/>
      <c r="LWJ57" s="13"/>
      <c r="LWK57" s="13"/>
      <c r="LWL57" s="13"/>
      <c r="LWM57" s="13"/>
      <c r="LWN57" s="13"/>
      <c r="LWO57" s="13"/>
      <c r="LWP57" s="13"/>
      <c r="LWQ57" s="13"/>
      <c r="LWR57" s="13"/>
      <c r="LWS57" s="13"/>
      <c r="LWT57" s="13"/>
      <c r="LWU57" s="13"/>
      <c r="LWV57" s="13"/>
      <c r="LWW57" s="13"/>
      <c r="LWX57" s="13"/>
      <c r="LWY57" s="13"/>
      <c r="LWZ57" s="13"/>
      <c r="LXA57" s="13"/>
      <c r="LXB57" s="13"/>
      <c r="LXC57" s="13"/>
      <c r="LXD57" s="13"/>
      <c r="LXE57" s="13"/>
      <c r="LXF57" s="13"/>
      <c r="LXG57" s="13"/>
      <c r="LXH57" s="13"/>
      <c r="LXI57" s="13"/>
      <c r="LXJ57" s="13"/>
      <c r="LXK57" s="13"/>
      <c r="LXL57" s="13"/>
      <c r="LXM57" s="13"/>
      <c r="LXN57" s="13"/>
      <c r="LXO57" s="13"/>
      <c r="LXP57" s="13"/>
      <c r="LXQ57" s="13"/>
      <c r="LXR57" s="13"/>
      <c r="LXS57" s="13"/>
      <c r="LXT57" s="13"/>
      <c r="LXU57" s="13"/>
      <c r="LXV57" s="13"/>
      <c r="LXW57" s="13"/>
      <c r="LXX57" s="13"/>
      <c r="LXY57" s="13"/>
      <c r="LXZ57" s="13"/>
      <c r="LYA57" s="13"/>
      <c r="LYB57" s="13"/>
      <c r="LYC57" s="13"/>
      <c r="LYD57" s="13"/>
      <c r="LYE57" s="13"/>
      <c r="LYF57" s="13"/>
      <c r="LYG57" s="13"/>
      <c r="LYH57" s="13"/>
      <c r="LYI57" s="13"/>
      <c r="LYJ57" s="13"/>
      <c r="LYK57" s="13"/>
      <c r="LYL57" s="13"/>
      <c r="LYM57" s="13"/>
      <c r="LYN57" s="13"/>
      <c r="LYO57" s="13"/>
      <c r="LYP57" s="13"/>
      <c r="LYQ57" s="13"/>
      <c r="LYR57" s="13"/>
      <c r="LYS57" s="13"/>
      <c r="LYT57" s="13"/>
      <c r="LYU57" s="13"/>
      <c r="LYV57" s="13"/>
      <c r="LYW57" s="13"/>
      <c r="LYX57" s="13"/>
      <c r="LYY57" s="13"/>
      <c r="LYZ57" s="13"/>
      <c r="LZA57" s="13"/>
      <c r="LZB57" s="13"/>
      <c r="LZC57" s="13"/>
      <c r="LZD57" s="13"/>
      <c r="LZE57" s="13"/>
      <c r="LZF57" s="13"/>
      <c r="LZG57" s="13"/>
      <c r="LZH57" s="13"/>
      <c r="LZI57" s="13"/>
      <c r="LZJ57" s="13"/>
      <c r="LZK57" s="13"/>
      <c r="LZL57" s="13"/>
      <c r="LZM57" s="13"/>
      <c r="LZN57" s="13"/>
      <c r="LZO57" s="13"/>
      <c r="LZP57" s="13"/>
      <c r="LZQ57" s="13"/>
      <c r="LZR57" s="13"/>
      <c r="LZS57" s="13"/>
      <c r="LZT57" s="13"/>
      <c r="LZU57" s="13"/>
      <c r="LZV57" s="13"/>
      <c r="LZW57" s="13"/>
      <c r="LZX57" s="13"/>
      <c r="LZY57" s="13"/>
      <c r="LZZ57" s="13"/>
      <c r="MAA57" s="13"/>
      <c r="MAB57" s="13"/>
      <c r="MAC57" s="13"/>
      <c r="MAD57" s="13"/>
      <c r="MAE57" s="13"/>
      <c r="MAF57" s="13"/>
      <c r="MAG57" s="13"/>
      <c r="MAH57" s="13"/>
      <c r="MAI57" s="13"/>
      <c r="MAJ57" s="13"/>
      <c r="MAK57" s="13"/>
      <c r="MAL57" s="13"/>
      <c r="MAM57" s="13"/>
      <c r="MAN57" s="13"/>
      <c r="MAO57" s="13"/>
      <c r="MAP57" s="13"/>
      <c r="MAQ57" s="13"/>
      <c r="MAR57" s="13"/>
      <c r="MAS57" s="13"/>
      <c r="MAT57" s="13"/>
      <c r="MAU57" s="13"/>
      <c r="MAV57" s="13"/>
      <c r="MAW57" s="13"/>
      <c r="MAX57" s="13"/>
      <c r="MAY57" s="13"/>
      <c r="MAZ57" s="13"/>
      <c r="MBA57" s="13"/>
      <c r="MBB57" s="13"/>
      <c r="MBC57" s="13"/>
      <c r="MBD57" s="13"/>
      <c r="MBE57" s="13"/>
      <c r="MBF57" s="13"/>
      <c r="MBG57" s="13"/>
      <c r="MBH57" s="13"/>
      <c r="MBI57" s="13"/>
      <c r="MBJ57" s="13"/>
      <c r="MBK57" s="13"/>
      <c r="MBL57" s="13"/>
      <c r="MBM57" s="13"/>
      <c r="MBN57" s="13"/>
      <c r="MBO57" s="13"/>
      <c r="MBP57" s="13"/>
      <c r="MBQ57" s="13"/>
      <c r="MBR57" s="13"/>
      <c r="MBS57" s="13"/>
      <c r="MBT57" s="13"/>
      <c r="MBU57" s="13"/>
      <c r="MBV57" s="13"/>
      <c r="MBW57" s="13"/>
      <c r="MBX57" s="13"/>
      <c r="MBY57" s="13"/>
      <c r="MBZ57" s="13"/>
      <c r="MCA57" s="13"/>
      <c r="MCB57" s="13"/>
      <c r="MCC57" s="13"/>
      <c r="MCD57" s="13"/>
      <c r="MCE57" s="13"/>
      <c r="MCF57" s="13"/>
      <c r="MCG57" s="13"/>
      <c r="MCH57" s="13"/>
      <c r="MCI57" s="13"/>
      <c r="MCJ57" s="13"/>
      <c r="MCK57" s="13"/>
      <c r="MCL57" s="13"/>
      <c r="MCM57" s="13"/>
      <c r="MCN57" s="13"/>
      <c r="MCO57" s="13"/>
      <c r="MCP57" s="13"/>
      <c r="MCQ57" s="13"/>
      <c r="MCR57" s="13"/>
      <c r="MCS57" s="13"/>
      <c r="MCT57" s="13"/>
      <c r="MCU57" s="13"/>
      <c r="MCV57" s="13"/>
      <c r="MCW57" s="13"/>
      <c r="MCX57" s="13"/>
      <c r="MCY57" s="13"/>
      <c r="MCZ57" s="13"/>
      <c r="MDA57" s="13"/>
      <c r="MDB57" s="13"/>
      <c r="MDC57" s="13"/>
      <c r="MDD57" s="13"/>
      <c r="MDE57" s="13"/>
      <c r="MDF57" s="13"/>
      <c r="MDG57" s="13"/>
      <c r="MDH57" s="13"/>
      <c r="MDI57" s="13"/>
      <c r="MDJ57" s="13"/>
      <c r="MDK57" s="13"/>
      <c r="MDL57" s="13"/>
      <c r="MDM57" s="13"/>
      <c r="MDN57" s="13"/>
      <c r="MDO57" s="13"/>
      <c r="MDP57" s="13"/>
      <c r="MDQ57" s="13"/>
      <c r="MDR57" s="13"/>
      <c r="MDS57" s="13"/>
      <c r="MDT57" s="13"/>
      <c r="MDU57" s="13"/>
      <c r="MDV57" s="13"/>
      <c r="MDW57" s="13"/>
      <c r="MDX57" s="13"/>
      <c r="MDY57" s="13"/>
      <c r="MDZ57" s="13"/>
      <c r="MEA57" s="13"/>
      <c r="MEB57" s="13"/>
      <c r="MEC57" s="13"/>
      <c r="MED57" s="13"/>
      <c r="MEE57" s="13"/>
      <c r="MEF57" s="13"/>
      <c r="MEG57" s="13"/>
      <c r="MEH57" s="13"/>
      <c r="MEI57" s="13"/>
      <c r="MEJ57" s="13"/>
      <c r="MEK57" s="13"/>
      <c r="MEL57" s="13"/>
      <c r="MEM57" s="13"/>
      <c r="MEN57" s="13"/>
      <c r="MEO57" s="13"/>
      <c r="MEP57" s="13"/>
      <c r="MEQ57" s="13"/>
      <c r="MER57" s="13"/>
      <c r="MES57" s="13"/>
      <c r="MET57" s="13"/>
      <c r="MEU57" s="13"/>
      <c r="MEV57" s="13"/>
      <c r="MEW57" s="13"/>
      <c r="MEX57" s="13"/>
      <c r="MEY57" s="13"/>
      <c r="MEZ57" s="13"/>
      <c r="MFA57" s="13"/>
      <c r="MFB57" s="13"/>
      <c r="MFC57" s="13"/>
      <c r="MFD57" s="13"/>
      <c r="MFE57" s="13"/>
      <c r="MFF57" s="13"/>
      <c r="MFG57" s="13"/>
      <c r="MFH57" s="13"/>
      <c r="MFI57" s="13"/>
      <c r="MFJ57" s="13"/>
      <c r="MFK57" s="13"/>
      <c r="MFL57" s="13"/>
      <c r="MFM57" s="13"/>
      <c r="MFN57" s="13"/>
      <c r="MFO57" s="13"/>
      <c r="MFP57" s="13"/>
      <c r="MFQ57" s="13"/>
      <c r="MFR57" s="13"/>
      <c r="MFS57" s="13"/>
      <c r="MFT57" s="13"/>
      <c r="MFU57" s="13"/>
      <c r="MFV57" s="13"/>
      <c r="MFW57" s="13"/>
      <c r="MFX57" s="13"/>
      <c r="MFY57" s="13"/>
      <c r="MFZ57" s="13"/>
      <c r="MGA57" s="13"/>
      <c r="MGB57" s="13"/>
      <c r="MGC57" s="13"/>
      <c r="MGD57" s="13"/>
      <c r="MGE57" s="13"/>
      <c r="MGF57" s="13"/>
      <c r="MGG57" s="13"/>
      <c r="MGH57" s="13"/>
      <c r="MGI57" s="13"/>
      <c r="MGJ57" s="13"/>
      <c r="MGK57" s="13"/>
      <c r="MGL57" s="13"/>
      <c r="MGM57" s="13"/>
      <c r="MGN57" s="13"/>
      <c r="MGO57" s="13"/>
      <c r="MGP57" s="13"/>
      <c r="MGQ57" s="13"/>
      <c r="MGR57" s="13"/>
      <c r="MGS57" s="13"/>
      <c r="MGT57" s="13"/>
      <c r="MGU57" s="13"/>
      <c r="MGV57" s="13"/>
      <c r="MGW57" s="13"/>
      <c r="MGX57" s="13"/>
      <c r="MGY57" s="13"/>
      <c r="MGZ57" s="13"/>
      <c r="MHA57" s="13"/>
      <c r="MHB57" s="13"/>
      <c r="MHC57" s="13"/>
      <c r="MHD57" s="13"/>
      <c r="MHE57" s="13"/>
      <c r="MHF57" s="13"/>
      <c r="MHG57" s="13"/>
      <c r="MHH57" s="13"/>
      <c r="MHI57" s="13"/>
      <c r="MHJ57" s="13"/>
      <c r="MHK57" s="13"/>
      <c r="MHL57" s="13"/>
      <c r="MHM57" s="13"/>
      <c r="MHN57" s="13"/>
      <c r="MHO57" s="13"/>
      <c r="MHP57" s="13"/>
      <c r="MHQ57" s="13"/>
      <c r="MHR57" s="13"/>
      <c r="MHS57" s="13"/>
      <c r="MHT57" s="13"/>
      <c r="MHU57" s="13"/>
      <c r="MHV57" s="13"/>
      <c r="MHW57" s="13"/>
      <c r="MHX57" s="13"/>
      <c r="MHY57" s="13"/>
      <c r="MHZ57" s="13"/>
      <c r="MIA57" s="13"/>
      <c r="MIB57" s="13"/>
      <c r="MIC57" s="13"/>
      <c r="MID57" s="13"/>
      <c r="MIE57" s="13"/>
      <c r="MIF57" s="13"/>
      <c r="MIG57" s="13"/>
      <c r="MIH57" s="13"/>
      <c r="MII57" s="13"/>
      <c r="MIJ57" s="13"/>
      <c r="MIK57" s="13"/>
      <c r="MIL57" s="13"/>
      <c r="MIM57" s="13"/>
      <c r="MIN57" s="13"/>
      <c r="MIO57" s="13"/>
      <c r="MIP57" s="13"/>
      <c r="MIQ57" s="13"/>
      <c r="MIR57" s="13"/>
      <c r="MIS57" s="13"/>
      <c r="MIT57" s="13"/>
      <c r="MIU57" s="13"/>
      <c r="MIV57" s="13"/>
      <c r="MIW57" s="13"/>
      <c r="MIX57" s="13"/>
      <c r="MIY57" s="13"/>
      <c r="MIZ57" s="13"/>
      <c r="MJA57" s="13"/>
      <c r="MJB57" s="13"/>
      <c r="MJC57" s="13"/>
      <c r="MJD57" s="13"/>
      <c r="MJE57" s="13"/>
      <c r="MJF57" s="13"/>
      <c r="MJG57" s="13"/>
      <c r="MJH57" s="13"/>
      <c r="MJI57" s="13"/>
      <c r="MJJ57" s="13"/>
      <c r="MJK57" s="13"/>
      <c r="MJL57" s="13"/>
      <c r="MJM57" s="13"/>
      <c r="MJN57" s="13"/>
      <c r="MJO57" s="13"/>
      <c r="MJP57" s="13"/>
      <c r="MJQ57" s="13"/>
      <c r="MJR57" s="13"/>
      <c r="MJS57" s="13"/>
      <c r="MJT57" s="13"/>
      <c r="MJU57" s="13"/>
      <c r="MJV57" s="13"/>
      <c r="MJW57" s="13"/>
      <c r="MJX57" s="13"/>
      <c r="MJY57" s="13"/>
      <c r="MJZ57" s="13"/>
      <c r="MKA57" s="13"/>
      <c r="MKB57" s="13"/>
      <c r="MKC57" s="13"/>
      <c r="MKD57" s="13"/>
      <c r="MKE57" s="13"/>
      <c r="MKF57" s="13"/>
      <c r="MKG57" s="13"/>
      <c r="MKH57" s="13"/>
      <c r="MKI57" s="13"/>
      <c r="MKJ57" s="13"/>
      <c r="MKK57" s="13"/>
      <c r="MKL57" s="13"/>
      <c r="MKM57" s="13"/>
      <c r="MKN57" s="13"/>
      <c r="MKO57" s="13"/>
      <c r="MKP57" s="13"/>
      <c r="MKQ57" s="13"/>
      <c r="MKR57" s="13"/>
      <c r="MKS57" s="13"/>
      <c r="MKT57" s="13"/>
      <c r="MKU57" s="13"/>
      <c r="MKV57" s="13"/>
      <c r="MKW57" s="13"/>
      <c r="MKX57" s="13"/>
      <c r="MKY57" s="13"/>
      <c r="MKZ57" s="13"/>
      <c r="MLA57" s="13"/>
      <c r="MLB57" s="13"/>
      <c r="MLC57" s="13"/>
      <c r="MLD57" s="13"/>
      <c r="MLE57" s="13"/>
      <c r="MLF57" s="13"/>
      <c r="MLG57" s="13"/>
      <c r="MLH57" s="13"/>
      <c r="MLI57" s="13"/>
      <c r="MLJ57" s="13"/>
      <c r="MLK57" s="13"/>
      <c r="MLL57" s="13"/>
      <c r="MLM57" s="13"/>
      <c r="MLN57" s="13"/>
      <c r="MLO57" s="13"/>
      <c r="MLP57" s="13"/>
      <c r="MLQ57" s="13"/>
      <c r="MLR57" s="13"/>
      <c r="MLS57" s="13"/>
      <c r="MLT57" s="13"/>
      <c r="MLU57" s="13"/>
      <c r="MLV57" s="13"/>
      <c r="MLW57" s="13"/>
      <c r="MLX57" s="13"/>
      <c r="MLY57" s="13"/>
      <c r="MLZ57" s="13"/>
      <c r="MMA57" s="13"/>
      <c r="MMB57" s="13"/>
      <c r="MMC57" s="13"/>
      <c r="MMD57" s="13"/>
      <c r="MME57" s="13"/>
      <c r="MMF57" s="13"/>
      <c r="MMG57" s="13"/>
      <c r="MMH57" s="13"/>
      <c r="MMI57" s="13"/>
      <c r="MMJ57" s="13"/>
      <c r="MMK57" s="13"/>
      <c r="MML57" s="13"/>
      <c r="MMM57" s="13"/>
      <c r="MMN57" s="13"/>
      <c r="MMO57" s="13"/>
      <c r="MMP57" s="13"/>
      <c r="MMQ57" s="13"/>
      <c r="MMR57" s="13"/>
      <c r="MMS57" s="13"/>
      <c r="MMT57" s="13"/>
      <c r="MMU57" s="13"/>
      <c r="MMV57" s="13"/>
      <c r="MMW57" s="13"/>
      <c r="MMX57" s="13"/>
      <c r="MMY57" s="13"/>
      <c r="MMZ57" s="13"/>
      <c r="MNA57" s="13"/>
      <c r="MNB57" s="13"/>
      <c r="MNC57" s="13"/>
      <c r="MND57" s="13"/>
      <c r="MNE57" s="13"/>
      <c r="MNF57" s="13"/>
      <c r="MNG57" s="13"/>
      <c r="MNH57" s="13"/>
      <c r="MNI57" s="13"/>
      <c r="MNJ57" s="13"/>
      <c r="MNK57" s="13"/>
      <c r="MNL57" s="13"/>
      <c r="MNM57" s="13"/>
      <c r="MNN57" s="13"/>
      <c r="MNO57" s="13"/>
      <c r="MNP57" s="13"/>
      <c r="MNQ57" s="13"/>
      <c r="MNR57" s="13"/>
      <c r="MNS57" s="13"/>
      <c r="MNT57" s="13"/>
      <c r="MNU57" s="13"/>
      <c r="MNV57" s="13"/>
      <c r="MNW57" s="13"/>
      <c r="MNX57" s="13"/>
      <c r="MNY57" s="13"/>
      <c r="MNZ57" s="13"/>
      <c r="MOA57" s="13"/>
      <c r="MOB57" s="13"/>
      <c r="MOC57" s="13"/>
      <c r="MOD57" s="13"/>
      <c r="MOE57" s="13"/>
      <c r="MOF57" s="13"/>
      <c r="MOG57" s="13"/>
      <c r="MOH57" s="13"/>
      <c r="MOI57" s="13"/>
      <c r="MOJ57" s="13"/>
      <c r="MOK57" s="13"/>
      <c r="MOL57" s="13"/>
      <c r="MOM57" s="13"/>
      <c r="MON57" s="13"/>
      <c r="MOO57" s="13"/>
      <c r="MOP57" s="13"/>
      <c r="MOQ57" s="13"/>
      <c r="MOR57" s="13"/>
      <c r="MOS57" s="13"/>
      <c r="MOT57" s="13"/>
      <c r="MOU57" s="13"/>
      <c r="MOV57" s="13"/>
      <c r="MOW57" s="13"/>
      <c r="MOX57" s="13"/>
      <c r="MOY57" s="13"/>
      <c r="MOZ57" s="13"/>
      <c r="MPA57" s="13"/>
      <c r="MPB57" s="13"/>
      <c r="MPC57" s="13"/>
      <c r="MPD57" s="13"/>
      <c r="MPE57" s="13"/>
      <c r="MPF57" s="13"/>
      <c r="MPG57" s="13"/>
      <c r="MPH57" s="13"/>
      <c r="MPI57" s="13"/>
      <c r="MPJ57" s="13"/>
      <c r="MPK57" s="13"/>
      <c r="MPL57" s="13"/>
      <c r="MPM57" s="13"/>
      <c r="MPN57" s="13"/>
      <c r="MPO57" s="13"/>
      <c r="MPP57" s="13"/>
      <c r="MPQ57" s="13"/>
      <c r="MPR57" s="13"/>
      <c r="MPS57" s="13"/>
      <c r="MPT57" s="13"/>
      <c r="MPU57" s="13"/>
      <c r="MPV57" s="13"/>
      <c r="MPW57" s="13"/>
      <c r="MPX57" s="13"/>
      <c r="MPY57" s="13"/>
      <c r="MPZ57" s="13"/>
      <c r="MQA57" s="13"/>
      <c r="MQB57" s="13"/>
      <c r="MQC57" s="13"/>
      <c r="MQD57" s="13"/>
      <c r="MQE57" s="13"/>
      <c r="MQF57" s="13"/>
      <c r="MQG57" s="13"/>
      <c r="MQH57" s="13"/>
      <c r="MQI57" s="13"/>
      <c r="MQJ57" s="13"/>
      <c r="MQK57" s="13"/>
      <c r="MQL57" s="13"/>
      <c r="MQM57" s="13"/>
      <c r="MQN57" s="13"/>
      <c r="MQO57" s="13"/>
      <c r="MQP57" s="13"/>
      <c r="MQQ57" s="13"/>
      <c r="MQR57" s="13"/>
      <c r="MQS57" s="13"/>
      <c r="MQT57" s="13"/>
      <c r="MQU57" s="13"/>
      <c r="MQV57" s="13"/>
      <c r="MQW57" s="13"/>
      <c r="MQX57" s="13"/>
      <c r="MQY57" s="13"/>
      <c r="MQZ57" s="13"/>
      <c r="MRA57" s="13"/>
      <c r="MRB57" s="13"/>
      <c r="MRC57" s="13"/>
      <c r="MRD57" s="13"/>
      <c r="MRE57" s="13"/>
      <c r="MRF57" s="13"/>
      <c r="MRG57" s="13"/>
      <c r="MRH57" s="13"/>
      <c r="MRI57" s="13"/>
      <c r="MRJ57" s="13"/>
      <c r="MRK57" s="13"/>
      <c r="MRL57" s="13"/>
      <c r="MRM57" s="13"/>
      <c r="MRN57" s="13"/>
      <c r="MRO57" s="13"/>
      <c r="MRP57" s="13"/>
      <c r="MRQ57" s="13"/>
      <c r="MRR57" s="13"/>
      <c r="MRS57" s="13"/>
      <c r="MRT57" s="13"/>
      <c r="MRU57" s="13"/>
      <c r="MRV57" s="13"/>
      <c r="MRW57" s="13"/>
      <c r="MRX57" s="13"/>
      <c r="MRY57" s="13"/>
      <c r="MRZ57" s="13"/>
      <c r="MSA57" s="13"/>
      <c r="MSB57" s="13"/>
      <c r="MSC57" s="13"/>
      <c r="MSD57" s="13"/>
      <c r="MSE57" s="13"/>
      <c r="MSF57" s="13"/>
      <c r="MSG57" s="13"/>
      <c r="MSH57" s="13"/>
      <c r="MSI57" s="13"/>
      <c r="MSJ57" s="13"/>
      <c r="MSK57" s="13"/>
      <c r="MSL57" s="13"/>
      <c r="MSM57" s="13"/>
      <c r="MSN57" s="13"/>
      <c r="MSO57" s="13"/>
      <c r="MSP57" s="13"/>
      <c r="MSQ57" s="13"/>
      <c r="MSR57" s="13"/>
      <c r="MSS57" s="13"/>
      <c r="MST57" s="13"/>
      <c r="MSU57" s="13"/>
      <c r="MSV57" s="13"/>
      <c r="MSW57" s="13"/>
      <c r="MSX57" s="13"/>
      <c r="MSY57" s="13"/>
      <c r="MSZ57" s="13"/>
      <c r="MTA57" s="13"/>
      <c r="MTB57" s="13"/>
      <c r="MTC57" s="13"/>
      <c r="MTD57" s="13"/>
      <c r="MTE57" s="13"/>
      <c r="MTF57" s="13"/>
      <c r="MTG57" s="13"/>
      <c r="MTH57" s="13"/>
      <c r="MTI57" s="13"/>
      <c r="MTJ57" s="13"/>
      <c r="MTK57" s="13"/>
      <c r="MTL57" s="13"/>
      <c r="MTM57" s="13"/>
      <c r="MTN57" s="13"/>
      <c r="MTO57" s="13"/>
      <c r="MTP57" s="13"/>
      <c r="MTQ57" s="13"/>
      <c r="MTR57" s="13"/>
      <c r="MTS57" s="13"/>
      <c r="MTT57" s="13"/>
      <c r="MTU57" s="13"/>
      <c r="MTV57" s="13"/>
      <c r="MTW57" s="13"/>
      <c r="MTX57" s="13"/>
      <c r="MTY57" s="13"/>
      <c r="MTZ57" s="13"/>
      <c r="MUA57" s="13"/>
      <c r="MUB57" s="13"/>
      <c r="MUC57" s="13"/>
      <c r="MUD57" s="13"/>
      <c r="MUE57" s="13"/>
      <c r="MUF57" s="13"/>
      <c r="MUG57" s="13"/>
      <c r="MUH57" s="13"/>
      <c r="MUI57" s="13"/>
      <c r="MUJ57" s="13"/>
      <c r="MUK57" s="13"/>
      <c r="MUL57" s="13"/>
      <c r="MUM57" s="13"/>
      <c r="MUN57" s="13"/>
      <c r="MUO57" s="13"/>
      <c r="MUP57" s="13"/>
      <c r="MUQ57" s="13"/>
      <c r="MUR57" s="13"/>
      <c r="MUS57" s="13"/>
      <c r="MUT57" s="13"/>
      <c r="MUU57" s="13"/>
      <c r="MUV57" s="13"/>
      <c r="MUW57" s="13"/>
      <c r="MUX57" s="13"/>
      <c r="MUY57" s="13"/>
      <c r="MUZ57" s="13"/>
      <c r="MVA57" s="13"/>
      <c r="MVB57" s="13"/>
      <c r="MVC57" s="13"/>
      <c r="MVD57" s="13"/>
      <c r="MVE57" s="13"/>
      <c r="MVF57" s="13"/>
      <c r="MVG57" s="13"/>
      <c r="MVH57" s="13"/>
      <c r="MVI57" s="13"/>
      <c r="MVJ57" s="13"/>
      <c r="MVK57" s="13"/>
      <c r="MVL57" s="13"/>
      <c r="MVM57" s="13"/>
      <c r="MVN57" s="13"/>
      <c r="MVO57" s="13"/>
      <c r="MVP57" s="13"/>
      <c r="MVQ57" s="13"/>
      <c r="MVR57" s="13"/>
      <c r="MVS57" s="13"/>
      <c r="MVT57" s="13"/>
      <c r="MVU57" s="13"/>
      <c r="MVV57" s="13"/>
      <c r="MVW57" s="13"/>
      <c r="MVX57" s="13"/>
      <c r="MVY57" s="13"/>
      <c r="MVZ57" s="13"/>
      <c r="MWA57" s="13"/>
      <c r="MWB57" s="13"/>
      <c r="MWC57" s="13"/>
      <c r="MWD57" s="13"/>
      <c r="MWE57" s="13"/>
      <c r="MWF57" s="13"/>
      <c r="MWG57" s="13"/>
      <c r="MWH57" s="13"/>
      <c r="MWI57" s="13"/>
      <c r="MWJ57" s="13"/>
      <c r="MWK57" s="13"/>
      <c r="MWL57" s="13"/>
      <c r="MWM57" s="13"/>
      <c r="MWN57" s="13"/>
      <c r="MWO57" s="13"/>
      <c r="MWP57" s="13"/>
      <c r="MWQ57" s="13"/>
      <c r="MWR57" s="13"/>
      <c r="MWS57" s="13"/>
      <c r="MWT57" s="13"/>
      <c r="MWU57" s="13"/>
      <c r="MWV57" s="13"/>
      <c r="MWW57" s="13"/>
      <c r="MWX57" s="13"/>
      <c r="MWY57" s="13"/>
      <c r="MWZ57" s="13"/>
      <c r="MXA57" s="13"/>
      <c r="MXB57" s="13"/>
      <c r="MXC57" s="13"/>
      <c r="MXD57" s="13"/>
      <c r="MXE57" s="13"/>
      <c r="MXF57" s="13"/>
      <c r="MXG57" s="13"/>
      <c r="MXH57" s="13"/>
      <c r="MXI57" s="13"/>
      <c r="MXJ57" s="13"/>
      <c r="MXK57" s="13"/>
      <c r="MXL57" s="13"/>
      <c r="MXM57" s="13"/>
      <c r="MXN57" s="13"/>
      <c r="MXO57" s="13"/>
      <c r="MXP57" s="13"/>
      <c r="MXQ57" s="13"/>
      <c r="MXR57" s="13"/>
      <c r="MXS57" s="13"/>
      <c r="MXT57" s="13"/>
      <c r="MXU57" s="13"/>
      <c r="MXV57" s="13"/>
      <c r="MXW57" s="13"/>
      <c r="MXX57" s="13"/>
      <c r="MXY57" s="13"/>
      <c r="MXZ57" s="13"/>
      <c r="MYA57" s="13"/>
      <c r="MYB57" s="13"/>
      <c r="MYC57" s="13"/>
      <c r="MYD57" s="13"/>
      <c r="MYE57" s="13"/>
      <c r="MYF57" s="13"/>
      <c r="MYG57" s="13"/>
      <c r="MYH57" s="13"/>
      <c r="MYI57" s="13"/>
      <c r="MYJ57" s="13"/>
      <c r="MYK57" s="13"/>
      <c r="MYL57" s="13"/>
      <c r="MYM57" s="13"/>
      <c r="MYN57" s="13"/>
      <c r="MYO57" s="13"/>
      <c r="MYP57" s="13"/>
      <c r="MYQ57" s="13"/>
      <c r="MYR57" s="13"/>
      <c r="MYS57" s="13"/>
      <c r="MYT57" s="13"/>
      <c r="MYU57" s="13"/>
      <c r="MYV57" s="13"/>
      <c r="MYW57" s="13"/>
      <c r="MYX57" s="13"/>
      <c r="MYY57" s="13"/>
      <c r="MYZ57" s="13"/>
      <c r="MZA57" s="13"/>
      <c r="MZB57" s="13"/>
      <c r="MZC57" s="13"/>
      <c r="MZD57" s="13"/>
      <c r="MZE57" s="13"/>
      <c r="MZF57" s="13"/>
      <c r="MZG57" s="13"/>
      <c r="MZH57" s="13"/>
      <c r="MZI57" s="13"/>
      <c r="MZJ57" s="13"/>
      <c r="MZK57" s="13"/>
      <c r="MZL57" s="13"/>
      <c r="MZM57" s="13"/>
      <c r="MZN57" s="13"/>
      <c r="MZO57" s="13"/>
      <c r="MZP57" s="13"/>
      <c r="MZQ57" s="13"/>
      <c r="MZR57" s="13"/>
      <c r="MZS57" s="13"/>
      <c r="MZT57" s="13"/>
      <c r="MZU57" s="13"/>
      <c r="MZV57" s="13"/>
      <c r="MZW57" s="13"/>
      <c r="MZX57" s="13"/>
      <c r="MZY57" s="13"/>
      <c r="MZZ57" s="13"/>
      <c r="NAA57" s="13"/>
      <c r="NAB57" s="13"/>
      <c r="NAC57" s="13"/>
      <c r="NAD57" s="13"/>
      <c r="NAE57" s="13"/>
      <c r="NAF57" s="13"/>
      <c r="NAG57" s="13"/>
      <c r="NAH57" s="13"/>
      <c r="NAI57" s="13"/>
      <c r="NAJ57" s="13"/>
      <c r="NAK57" s="13"/>
      <c r="NAL57" s="13"/>
      <c r="NAM57" s="13"/>
      <c r="NAN57" s="13"/>
      <c r="NAO57" s="13"/>
      <c r="NAP57" s="13"/>
      <c r="NAQ57" s="13"/>
      <c r="NAR57" s="13"/>
      <c r="NAS57" s="13"/>
      <c r="NAT57" s="13"/>
      <c r="NAU57" s="13"/>
      <c r="NAV57" s="13"/>
      <c r="NAW57" s="13"/>
      <c r="NAX57" s="13"/>
      <c r="NAY57" s="13"/>
      <c r="NAZ57" s="13"/>
      <c r="NBA57" s="13"/>
      <c r="NBB57" s="13"/>
      <c r="NBC57" s="13"/>
      <c r="NBD57" s="13"/>
      <c r="NBE57" s="13"/>
      <c r="NBF57" s="13"/>
      <c r="NBG57" s="13"/>
      <c r="NBH57" s="13"/>
      <c r="NBI57" s="13"/>
      <c r="NBJ57" s="13"/>
      <c r="NBK57" s="13"/>
      <c r="NBL57" s="13"/>
      <c r="NBM57" s="13"/>
      <c r="NBN57" s="13"/>
      <c r="NBO57" s="13"/>
      <c r="NBP57" s="13"/>
      <c r="NBQ57" s="13"/>
      <c r="NBR57" s="13"/>
      <c r="NBS57" s="13"/>
      <c r="NBT57" s="13"/>
      <c r="NBU57" s="13"/>
      <c r="NBV57" s="13"/>
      <c r="NBW57" s="13"/>
      <c r="NBX57" s="13"/>
      <c r="NBY57" s="13"/>
      <c r="NBZ57" s="13"/>
      <c r="NCA57" s="13"/>
      <c r="NCB57" s="13"/>
      <c r="NCC57" s="13"/>
      <c r="NCD57" s="13"/>
      <c r="NCE57" s="13"/>
      <c r="NCF57" s="13"/>
      <c r="NCG57" s="13"/>
      <c r="NCH57" s="13"/>
      <c r="NCI57" s="13"/>
      <c r="NCJ57" s="13"/>
      <c r="NCK57" s="13"/>
      <c r="NCL57" s="13"/>
      <c r="NCM57" s="13"/>
      <c r="NCN57" s="13"/>
      <c r="NCO57" s="13"/>
      <c r="NCP57" s="13"/>
      <c r="NCQ57" s="13"/>
      <c r="NCR57" s="13"/>
      <c r="NCS57" s="13"/>
      <c r="NCT57" s="13"/>
      <c r="NCU57" s="13"/>
      <c r="NCV57" s="13"/>
      <c r="NCW57" s="13"/>
      <c r="NCX57" s="13"/>
      <c r="NCY57" s="13"/>
      <c r="NCZ57" s="13"/>
      <c r="NDA57" s="13"/>
      <c r="NDB57" s="13"/>
      <c r="NDC57" s="13"/>
      <c r="NDD57" s="13"/>
      <c r="NDE57" s="13"/>
      <c r="NDF57" s="13"/>
      <c r="NDG57" s="13"/>
      <c r="NDH57" s="13"/>
      <c r="NDI57" s="13"/>
      <c r="NDJ57" s="13"/>
      <c r="NDK57" s="13"/>
      <c r="NDL57" s="13"/>
      <c r="NDM57" s="13"/>
      <c r="NDN57" s="13"/>
      <c r="NDO57" s="13"/>
      <c r="NDP57" s="13"/>
      <c r="NDQ57" s="13"/>
      <c r="NDR57" s="13"/>
      <c r="NDS57" s="13"/>
      <c r="NDT57" s="13"/>
      <c r="NDU57" s="13"/>
      <c r="NDV57" s="13"/>
      <c r="NDW57" s="13"/>
      <c r="NDX57" s="13"/>
      <c r="NDY57" s="13"/>
      <c r="NDZ57" s="13"/>
      <c r="NEA57" s="13"/>
      <c r="NEB57" s="13"/>
      <c r="NEC57" s="13"/>
      <c r="NED57" s="13"/>
      <c r="NEE57" s="13"/>
      <c r="NEF57" s="13"/>
      <c r="NEG57" s="13"/>
      <c r="NEH57" s="13"/>
      <c r="NEI57" s="13"/>
      <c r="NEJ57" s="13"/>
      <c r="NEK57" s="13"/>
      <c r="NEL57" s="13"/>
      <c r="NEM57" s="13"/>
      <c r="NEN57" s="13"/>
      <c r="NEO57" s="13"/>
      <c r="NEP57" s="13"/>
      <c r="NEQ57" s="13"/>
      <c r="NER57" s="13"/>
      <c r="NES57" s="13"/>
      <c r="NET57" s="13"/>
      <c r="NEU57" s="13"/>
      <c r="NEV57" s="13"/>
      <c r="NEW57" s="13"/>
      <c r="NEX57" s="13"/>
      <c r="NEY57" s="13"/>
      <c r="NEZ57" s="13"/>
      <c r="NFA57" s="13"/>
      <c r="NFB57" s="13"/>
      <c r="NFC57" s="13"/>
      <c r="NFD57" s="13"/>
      <c r="NFE57" s="13"/>
      <c r="NFF57" s="13"/>
      <c r="NFG57" s="13"/>
      <c r="NFH57" s="13"/>
      <c r="NFI57" s="13"/>
      <c r="NFJ57" s="13"/>
      <c r="NFK57" s="13"/>
      <c r="NFL57" s="13"/>
      <c r="NFM57" s="13"/>
      <c r="NFN57" s="13"/>
      <c r="NFO57" s="13"/>
      <c r="NFP57" s="13"/>
      <c r="NFQ57" s="13"/>
      <c r="NFR57" s="13"/>
      <c r="NFS57" s="13"/>
      <c r="NFT57" s="13"/>
      <c r="NFU57" s="13"/>
      <c r="NFV57" s="13"/>
      <c r="NFW57" s="13"/>
      <c r="NFX57" s="13"/>
      <c r="NFY57" s="13"/>
      <c r="NFZ57" s="13"/>
      <c r="NGA57" s="13"/>
      <c r="NGB57" s="13"/>
      <c r="NGC57" s="13"/>
      <c r="NGD57" s="13"/>
      <c r="NGE57" s="13"/>
      <c r="NGF57" s="13"/>
      <c r="NGG57" s="13"/>
      <c r="NGH57" s="13"/>
      <c r="NGI57" s="13"/>
      <c r="NGJ57" s="13"/>
      <c r="NGK57" s="13"/>
      <c r="NGL57" s="13"/>
      <c r="NGM57" s="13"/>
      <c r="NGN57" s="13"/>
      <c r="NGO57" s="13"/>
      <c r="NGP57" s="13"/>
      <c r="NGQ57" s="13"/>
      <c r="NGR57" s="13"/>
      <c r="NGS57" s="13"/>
      <c r="NGT57" s="13"/>
      <c r="NGU57" s="13"/>
      <c r="NGV57" s="13"/>
      <c r="NGW57" s="13"/>
      <c r="NGX57" s="13"/>
      <c r="NGY57" s="13"/>
      <c r="NGZ57" s="13"/>
      <c r="NHA57" s="13"/>
      <c r="NHB57" s="13"/>
      <c r="NHC57" s="13"/>
      <c r="NHD57" s="13"/>
      <c r="NHE57" s="13"/>
      <c r="NHF57" s="13"/>
      <c r="NHG57" s="13"/>
      <c r="NHH57" s="13"/>
      <c r="NHI57" s="13"/>
      <c r="NHJ57" s="13"/>
      <c r="NHK57" s="13"/>
      <c r="NHL57" s="13"/>
      <c r="NHM57" s="13"/>
      <c r="NHN57" s="13"/>
      <c r="NHO57" s="13"/>
      <c r="NHP57" s="13"/>
      <c r="NHQ57" s="13"/>
      <c r="NHR57" s="13"/>
      <c r="NHS57" s="13"/>
      <c r="NHT57" s="13"/>
      <c r="NHU57" s="13"/>
      <c r="NHV57" s="13"/>
      <c r="NHW57" s="13"/>
      <c r="NHX57" s="13"/>
      <c r="NHY57" s="13"/>
      <c r="NHZ57" s="13"/>
      <c r="NIA57" s="13"/>
      <c r="NIB57" s="13"/>
      <c r="NIC57" s="13"/>
      <c r="NID57" s="13"/>
      <c r="NIE57" s="13"/>
      <c r="NIF57" s="13"/>
      <c r="NIG57" s="13"/>
      <c r="NIH57" s="13"/>
      <c r="NII57" s="13"/>
      <c r="NIJ57" s="13"/>
      <c r="NIK57" s="13"/>
      <c r="NIL57" s="13"/>
      <c r="NIM57" s="13"/>
      <c r="NIN57" s="13"/>
      <c r="NIO57" s="13"/>
      <c r="NIP57" s="13"/>
      <c r="NIQ57" s="13"/>
      <c r="NIR57" s="13"/>
      <c r="NIS57" s="13"/>
      <c r="NIT57" s="13"/>
      <c r="NIU57" s="13"/>
      <c r="NIV57" s="13"/>
      <c r="NIW57" s="13"/>
      <c r="NIX57" s="13"/>
      <c r="NIY57" s="13"/>
      <c r="NIZ57" s="13"/>
      <c r="NJA57" s="13"/>
      <c r="NJB57" s="13"/>
      <c r="NJC57" s="13"/>
      <c r="NJD57" s="13"/>
      <c r="NJE57" s="13"/>
      <c r="NJF57" s="13"/>
      <c r="NJG57" s="13"/>
      <c r="NJH57" s="13"/>
      <c r="NJI57" s="13"/>
      <c r="NJJ57" s="13"/>
      <c r="NJK57" s="13"/>
      <c r="NJL57" s="13"/>
      <c r="NJM57" s="13"/>
      <c r="NJN57" s="13"/>
      <c r="NJO57" s="13"/>
      <c r="NJP57" s="13"/>
      <c r="NJQ57" s="13"/>
      <c r="NJR57" s="13"/>
      <c r="NJS57" s="13"/>
      <c r="NJT57" s="13"/>
      <c r="NJU57" s="13"/>
      <c r="NJV57" s="13"/>
      <c r="NJW57" s="13"/>
      <c r="NJX57" s="13"/>
      <c r="NJY57" s="13"/>
      <c r="NJZ57" s="13"/>
      <c r="NKA57" s="13"/>
      <c r="NKB57" s="13"/>
      <c r="NKC57" s="13"/>
      <c r="NKD57" s="13"/>
      <c r="NKE57" s="13"/>
      <c r="NKF57" s="13"/>
      <c r="NKG57" s="13"/>
      <c r="NKH57" s="13"/>
      <c r="NKI57" s="13"/>
      <c r="NKJ57" s="13"/>
      <c r="NKK57" s="13"/>
      <c r="NKL57" s="13"/>
      <c r="NKM57" s="13"/>
      <c r="NKN57" s="13"/>
      <c r="NKO57" s="13"/>
      <c r="NKP57" s="13"/>
      <c r="NKQ57" s="13"/>
      <c r="NKR57" s="13"/>
      <c r="NKS57" s="13"/>
      <c r="NKT57" s="13"/>
      <c r="NKU57" s="13"/>
      <c r="NKV57" s="13"/>
      <c r="NKW57" s="13"/>
      <c r="NKX57" s="13"/>
      <c r="NKY57" s="13"/>
      <c r="NKZ57" s="13"/>
      <c r="NLA57" s="13"/>
      <c r="NLB57" s="13"/>
      <c r="NLC57" s="13"/>
      <c r="NLD57" s="13"/>
      <c r="NLE57" s="13"/>
      <c r="NLF57" s="13"/>
      <c r="NLG57" s="13"/>
      <c r="NLH57" s="13"/>
      <c r="NLI57" s="13"/>
      <c r="NLJ57" s="13"/>
      <c r="NLK57" s="13"/>
      <c r="NLL57" s="13"/>
      <c r="NLM57" s="13"/>
      <c r="NLN57" s="13"/>
      <c r="NLO57" s="13"/>
      <c r="NLP57" s="13"/>
      <c r="NLQ57" s="13"/>
      <c r="NLR57" s="13"/>
      <c r="NLS57" s="13"/>
      <c r="NLT57" s="13"/>
      <c r="NLU57" s="13"/>
      <c r="NLV57" s="13"/>
      <c r="NLW57" s="13"/>
      <c r="NLX57" s="13"/>
      <c r="NLY57" s="13"/>
      <c r="NLZ57" s="13"/>
      <c r="NMA57" s="13"/>
      <c r="NMB57" s="13"/>
      <c r="NMC57" s="13"/>
      <c r="NMD57" s="13"/>
      <c r="NME57" s="13"/>
      <c r="NMF57" s="13"/>
      <c r="NMG57" s="13"/>
      <c r="NMH57" s="13"/>
      <c r="NMI57" s="13"/>
      <c r="NMJ57" s="13"/>
      <c r="NMK57" s="13"/>
      <c r="NML57" s="13"/>
      <c r="NMM57" s="13"/>
      <c r="NMN57" s="13"/>
      <c r="NMO57" s="13"/>
      <c r="NMP57" s="13"/>
      <c r="NMQ57" s="13"/>
      <c r="NMR57" s="13"/>
      <c r="NMS57" s="13"/>
      <c r="NMT57" s="13"/>
      <c r="NMU57" s="13"/>
      <c r="NMV57" s="13"/>
      <c r="NMW57" s="13"/>
      <c r="NMX57" s="13"/>
      <c r="NMY57" s="13"/>
      <c r="NMZ57" s="13"/>
      <c r="NNA57" s="13"/>
      <c r="NNB57" s="13"/>
      <c r="NNC57" s="13"/>
      <c r="NND57" s="13"/>
      <c r="NNE57" s="13"/>
      <c r="NNF57" s="13"/>
      <c r="NNG57" s="13"/>
      <c r="NNH57" s="13"/>
      <c r="NNI57" s="13"/>
      <c r="NNJ57" s="13"/>
      <c r="NNK57" s="13"/>
      <c r="NNL57" s="13"/>
      <c r="NNM57" s="13"/>
      <c r="NNN57" s="13"/>
      <c r="NNO57" s="13"/>
      <c r="NNP57" s="13"/>
      <c r="NNQ57" s="13"/>
      <c r="NNR57" s="13"/>
      <c r="NNS57" s="13"/>
      <c r="NNT57" s="13"/>
      <c r="NNU57" s="13"/>
      <c r="NNV57" s="13"/>
      <c r="NNW57" s="13"/>
      <c r="NNX57" s="13"/>
      <c r="NNY57" s="13"/>
      <c r="NNZ57" s="13"/>
      <c r="NOA57" s="13"/>
      <c r="NOB57" s="13"/>
      <c r="NOC57" s="13"/>
      <c r="NOD57" s="13"/>
      <c r="NOE57" s="13"/>
      <c r="NOF57" s="13"/>
      <c r="NOG57" s="13"/>
      <c r="NOH57" s="13"/>
      <c r="NOI57" s="13"/>
      <c r="NOJ57" s="13"/>
      <c r="NOK57" s="13"/>
      <c r="NOL57" s="13"/>
      <c r="NOM57" s="13"/>
      <c r="NON57" s="13"/>
      <c r="NOO57" s="13"/>
      <c r="NOP57" s="13"/>
      <c r="NOQ57" s="13"/>
      <c r="NOR57" s="13"/>
      <c r="NOS57" s="13"/>
      <c r="NOT57" s="13"/>
      <c r="NOU57" s="13"/>
      <c r="NOV57" s="13"/>
      <c r="NOW57" s="13"/>
      <c r="NOX57" s="13"/>
      <c r="NOY57" s="13"/>
      <c r="NOZ57" s="13"/>
      <c r="NPA57" s="13"/>
      <c r="NPB57" s="13"/>
      <c r="NPC57" s="13"/>
      <c r="NPD57" s="13"/>
      <c r="NPE57" s="13"/>
      <c r="NPF57" s="13"/>
      <c r="NPG57" s="13"/>
      <c r="NPH57" s="13"/>
      <c r="NPI57" s="13"/>
      <c r="NPJ57" s="13"/>
      <c r="NPK57" s="13"/>
      <c r="NPL57" s="13"/>
      <c r="NPM57" s="13"/>
      <c r="NPN57" s="13"/>
      <c r="NPO57" s="13"/>
      <c r="NPP57" s="13"/>
      <c r="NPQ57" s="13"/>
      <c r="NPR57" s="13"/>
      <c r="NPS57" s="13"/>
      <c r="NPT57" s="13"/>
      <c r="NPU57" s="13"/>
      <c r="NPV57" s="13"/>
      <c r="NPW57" s="13"/>
      <c r="NPX57" s="13"/>
      <c r="NPY57" s="13"/>
      <c r="NPZ57" s="13"/>
      <c r="NQA57" s="13"/>
      <c r="NQB57" s="13"/>
      <c r="NQC57" s="13"/>
      <c r="NQD57" s="13"/>
      <c r="NQE57" s="13"/>
      <c r="NQF57" s="13"/>
      <c r="NQG57" s="13"/>
      <c r="NQH57" s="13"/>
      <c r="NQI57" s="13"/>
      <c r="NQJ57" s="13"/>
      <c r="NQK57" s="13"/>
      <c r="NQL57" s="13"/>
      <c r="NQM57" s="13"/>
      <c r="NQN57" s="13"/>
      <c r="NQO57" s="13"/>
      <c r="NQP57" s="13"/>
      <c r="NQQ57" s="13"/>
      <c r="NQR57" s="13"/>
      <c r="NQS57" s="13"/>
      <c r="NQT57" s="13"/>
      <c r="NQU57" s="13"/>
      <c r="NQV57" s="13"/>
      <c r="NQW57" s="13"/>
      <c r="NQX57" s="13"/>
      <c r="NQY57" s="13"/>
      <c r="NQZ57" s="13"/>
      <c r="NRA57" s="13"/>
      <c r="NRB57" s="13"/>
      <c r="NRC57" s="13"/>
      <c r="NRD57" s="13"/>
      <c r="NRE57" s="13"/>
      <c r="NRF57" s="13"/>
      <c r="NRG57" s="13"/>
      <c r="NRH57" s="13"/>
      <c r="NRI57" s="13"/>
      <c r="NRJ57" s="13"/>
      <c r="NRK57" s="13"/>
      <c r="NRL57" s="13"/>
      <c r="NRM57" s="13"/>
      <c r="NRN57" s="13"/>
      <c r="NRO57" s="13"/>
      <c r="NRP57" s="13"/>
      <c r="NRQ57" s="13"/>
      <c r="NRR57" s="13"/>
      <c r="NRS57" s="13"/>
      <c r="NRT57" s="13"/>
      <c r="NRU57" s="13"/>
      <c r="NRV57" s="13"/>
      <c r="NRW57" s="13"/>
      <c r="NRX57" s="13"/>
      <c r="NRY57" s="13"/>
      <c r="NRZ57" s="13"/>
      <c r="NSA57" s="13"/>
      <c r="NSB57" s="13"/>
      <c r="NSC57" s="13"/>
      <c r="NSD57" s="13"/>
      <c r="NSE57" s="13"/>
      <c r="NSF57" s="13"/>
      <c r="NSG57" s="13"/>
      <c r="NSH57" s="13"/>
      <c r="NSI57" s="13"/>
      <c r="NSJ57" s="13"/>
      <c r="NSK57" s="13"/>
      <c r="NSL57" s="13"/>
      <c r="NSM57" s="13"/>
      <c r="NSN57" s="13"/>
      <c r="NSO57" s="13"/>
      <c r="NSP57" s="13"/>
      <c r="NSQ57" s="13"/>
      <c r="NSR57" s="13"/>
      <c r="NSS57" s="13"/>
      <c r="NST57" s="13"/>
      <c r="NSU57" s="13"/>
      <c r="NSV57" s="13"/>
      <c r="NSW57" s="13"/>
      <c r="NSX57" s="13"/>
      <c r="NSY57" s="13"/>
      <c r="NSZ57" s="13"/>
      <c r="NTA57" s="13"/>
      <c r="NTB57" s="13"/>
      <c r="NTC57" s="13"/>
      <c r="NTD57" s="13"/>
      <c r="NTE57" s="13"/>
      <c r="NTF57" s="13"/>
      <c r="NTG57" s="13"/>
      <c r="NTH57" s="13"/>
      <c r="NTI57" s="13"/>
      <c r="NTJ57" s="13"/>
      <c r="NTK57" s="13"/>
      <c r="NTL57" s="13"/>
      <c r="NTM57" s="13"/>
      <c r="NTN57" s="13"/>
      <c r="NTO57" s="13"/>
      <c r="NTP57" s="13"/>
      <c r="NTQ57" s="13"/>
      <c r="NTR57" s="13"/>
      <c r="NTS57" s="13"/>
      <c r="NTT57" s="13"/>
      <c r="NTU57" s="13"/>
      <c r="NTV57" s="13"/>
      <c r="NTW57" s="13"/>
      <c r="NTX57" s="13"/>
      <c r="NTY57" s="13"/>
      <c r="NTZ57" s="13"/>
      <c r="NUA57" s="13"/>
      <c r="NUB57" s="13"/>
      <c r="NUC57" s="13"/>
      <c r="NUD57" s="13"/>
      <c r="NUE57" s="13"/>
      <c r="NUF57" s="13"/>
      <c r="NUG57" s="13"/>
      <c r="NUH57" s="13"/>
      <c r="NUI57" s="13"/>
      <c r="NUJ57" s="13"/>
      <c r="NUK57" s="13"/>
      <c r="NUL57" s="13"/>
      <c r="NUM57" s="13"/>
      <c r="NUN57" s="13"/>
      <c r="NUO57" s="13"/>
      <c r="NUP57" s="13"/>
      <c r="NUQ57" s="13"/>
      <c r="NUR57" s="13"/>
      <c r="NUS57" s="13"/>
      <c r="NUT57" s="13"/>
      <c r="NUU57" s="13"/>
      <c r="NUV57" s="13"/>
      <c r="NUW57" s="13"/>
      <c r="NUX57" s="13"/>
      <c r="NUY57" s="13"/>
      <c r="NUZ57" s="13"/>
      <c r="NVA57" s="13"/>
      <c r="NVB57" s="13"/>
      <c r="NVC57" s="13"/>
      <c r="NVD57" s="13"/>
      <c r="NVE57" s="13"/>
      <c r="NVF57" s="13"/>
      <c r="NVG57" s="13"/>
      <c r="NVH57" s="13"/>
      <c r="NVI57" s="13"/>
      <c r="NVJ57" s="13"/>
      <c r="NVK57" s="13"/>
      <c r="NVL57" s="13"/>
      <c r="NVM57" s="13"/>
      <c r="NVN57" s="13"/>
      <c r="NVO57" s="13"/>
      <c r="NVP57" s="13"/>
      <c r="NVQ57" s="13"/>
      <c r="NVR57" s="13"/>
      <c r="NVS57" s="13"/>
      <c r="NVT57" s="13"/>
      <c r="NVU57" s="13"/>
      <c r="NVV57" s="13"/>
      <c r="NVW57" s="13"/>
      <c r="NVX57" s="13"/>
      <c r="NVY57" s="13"/>
      <c r="NVZ57" s="13"/>
      <c r="NWA57" s="13"/>
      <c r="NWB57" s="13"/>
      <c r="NWC57" s="13"/>
      <c r="NWD57" s="13"/>
      <c r="NWE57" s="13"/>
      <c r="NWF57" s="13"/>
      <c r="NWG57" s="13"/>
      <c r="NWH57" s="13"/>
      <c r="NWI57" s="13"/>
      <c r="NWJ57" s="13"/>
      <c r="NWK57" s="13"/>
      <c r="NWL57" s="13"/>
      <c r="NWM57" s="13"/>
      <c r="NWN57" s="13"/>
      <c r="NWO57" s="13"/>
      <c r="NWP57" s="13"/>
      <c r="NWQ57" s="13"/>
      <c r="NWR57" s="13"/>
      <c r="NWS57" s="13"/>
      <c r="NWT57" s="13"/>
      <c r="NWU57" s="13"/>
      <c r="NWV57" s="13"/>
      <c r="NWW57" s="13"/>
      <c r="NWX57" s="13"/>
      <c r="NWY57" s="13"/>
      <c r="NWZ57" s="13"/>
      <c r="NXA57" s="13"/>
      <c r="NXB57" s="13"/>
      <c r="NXC57" s="13"/>
      <c r="NXD57" s="13"/>
      <c r="NXE57" s="13"/>
      <c r="NXF57" s="13"/>
      <c r="NXG57" s="13"/>
      <c r="NXH57" s="13"/>
      <c r="NXI57" s="13"/>
      <c r="NXJ57" s="13"/>
      <c r="NXK57" s="13"/>
      <c r="NXL57" s="13"/>
      <c r="NXM57" s="13"/>
      <c r="NXN57" s="13"/>
      <c r="NXO57" s="13"/>
      <c r="NXP57" s="13"/>
      <c r="NXQ57" s="13"/>
      <c r="NXR57" s="13"/>
      <c r="NXS57" s="13"/>
      <c r="NXT57" s="13"/>
      <c r="NXU57" s="13"/>
      <c r="NXV57" s="13"/>
      <c r="NXW57" s="13"/>
      <c r="NXX57" s="13"/>
      <c r="NXY57" s="13"/>
      <c r="NXZ57" s="13"/>
      <c r="NYA57" s="13"/>
      <c r="NYB57" s="13"/>
      <c r="NYC57" s="13"/>
      <c r="NYD57" s="13"/>
      <c r="NYE57" s="13"/>
      <c r="NYF57" s="13"/>
      <c r="NYG57" s="13"/>
      <c r="NYH57" s="13"/>
      <c r="NYI57" s="13"/>
      <c r="NYJ57" s="13"/>
      <c r="NYK57" s="13"/>
      <c r="NYL57" s="13"/>
      <c r="NYM57" s="13"/>
      <c r="NYN57" s="13"/>
      <c r="NYO57" s="13"/>
      <c r="NYP57" s="13"/>
      <c r="NYQ57" s="13"/>
      <c r="NYR57" s="13"/>
      <c r="NYS57" s="13"/>
      <c r="NYT57" s="13"/>
      <c r="NYU57" s="13"/>
      <c r="NYV57" s="13"/>
      <c r="NYW57" s="13"/>
      <c r="NYX57" s="13"/>
      <c r="NYY57" s="13"/>
      <c r="NYZ57" s="13"/>
      <c r="NZA57" s="13"/>
      <c r="NZB57" s="13"/>
      <c r="NZC57" s="13"/>
      <c r="NZD57" s="13"/>
      <c r="NZE57" s="13"/>
      <c r="NZF57" s="13"/>
      <c r="NZG57" s="13"/>
      <c r="NZH57" s="13"/>
      <c r="NZI57" s="13"/>
      <c r="NZJ57" s="13"/>
      <c r="NZK57" s="13"/>
      <c r="NZL57" s="13"/>
      <c r="NZM57" s="13"/>
      <c r="NZN57" s="13"/>
      <c r="NZO57" s="13"/>
      <c r="NZP57" s="13"/>
      <c r="NZQ57" s="13"/>
      <c r="NZR57" s="13"/>
      <c r="NZS57" s="13"/>
      <c r="NZT57" s="13"/>
      <c r="NZU57" s="13"/>
      <c r="NZV57" s="13"/>
      <c r="NZW57" s="13"/>
      <c r="NZX57" s="13"/>
      <c r="NZY57" s="13"/>
      <c r="NZZ57" s="13"/>
      <c r="OAA57" s="13"/>
      <c r="OAB57" s="13"/>
      <c r="OAC57" s="13"/>
      <c r="OAD57" s="13"/>
      <c r="OAE57" s="13"/>
      <c r="OAF57" s="13"/>
      <c r="OAG57" s="13"/>
      <c r="OAH57" s="13"/>
      <c r="OAI57" s="13"/>
      <c r="OAJ57" s="13"/>
      <c r="OAK57" s="13"/>
      <c r="OAL57" s="13"/>
      <c r="OAM57" s="13"/>
      <c r="OAN57" s="13"/>
      <c r="OAO57" s="13"/>
      <c r="OAP57" s="13"/>
      <c r="OAQ57" s="13"/>
      <c r="OAR57" s="13"/>
      <c r="OAS57" s="13"/>
      <c r="OAT57" s="13"/>
      <c r="OAU57" s="13"/>
      <c r="OAV57" s="13"/>
      <c r="OAW57" s="13"/>
      <c r="OAX57" s="13"/>
      <c r="OAY57" s="13"/>
      <c r="OAZ57" s="13"/>
      <c r="OBA57" s="13"/>
      <c r="OBB57" s="13"/>
      <c r="OBC57" s="13"/>
      <c r="OBD57" s="13"/>
      <c r="OBE57" s="13"/>
      <c r="OBF57" s="13"/>
      <c r="OBG57" s="13"/>
      <c r="OBH57" s="13"/>
      <c r="OBI57" s="13"/>
      <c r="OBJ57" s="13"/>
      <c r="OBK57" s="13"/>
      <c r="OBL57" s="13"/>
      <c r="OBM57" s="13"/>
      <c r="OBN57" s="13"/>
      <c r="OBO57" s="13"/>
      <c r="OBP57" s="13"/>
      <c r="OBQ57" s="13"/>
      <c r="OBR57" s="13"/>
      <c r="OBS57" s="13"/>
      <c r="OBT57" s="13"/>
      <c r="OBU57" s="13"/>
      <c r="OBV57" s="13"/>
      <c r="OBW57" s="13"/>
      <c r="OBX57" s="13"/>
      <c r="OBY57" s="13"/>
      <c r="OBZ57" s="13"/>
      <c r="OCA57" s="13"/>
      <c r="OCB57" s="13"/>
      <c r="OCC57" s="13"/>
      <c r="OCD57" s="13"/>
      <c r="OCE57" s="13"/>
      <c r="OCF57" s="13"/>
      <c r="OCG57" s="13"/>
      <c r="OCH57" s="13"/>
      <c r="OCI57" s="13"/>
      <c r="OCJ57" s="13"/>
      <c r="OCK57" s="13"/>
      <c r="OCL57" s="13"/>
      <c r="OCM57" s="13"/>
      <c r="OCN57" s="13"/>
      <c r="OCO57" s="13"/>
      <c r="OCP57" s="13"/>
      <c r="OCQ57" s="13"/>
      <c r="OCR57" s="13"/>
      <c r="OCS57" s="13"/>
      <c r="OCT57" s="13"/>
      <c r="OCU57" s="13"/>
      <c r="OCV57" s="13"/>
      <c r="OCW57" s="13"/>
      <c r="OCX57" s="13"/>
      <c r="OCY57" s="13"/>
      <c r="OCZ57" s="13"/>
      <c r="ODA57" s="13"/>
      <c r="ODB57" s="13"/>
      <c r="ODC57" s="13"/>
      <c r="ODD57" s="13"/>
      <c r="ODE57" s="13"/>
      <c r="ODF57" s="13"/>
      <c r="ODG57" s="13"/>
      <c r="ODH57" s="13"/>
      <c r="ODI57" s="13"/>
      <c r="ODJ57" s="13"/>
      <c r="ODK57" s="13"/>
      <c r="ODL57" s="13"/>
      <c r="ODM57" s="13"/>
      <c r="ODN57" s="13"/>
      <c r="ODO57" s="13"/>
      <c r="ODP57" s="13"/>
      <c r="ODQ57" s="13"/>
      <c r="ODR57" s="13"/>
      <c r="ODS57" s="13"/>
      <c r="ODT57" s="13"/>
      <c r="ODU57" s="13"/>
      <c r="ODV57" s="13"/>
      <c r="ODW57" s="13"/>
      <c r="ODX57" s="13"/>
      <c r="ODY57" s="13"/>
      <c r="ODZ57" s="13"/>
      <c r="OEA57" s="13"/>
      <c r="OEB57" s="13"/>
      <c r="OEC57" s="13"/>
      <c r="OED57" s="13"/>
      <c r="OEE57" s="13"/>
      <c r="OEF57" s="13"/>
      <c r="OEG57" s="13"/>
      <c r="OEH57" s="13"/>
      <c r="OEI57" s="13"/>
      <c r="OEJ57" s="13"/>
      <c r="OEK57" s="13"/>
      <c r="OEL57" s="13"/>
      <c r="OEM57" s="13"/>
      <c r="OEN57" s="13"/>
      <c r="OEO57" s="13"/>
      <c r="OEP57" s="13"/>
      <c r="OEQ57" s="13"/>
      <c r="OER57" s="13"/>
      <c r="OES57" s="13"/>
      <c r="OET57" s="13"/>
      <c r="OEU57" s="13"/>
      <c r="OEV57" s="13"/>
      <c r="OEW57" s="13"/>
      <c r="OEX57" s="13"/>
      <c r="OEY57" s="13"/>
      <c r="OEZ57" s="13"/>
      <c r="OFA57" s="13"/>
      <c r="OFB57" s="13"/>
      <c r="OFC57" s="13"/>
      <c r="OFD57" s="13"/>
      <c r="OFE57" s="13"/>
      <c r="OFF57" s="13"/>
      <c r="OFG57" s="13"/>
      <c r="OFH57" s="13"/>
      <c r="OFI57" s="13"/>
      <c r="OFJ57" s="13"/>
      <c r="OFK57" s="13"/>
      <c r="OFL57" s="13"/>
      <c r="OFM57" s="13"/>
      <c r="OFN57" s="13"/>
      <c r="OFO57" s="13"/>
      <c r="OFP57" s="13"/>
      <c r="OFQ57" s="13"/>
      <c r="OFR57" s="13"/>
      <c r="OFS57" s="13"/>
      <c r="OFT57" s="13"/>
      <c r="OFU57" s="13"/>
      <c r="OFV57" s="13"/>
      <c r="OFW57" s="13"/>
      <c r="OFX57" s="13"/>
      <c r="OFY57" s="13"/>
      <c r="OFZ57" s="13"/>
      <c r="OGA57" s="13"/>
      <c r="OGB57" s="13"/>
      <c r="OGC57" s="13"/>
      <c r="OGD57" s="13"/>
      <c r="OGE57" s="13"/>
      <c r="OGF57" s="13"/>
      <c r="OGG57" s="13"/>
      <c r="OGH57" s="13"/>
      <c r="OGI57" s="13"/>
      <c r="OGJ57" s="13"/>
      <c r="OGK57" s="13"/>
      <c r="OGL57" s="13"/>
      <c r="OGM57" s="13"/>
      <c r="OGN57" s="13"/>
      <c r="OGO57" s="13"/>
      <c r="OGP57" s="13"/>
      <c r="OGQ57" s="13"/>
      <c r="OGR57" s="13"/>
      <c r="OGS57" s="13"/>
      <c r="OGT57" s="13"/>
      <c r="OGU57" s="13"/>
      <c r="OGV57" s="13"/>
      <c r="OGW57" s="13"/>
      <c r="OGX57" s="13"/>
      <c r="OGY57" s="13"/>
      <c r="OGZ57" s="13"/>
      <c r="OHA57" s="13"/>
      <c r="OHB57" s="13"/>
      <c r="OHC57" s="13"/>
      <c r="OHD57" s="13"/>
      <c r="OHE57" s="13"/>
      <c r="OHF57" s="13"/>
      <c r="OHG57" s="13"/>
      <c r="OHH57" s="13"/>
      <c r="OHI57" s="13"/>
      <c r="OHJ57" s="13"/>
      <c r="OHK57" s="13"/>
      <c r="OHL57" s="13"/>
      <c r="OHM57" s="13"/>
      <c r="OHN57" s="13"/>
      <c r="OHO57" s="13"/>
      <c r="OHP57" s="13"/>
      <c r="OHQ57" s="13"/>
      <c r="OHR57" s="13"/>
      <c r="OHS57" s="13"/>
      <c r="OHT57" s="13"/>
      <c r="OHU57" s="13"/>
      <c r="OHV57" s="13"/>
      <c r="OHW57" s="13"/>
      <c r="OHX57" s="13"/>
      <c r="OHY57" s="13"/>
      <c r="OHZ57" s="13"/>
      <c r="OIA57" s="13"/>
      <c r="OIB57" s="13"/>
      <c r="OIC57" s="13"/>
      <c r="OID57" s="13"/>
      <c r="OIE57" s="13"/>
      <c r="OIF57" s="13"/>
      <c r="OIG57" s="13"/>
      <c r="OIH57" s="13"/>
      <c r="OII57" s="13"/>
      <c r="OIJ57" s="13"/>
      <c r="OIK57" s="13"/>
      <c r="OIL57" s="13"/>
      <c r="OIM57" s="13"/>
      <c r="OIN57" s="13"/>
      <c r="OIO57" s="13"/>
      <c r="OIP57" s="13"/>
      <c r="OIQ57" s="13"/>
      <c r="OIR57" s="13"/>
      <c r="OIS57" s="13"/>
      <c r="OIT57" s="13"/>
      <c r="OIU57" s="13"/>
      <c r="OIV57" s="13"/>
      <c r="OIW57" s="13"/>
      <c r="OIX57" s="13"/>
      <c r="OIY57" s="13"/>
      <c r="OIZ57" s="13"/>
      <c r="OJA57" s="13"/>
      <c r="OJB57" s="13"/>
      <c r="OJC57" s="13"/>
      <c r="OJD57" s="13"/>
      <c r="OJE57" s="13"/>
      <c r="OJF57" s="13"/>
      <c r="OJG57" s="13"/>
      <c r="OJH57" s="13"/>
      <c r="OJI57" s="13"/>
      <c r="OJJ57" s="13"/>
      <c r="OJK57" s="13"/>
      <c r="OJL57" s="13"/>
      <c r="OJM57" s="13"/>
      <c r="OJN57" s="13"/>
      <c r="OJO57" s="13"/>
      <c r="OJP57" s="13"/>
      <c r="OJQ57" s="13"/>
      <c r="OJR57" s="13"/>
      <c r="OJS57" s="13"/>
      <c r="OJT57" s="13"/>
      <c r="OJU57" s="13"/>
      <c r="OJV57" s="13"/>
      <c r="OJW57" s="13"/>
      <c r="OJX57" s="13"/>
      <c r="OJY57" s="13"/>
      <c r="OJZ57" s="13"/>
      <c r="OKA57" s="13"/>
      <c r="OKB57" s="13"/>
      <c r="OKC57" s="13"/>
      <c r="OKD57" s="13"/>
      <c r="OKE57" s="13"/>
      <c r="OKF57" s="13"/>
      <c r="OKG57" s="13"/>
      <c r="OKH57" s="13"/>
      <c r="OKI57" s="13"/>
      <c r="OKJ57" s="13"/>
      <c r="OKK57" s="13"/>
      <c r="OKL57" s="13"/>
      <c r="OKM57" s="13"/>
      <c r="OKN57" s="13"/>
      <c r="OKO57" s="13"/>
      <c r="OKP57" s="13"/>
      <c r="OKQ57" s="13"/>
      <c r="OKR57" s="13"/>
      <c r="OKS57" s="13"/>
      <c r="OKT57" s="13"/>
      <c r="OKU57" s="13"/>
      <c r="OKV57" s="13"/>
      <c r="OKW57" s="13"/>
      <c r="OKX57" s="13"/>
      <c r="OKY57" s="13"/>
      <c r="OKZ57" s="13"/>
      <c r="OLA57" s="13"/>
      <c r="OLB57" s="13"/>
      <c r="OLC57" s="13"/>
      <c r="OLD57" s="13"/>
      <c r="OLE57" s="13"/>
      <c r="OLF57" s="13"/>
      <c r="OLG57" s="13"/>
      <c r="OLH57" s="13"/>
      <c r="OLI57" s="13"/>
      <c r="OLJ57" s="13"/>
      <c r="OLK57" s="13"/>
      <c r="OLL57" s="13"/>
      <c r="OLM57" s="13"/>
      <c r="OLN57" s="13"/>
      <c r="OLO57" s="13"/>
      <c r="OLP57" s="13"/>
      <c r="OLQ57" s="13"/>
      <c r="OLR57" s="13"/>
      <c r="OLS57" s="13"/>
      <c r="OLT57" s="13"/>
      <c r="OLU57" s="13"/>
      <c r="OLV57" s="13"/>
      <c r="OLW57" s="13"/>
      <c r="OLX57" s="13"/>
      <c r="OLY57" s="13"/>
      <c r="OLZ57" s="13"/>
      <c r="OMA57" s="13"/>
      <c r="OMB57" s="13"/>
      <c r="OMC57" s="13"/>
      <c r="OMD57" s="13"/>
      <c r="OME57" s="13"/>
      <c r="OMF57" s="13"/>
      <c r="OMG57" s="13"/>
      <c r="OMH57" s="13"/>
      <c r="OMI57" s="13"/>
      <c r="OMJ57" s="13"/>
      <c r="OMK57" s="13"/>
      <c r="OML57" s="13"/>
      <c r="OMM57" s="13"/>
      <c r="OMN57" s="13"/>
      <c r="OMO57" s="13"/>
      <c r="OMP57" s="13"/>
      <c r="OMQ57" s="13"/>
      <c r="OMR57" s="13"/>
      <c r="OMS57" s="13"/>
      <c r="OMT57" s="13"/>
      <c r="OMU57" s="13"/>
      <c r="OMV57" s="13"/>
      <c r="OMW57" s="13"/>
      <c r="OMX57" s="13"/>
      <c r="OMY57" s="13"/>
      <c r="OMZ57" s="13"/>
      <c r="ONA57" s="13"/>
      <c r="ONB57" s="13"/>
      <c r="ONC57" s="13"/>
      <c r="OND57" s="13"/>
      <c r="ONE57" s="13"/>
      <c r="ONF57" s="13"/>
      <c r="ONG57" s="13"/>
      <c r="ONH57" s="13"/>
      <c r="ONI57" s="13"/>
      <c r="ONJ57" s="13"/>
      <c r="ONK57" s="13"/>
      <c r="ONL57" s="13"/>
      <c r="ONM57" s="13"/>
      <c r="ONN57" s="13"/>
      <c r="ONO57" s="13"/>
      <c r="ONP57" s="13"/>
      <c r="ONQ57" s="13"/>
      <c r="ONR57" s="13"/>
      <c r="ONS57" s="13"/>
      <c r="ONT57" s="13"/>
      <c r="ONU57" s="13"/>
      <c r="ONV57" s="13"/>
      <c r="ONW57" s="13"/>
      <c r="ONX57" s="13"/>
      <c r="ONY57" s="13"/>
      <c r="ONZ57" s="13"/>
      <c r="OOA57" s="13"/>
      <c r="OOB57" s="13"/>
      <c r="OOC57" s="13"/>
      <c r="OOD57" s="13"/>
      <c r="OOE57" s="13"/>
      <c r="OOF57" s="13"/>
      <c r="OOG57" s="13"/>
      <c r="OOH57" s="13"/>
      <c r="OOI57" s="13"/>
      <c r="OOJ57" s="13"/>
      <c r="OOK57" s="13"/>
      <c r="OOL57" s="13"/>
      <c r="OOM57" s="13"/>
      <c r="OON57" s="13"/>
      <c r="OOO57" s="13"/>
      <c r="OOP57" s="13"/>
      <c r="OOQ57" s="13"/>
      <c r="OOR57" s="13"/>
      <c r="OOS57" s="13"/>
      <c r="OOT57" s="13"/>
      <c r="OOU57" s="13"/>
      <c r="OOV57" s="13"/>
      <c r="OOW57" s="13"/>
      <c r="OOX57" s="13"/>
      <c r="OOY57" s="13"/>
      <c r="OOZ57" s="13"/>
      <c r="OPA57" s="13"/>
      <c r="OPB57" s="13"/>
      <c r="OPC57" s="13"/>
      <c r="OPD57" s="13"/>
      <c r="OPE57" s="13"/>
      <c r="OPF57" s="13"/>
      <c r="OPG57" s="13"/>
      <c r="OPH57" s="13"/>
      <c r="OPI57" s="13"/>
      <c r="OPJ57" s="13"/>
      <c r="OPK57" s="13"/>
      <c r="OPL57" s="13"/>
      <c r="OPM57" s="13"/>
      <c r="OPN57" s="13"/>
      <c r="OPO57" s="13"/>
      <c r="OPP57" s="13"/>
      <c r="OPQ57" s="13"/>
      <c r="OPR57" s="13"/>
      <c r="OPS57" s="13"/>
      <c r="OPT57" s="13"/>
      <c r="OPU57" s="13"/>
      <c r="OPV57" s="13"/>
      <c r="OPW57" s="13"/>
      <c r="OPX57" s="13"/>
      <c r="OPY57" s="13"/>
      <c r="OPZ57" s="13"/>
      <c r="OQA57" s="13"/>
      <c r="OQB57" s="13"/>
      <c r="OQC57" s="13"/>
      <c r="OQD57" s="13"/>
      <c r="OQE57" s="13"/>
      <c r="OQF57" s="13"/>
      <c r="OQG57" s="13"/>
      <c r="OQH57" s="13"/>
      <c r="OQI57" s="13"/>
      <c r="OQJ57" s="13"/>
      <c r="OQK57" s="13"/>
      <c r="OQL57" s="13"/>
      <c r="OQM57" s="13"/>
      <c r="OQN57" s="13"/>
      <c r="OQO57" s="13"/>
      <c r="OQP57" s="13"/>
      <c r="OQQ57" s="13"/>
      <c r="OQR57" s="13"/>
      <c r="OQS57" s="13"/>
      <c r="OQT57" s="13"/>
      <c r="OQU57" s="13"/>
      <c r="OQV57" s="13"/>
      <c r="OQW57" s="13"/>
      <c r="OQX57" s="13"/>
      <c r="OQY57" s="13"/>
      <c r="OQZ57" s="13"/>
      <c r="ORA57" s="13"/>
      <c r="ORB57" s="13"/>
      <c r="ORC57" s="13"/>
      <c r="ORD57" s="13"/>
      <c r="ORE57" s="13"/>
      <c r="ORF57" s="13"/>
      <c r="ORG57" s="13"/>
      <c r="ORH57" s="13"/>
      <c r="ORI57" s="13"/>
      <c r="ORJ57" s="13"/>
      <c r="ORK57" s="13"/>
      <c r="ORL57" s="13"/>
      <c r="ORM57" s="13"/>
      <c r="ORN57" s="13"/>
      <c r="ORO57" s="13"/>
      <c r="ORP57" s="13"/>
      <c r="ORQ57" s="13"/>
      <c r="ORR57" s="13"/>
      <c r="ORS57" s="13"/>
      <c r="ORT57" s="13"/>
      <c r="ORU57" s="13"/>
      <c r="ORV57" s="13"/>
      <c r="ORW57" s="13"/>
      <c r="ORX57" s="13"/>
      <c r="ORY57" s="13"/>
      <c r="ORZ57" s="13"/>
      <c r="OSA57" s="13"/>
      <c r="OSB57" s="13"/>
      <c r="OSC57" s="13"/>
      <c r="OSD57" s="13"/>
      <c r="OSE57" s="13"/>
      <c r="OSF57" s="13"/>
      <c r="OSG57" s="13"/>
      <c r="OSH57" s="13"/>
      <c r="OSI57" s="13"/>
      <c r="OSJ57" s="13"/>
      <c r="OSK57" s="13"/>
      <c r="OSL57" s="13"/>
      <c r="OSM57" s="13"/>
      <c r="OSN57" s="13"/>
      <c r="OSO57" s="13"/>
      <c r="OSP57" s="13"/>
      <c r="OSQ57" s="13"/>
      <c r="OSR57" s="13"/>
      <c r="OSS57" s="13"/>
      <c r="OST57" s="13"/>
      <c r="OSU57" s="13"/>
      <c r="OSV57" s="13"/>
      <c r="OSW57" s="13"/>
      <c r="OSX57" s="13"/>
      <c r="OSY57" s="13"/>
      <c r="OSZ57" s="13"/>
      <c r="OTA57" s="13"/>
      <c r="OTB57" s="13"/>
      <c r="OTC57" s="13"/>
      <c r="OTD57" s="13"/>
      <c r="OTE57" s="13"/>
      <c r="OTF57" s="13"/>
      <c r="OTG57" s="13"/>
      <c r="OTH57" s="13"/>
      <c r="OTI57" s="13"/>
      <c r="OTJ57" s="13"/>
      <c r="OTK57" s="13"/>
      <c r="OTL57" s="13"/>
      <c r="OTM57" s="13"/>
      <c r="OTN57" s="13"/>
      <c r="OTO57" s="13"/>
      <c r="OTP57" s="13"/>
      <c r="OTQ57" s="13"/>
      <c r="OTR57" s="13"/>
      <c r="OTS57" s="13"/>
      <c r="OTT57" s="13"/>
      <c r="OTU57" s="13"/>
      <c r="OTV57" s="13"/>
      <c r="OTW57" s="13"/>
      <c r="OTX57" s="13"/>
      <c r="OTY57" s="13"/>
      <c r="OTZ57" s="13"/>
      <c r="OUA57" s="13"/>
      <c r="OUB57" s="13"/>
      <c r="OUC57" s="13"/>
      <c r="OUD57" s="13"/>
      <c r="OUE57" s="13"/>
      <c r="OUF57" s="13"/>
      <c r="OUG57" s="13"/>
      <c r="OUH57" s="13"/>
      <c r="OUI57" s="13"/>
      <c r="OUJ57" s="13"/>
      <c r="OUK57" s="13"/>
      <c r="OUL57" s="13"/>
      <c r="OUM57" s="13"/>
      <c r="OUN57" s="13"/>
      <c r="OUO57" s="13"/>
      <c r="OUP57" s="13"/>
      <c r="OUQ57" s="13"/>
      <c r="OUR57" s="13"/>
      <c r="OUS57" s="13"/>
      <c r="OUT57" s="13"/>
      <c r="OUU57" s="13"/>
      <c r="OUV57" s="13"/>
      <c r="OUW57" s="13"/>
      <c r="OUX57" s="13"/>
      <c r="OUY57" s="13"/>
      <c r="OUZ57" s="13"/>
      <c r="OVA57" s="13"/>
      <c r="OVB57" s="13"/>
      <c r="OVC57" s="13"/>
      <c r="OVD57" s="13"/>
      <c r="OVE57" s="13"/>
      <c r="OVF57" s="13"/>
      <c r="OVG57" s="13"/>
      <c r="OVH57" s="13"/>
      <c r="OVI57" s="13"/>
      <c r="OVJ57" s="13"/>
      <c r="OVK57" s="13"/>
      <c r="OVL57" s="13"/>
      <c r="OVM57" s="13"/>
      <c r="OVN57" s="13"/>
      <c r="OVO57" s="13"/>
      <c r="OVP57" s="13"/>
      <c r="OVQ57" s="13"/>
      <c r="OVR57" s="13"/>
      <c r="OVS57" s="13"/>
      <c r="OVT57" s="13"/>
      <c r="OVU57" s="13"/>
      <c r="OVV57" s="13"/>
      <c r="OVW57" s="13"/>
      <c r="OVX57" s="13"/>
      <c r="OVY57" s="13"/>
      <c r="OVZ57" s="13"/>
      <c r="OWA57" s="13"/>
      <c r="OWB57" s="13"/>
      <c r="OWC57" s="13"/>
      <c r="OWD57" s="13"/>
      <c r="OWE57" s="13"/>
      <c r="OWF57" s="13"/>
      <c r="OWG57" s="13"/>
      <c r="OWH57" s="13"/>
      <c r="OWI57" s="13"/>
      <c r="OWJ57" s="13"/>
      <c r="OWK57" s="13"/>
      <c r="OWL57" s="13"/>
      <c r="OWM57" s="13"/>
      <c r="OWN57" s="13"/>
      <c r="OWO57" s="13"/>
      <c r="OWP57" s="13"/>
      <c r="OWQ57" s="13"/>
      <c r="OWR57" s="13"/>
      <c r="OWS57" s="13"/>
      <c r="OWT57" s="13"/>
      <c r="OWU57" s="13"/>
      <c r="OWV57" s="13"/>
      <c r="OWW57" s="13"/>
      <c r="OWX57" s="13"/>
      <c r="OWY57" s="13"/>
      <c r="OWZ57" s="13"/>
      <c r="OXA57" s="13"/>
      <c r="OXB57" s="13"/>
      <c r="OXC57" s="13"/>
      <c r="OXD57" s="13"/>
      <c r="OXE57" s="13"/>
      <c r="OXF57" s="13"/>
      <c r="OXG57" s="13"/>
      <c r="OXH57" s="13"/>
      <c r="OXI57" s="13"/>
      <c r="OXJ57" s="13"/>
      <c r="OXK57" s="13"/>
      <c r="OXL57" s="13"/>
      <c r="OXM57" s="13"/>
      <c r="OXN57" s="13"/>
      <c r="OXO57" s="13"/>
      <c r="OXP57" s="13"/>
      <c r="OXQ57" s="13"/>
      <c r="OXR57" s="13"/>
      <c r="OXS57" s="13"/>
      <c r="OXT57" s="13"/>
      <c r="OXU57" s="13"/>
      <c r="OXV57" s="13"/>
      <c r="OXW57" s="13"/>
      <c r="OXX57" s="13"/>
      <c r="OXY57" s="13"/>
      <c r="OXZ57" s="13"/>
      <c r="OYA57" s="13"/>
      <c r="OYB57" s="13"/>
      <c r="OYC57" s="13"/>
      <c r="OYD57" s="13"/>
      <c r="OYE57" s="13"/>
      <c r="OYF57" s="13"/>
      <c r="OYG57" s="13"/>
      <c r="OYH57" s="13"/>
      <c r="OYI57" s="13"/>
      <c r="OYJ57" s="13"/>
      <c r="OYK57" s="13"/>
      <c r="OYL57" s="13"/>
      <c r="OYM57" s="13"/>
      <c r="OYN57" s="13"/>
      <c r="OYO57" s="13"/>
      <c r="OYP57" s="13"/>
      <c r="OYQ57" s="13"/>
      <c r="OYR57" s="13"/>
      <c r="OYS57" s="13"/>
      <c r="OYT57" s="13"/>
      <c r="OYU57" s="13"/>
      <c r="OYV57" s="13"/>
      <c r="OYW57" s="13"/>
      <c r="OYX57" s="13"/>
      <c r="OYY57" s="13"/>
      <c r="OYZ57" s="13"/>
      <c r="OZA57" s="13"/>
      <c r="OZB57" s="13"/>
      <c r="OZC57" s="13"/>
      <c r="OZD57" s="13"/>
      <c r="OZE57" s="13"/>
      <c r="OZF57" s="13"/>
      <c r="OZG57" s="13"/>
      <c r="OZH57" s="13"/>
      <c r="OZI57" s="13"/>
      <c r="OZJ57" s="13"/>
      <c r="OZK57" s="13"/>
      <c r="OZL57" s="13"/>
      <c r="OZM57" s="13"/>
      <c r="OZN57" s="13"/>
      <c r="OZO57" s="13"/>
      <c r="OZP57" s="13"/>
      <c r="OZQ57" s="13"/>
      <c r="OZR57" s="13"/>
      <c r="OZS57" s="13"/>
      <c r="OZT57" s="13"/>
      <c r="OZU57" s="13"/>
      <c r="OZV57" s="13"/>
      <c r="OZW57" s="13"/>
      <c r="OZX57" s="13"/>
      <c r="OZY57" s="13"/>
      <c r="OZZ57" s="13"/>
      <c r="PAA57" s="13"/>
      <c r="PAB57" s="13"/>
      <c r="PAC57" s="13"/>
      <c r="PAD57" s="13"/>
      <c r="PAE57" s="13"/>
      <c r="PAF57" s="13"/>
      <c r="PAG57" s="13"/>
      <c r="PAH57" s="13"/>
      <c r="PAI57" s="13"/>
      <c r="PAJ57" s="13"/>
      <c r="PAK57" s="13"/>
      <c r="PAL57" s="13"/>
      <c r="PAM57" s="13"/>
      <c r="PAN57" s="13"/>
      <c r="PAO57" s="13"/>
      <c r="PAP57" s="13"/>
      <c r="PAQ57" s="13"/>
      <c r="PAR57" s="13"/>
      <c r="PAS57" s="13"/>
      <c r="PAT57" s="13"/>
      <c r="PAU57" s="13"/>
      <c r="PAV57" s="13"/>
      <c r="PAW57" s="13"/>
      <c r="PAX57" s="13"/>
      <c r="PAY57" s="13"/>
      <c r="PAZ57" s="13"/>
      <c r="PBA57" s="13"/>
      <c r="PBB57" s="13"/>
      <c r="PBC57" s="13"/>
      <c r="PBD57" s="13"/>
      <c r="PBE57" s="13"/>
      <c r="PBF57" s="13"/>
      <c r="PBG57" s="13"/>
      <c r="PBH57" s="13"/>
      <c r="PBI57" s="13"/>
      <c r="PBJ57" s="13"/>
      <c r="PBK57" s="13"/>
      <c r="PBL57" s="13"/>
      <c r="PBM57" s="13"/>
      <c r="PBN57" s="13"/>
      <c r="PBO57" s="13"/>
      <c r="PBP57" s="13"/>
      <c r="PBQ57" s="13"/>
      <c r="PBR57" s="13"/>
      <c r="PBS57" s="13"/>
      <c r="PBT57" s="13"/>
      <c r="PBU57" s="13"/>
      <c r="PBV57" s="13"/>
      <c r="PBW57" s="13"/>
      <c r="PBX57" s="13"/>
      <c r="PBY57" s="13"/>
      <c r="PBZ57" s="13"/>
      <c r="PCA57" s="13"/>
      <c r="PCB57" s="13"/>
      <c r="PCC57" s="13"/>
      <c r="PCD57" s="13"/>
      <c r="PCE57" s="13"/>
      <c r="PCF57" s="13"/>
      <c r="PCG57" s="13"/>
      <c r="PCH57" s="13"/>
      <c r="PCI57" s="13"/>
      <c r="PCJ57" s="13"/>
      <c r="PCK57" s="13"/>
      <c r="PCL57" s="13"/>
      <c r="PCM57" s="13"/>
      <c r="PCN57" s="13"/>
      <c r="PCO57" s="13"/>
      <c r="PCP57" s="13"/>
      <c r="PCQ57" s="13"/>
      <c r="PCR57" s="13"/>
      <c r="PCS57" s="13"/>
      <c r="PCT57" s="13"/>
      <c r="PCU57" s="13"/>
      <c r="PCV57" s="13"/>
      <c r="PCW57" s="13"/>
      <c r="PCX57" s="13"/>
      <c r="PCY57" s="13"/>
      <c r="PCZ57" s="13"/>
      <c r="PDA57" s="13"/>
      <c r="PDB57" s="13"/>
      <c r="PDC57" s="13"/>
      <c r="PDD57" s="13"/>
      <c r="PDE57" s="13"/>
      <c r="PDF57" s="13"/>
      <c r="PDG57" s="13"/>
      <c r="PDH57" s="13"/>
      <c r="PDI57" s="13"/>
      <c r="PDJ57" s="13"/>
      <c r="PDK57" s="13"/>
      <c r="PDL57" s="13"/>
      <c r="PDM57" s="13"/>
      <c r="PDN57" s="13"/>
      <c r="PDO57" s="13"/>
      <c r="PDP57" s="13"/>
      <c r="PDQ57" s="13"/>
      <c r="PDR57" s="13"/>
      <c r="PDS57" s="13"/>
      <c r="PDT57" s="13"/>
      <c r="PDU57" s="13"/>
      <c r="PDV57" s="13"/>
      <c r="PDW57" s="13"/>
      <c r="PDX57" s="13"/>
      <c r="PDY57" s="13"/>
      <c r="PDZ57" s="13"/>
      <c r="PEA57" s="13"/>
      <c r="PEB57" s="13"/>
      <c r="PEC57" s="13"/>
      <c r="PED57" s="13"/>
      <c r="PEE57" s="13"/>
      <c r="PEF57" s="13"/>
      <c r="PEG57" s="13"/>
      <c r="PEH57" s="13"/>
      <c r="PEI57" s="13"/>
      <c r="PEJ57" s="13"/>
      <c r="PEK57" s="13"/>
      <c r="PEL57" s="13"/>
      <c r="PEM57" s="13"/>
      <c r="PEN57" s="13"/>
      <c r="PEO57" s="13"/>
      <c r="PEP57" s="13"/>
      <c r="PEQ57" s="13"/>
      <c r="PER57" s="13"/>
      <c r="PES57" s="13"/>
      <c r="PET57" s="13"/>
      <c r="PEU57" s="13"/>
      <c r="PEV57" s="13"/>
      <c r="PEW57" s="13"/>
      <c r="PEX57" s="13"/>
      <c r="PEY57" s="13"/>
      <c r="PEZ57" s="13"/>
      <c r="PFA57" s="13"/>
      <c r="PFB57" s="13"/>
      <c r="PFC57" s="13"/>
      <c r="PFD57" s="13"/>
      <c r="PFE57" s="13"/>
      <c r="PFF57" s="13"/>
      <c r="PFG57" s="13"/>
      <c r="PFH57" s="13"/>
      <c r="PFI57" s="13"/>
      <c r="PFJ57" s="13"/>
      <c r="PFK57" s="13"/>
      <c r="PFL57" s="13"/>
      <c r="PFM57" s="13"/>
      <c r="PFN57" s="13"/>
      <c r="PFO57" s="13"/>
      <c r="PFP57" s="13"/>
      <c r="PFQ57" s="13"/>
      <c r="PFR57" s="13"/>
      <c r="PFS57" s="13"/>
      <c r="PFT57" s="13"/>
      <c r="PFU57" s="13"/>
      <c r="PFV57" s="13"/>
      <c r="PFW57" s="13"/>
      <c r="PFX57" s="13"/>
      <c r="PFY57" s="13"/>
      <c r="PFZ57" s="13"/>
      <c r="PGA57" s="13"/>
      <c r="PGB57" s="13"/>
      <c r="PGC57" s="13"/>
      <c r="PGD57" s="13"/>
      <c r="PGE57" s="13"/>
      <c r="PGF57" s="13"/>
      <c r="PGG57" s="13"/>
      <c r="PGH57" s="13"/>
      <c r="PGI57" s="13"/>
      <c r="PGJ57" s="13"/>
      <c r="PGK57" s="13"/>
      <c r="PGL57" s="13"/>
      <c r="PGM57" s="13"/>
      <c r="PGN57" s="13"/>
      <c r="PGO57" s="13"/>
      <c r="PGP57" s="13"/>
      <c r="PGQ57" s="13"/>
      <c r="PGR57" s="13"/>
      <c r="PGS57" s="13"/>
      <c r="PGT57" s="13"/>
      <c r="PGU57" s="13"/>
      <c r="PGV57" s="13"/>
      <c r="PGW57" s="13"/>
      <c r="PGX57" s="13"/>
      <c r="PGY57" s="13"/>
      <c r="PGZ57" s="13"/>
      <c r="PHA57" s="13"/>
      <c r="PHB57" s="13"/>
      <c r="PHC57" s="13"/>
      <c r="PHD57" s="13"/>
      <c r="PHE57" s="13"/>
      <c r="PHF57" s="13"/>
      <c r="PHG57" s="13"/>
      <c r="PHH57" s="13"/>
      <c r="PHI57" s="13"/>
      <c r="PHJ57" s="13"/>
      <c r="PHK57" s="13"/>
      <c r="PHL57" s="13"/>
      <c r="PHM57" s="13"/>
      <c r="PHN57" s="13"/>
      <c r="PHO57" s="13"/>
      <c r="PHP57" s="13"/>
      <c r="PHQ57" s="13"/>
      <c r="PHR57" s="13"/>
      <c r="PHS57" s="13"/>
      <c r="PHT57" s="13"/>
      <c r="PHU57" s="13"/>
      <c r="PHV57" s="13"/>
      <c r="PHW57" s="13"/>
      <c r="PHX57" s="13"/>
      <c r="PHY57" s="13"/>
      <c r="PHZ57" s="13"/>
      <c r="PIA57" s="13"/>
      <c r="PIB57" s="13"/>
      <c r="PIC57" s="13"/>
      <c r="PID57" s="13"/>
      <c r="PIE57" s="13"/>
      <c r="PIF57" s="13"/>
      <c r="PIG57" s="13"/>
      <c r="PIH57" s="13"/>
      <c r="PII57" s="13"/>
      <c r="PIJ57" s="13"/>
      <c r="PIK57" s="13"/>
      <c r="PIL57" s="13"/>
      <c r="PIM57" s="13"/>
      <c r="PIN57" s="13"/>
      <c r="PIO57" s="13"/>
      <c r="PIP57" s="13"/>
      <c r="PIQ57" s="13"/>
      <c r="PIR57" s="13"/>
      <c r="PIS57" s="13"/>
      <c r="PIT57" s="13"/>
      <c r="PIU57" s="13"/>
      <c r="PIV57" s="13"/>
      <c r="PIW57" s="13"/>
      <c r="PIX57" s="13"/>
      <c r="PIY57" s="13"/>
      <c r="PIZ57" s="13"/>
      <c r="PJA57" s="13"/>
      <c r="PJB57" s="13"/>
      <c r="PJC57" s="13"/>
      <c r="PJD57" s="13"/>
      <c r="PJE57" s="13"/>
      <c r="PJF57" s="13"/>
      <c r="PJG57" s="13"/>
      <c r="PJH57" s="13"/>
      <c r="PJI57" s="13"/>
      <c r="PJJ57" s="13"/>
      <c r="PJK57" s="13"/>
      <c r="PJL57" s="13"/>
      <c r="PJM57" s="13"/>
      <c r="PJN57" s="13"/>
      <c r="PJO57" s="13"/>
      <c r="PJP57" s="13"/>
      <c r="PJQ57" s="13"/>
      <c r="PJR57" s="13"/>
      <c r="PJS57" s="13"/>
      <c r="PJT57" s="13"/>
      <c r="PJU57" s="13"/>
      <c r="PJV57" s="13"/>
      <c r="PJW57" s="13"/>
      <c r="PJX57" s="13"/>
      <c r="PJY57" s="13"/>
      <c r="PJZ57" s="13"/>
      <c r="PKA57" s="13"/>
      <c r="PKB57" s="13"/>
      <c r="PKC57" s="13"/>
      <c r="PKD57" s="13"/>
      <c r="PKE57" s="13"/>
      <c r="PKF57" s="13"/>
      <c r="PKG57" s="13"/>
      <c r="PKH57" s="13"/>
      <c r="PKI57" s="13"/>
      <c r="PKJ57" s="13"/>
      <c r="PKK57" s="13"/>
      <c r="PKL57" s="13"/>
      <c r="PKM57" s="13"/>
      <c r="PKN57" s="13"/>
      <c r="PKO57" s="13"/>
      <c r="PKP57" s="13"/>
      <c r="PKQ57" s="13"/>
      <c r="PKR57" s="13"/>
      <c r="PKS57" s="13"/>
      <c r="PKT57" s="13"/>
      <c r="PKU57" s="13"/>
      <c r="PKV57" s="13"/>
      <c r="PKW57" s="13"/>
      <c r="PKX57" s="13"/>
      <c r="PKY57" s="13"/>
      <c r="PKZ57" s="13"/>
      <c r="PLA57" s="13"/>
      <c r="PLB57" s="13"/>
      <c r="PLC57" s="13"/>
      <c r="PLD57" s="13"/>
      <c r="PLE57" s="13"/>
      <c r="PLF57" s="13"/>
      <c r="PLG57" s="13"/>
      <c r="PLH57" s="13"/>
      <c r="PLI57" s="13"/>
      <c r="PLJ57" s="13"/>
      <c r="PLK57" s="13"/>
      <c r="PLL57" s="13"/>
      <c r="PLM57" s="13"/>
      <c r="PLN57" s="13"/>
      <c r="PLO57" s="13"/>
      <c r="PLP57" s="13"/>
      <c r="PLQ57" s="13"/>
      <c r="PLR57" s="13"/>
      <c r="PLS57" s="13"/>
      <c r="PLT57" s="13"/>
      <c r="PLU57" s="13"/>
      <c r="PLV57" s="13"/>
      <c r="PLW57" s="13"/>
      <c r="PLX57" s="13"/>
      <c r="PLY57" s="13"/>
      <c r="PLZ57" s="13"/>
      <c r="PMA57" s="13"/>
      <c r="PMB57" s="13"/>
      <c r="PMC57" s="13"/>
      <c r="PMD57" s="13"/>
      <c r="PME57" s="13"/>
      <c r="PMF57" s="13"/>
      <c r="PMG57" s="13"/>
      <c r="PMH57" s="13"/>
      <c r="PMI57" s="13"/>
      <c r="PMJ57" s="13"/>
      <c r="PMK57" s="13"/>
      <c r="PML57" s="13"/>
      <c r="PMM57" s="13"/>
      <c r="PMN57" s="13"/>
      <c r="PMO57" s="13"/>
      <c r="PMP57" s="13"/>
      <c r="PMQ57" s="13"/>
      <c r="PMR57" s="13"/>
      <c r="PMS57" s="13"/>
      <c r="PMT57" s="13"/>
      <c r="PMU57" s="13"/>
      <c r="PMV57" s="13"/>
      <c r="PMW57" s="13"/>
      <c r="PMX57" s="13"/>
      <c r="PMY57" s="13"/>
      <c r="PMZ57" s="13"/>
      <c r="PNA57" s="13"/>
      <c r="PNB57" s="13"/>
      <c r="PNC57" s="13"/>
      <c r="PND57" s="13"/>
      <c r="PNE57" s="13"/>
      <c r="PNF57" s="13"/>
      <c r="PNG57" s="13"/>
      <c r="PNH57" s="13"/>
      <c r="PNI57" s="13"/>
      <c r="PNJ57" s="13"/>
      <c r="PNK57" s="13"/>
      <c r="PNL57" s="13"/>
      <c r="PNM57" s="13"/>
      <c r="PNN57" s="13"/>
      <c r="PNO57" s="13"/>
      <c r="PNP57" s="13"/>
      <c r="PNQ57" s="13"/>
      <c r="PNR57" s="13"/>
      <c r="PNS57" s="13"/>
      <c r="PNT57" s="13"/>
      <c r="PNU57" s="13"/>
      <c r="PNV57" s="13"/>
      <c r="PNW57" s="13"/>
      <c r="PNX57" s="13"/>
      <c r="PNY57" s="13"/>
      <c r="PNZ57" s="13"/>
      <c r="POA57" s="13"/>
      <c r="POB57" s="13"/>
      <c r="POC57" s="13"/>
      <c r="POD57" s="13"/>
      <c r="POE57" s="13"/>
      <c r="POF57" s="13"/>
      <c r="POG57" s="13"/>
      <c r="POH57" s="13"/>
      <c r="POI57" s="13"/>
      <c r="POJ57" s="13"/>
      <c r="POK57" s="13"/>
      <c r="POL57" s="13"/>
      <c r="POM57" s="13"/>
      <c r="PON57" s="13"/>
      <c r="POO57" s="13"/>
      <c r="POP57" s="13"/>
      <c r="POQ57" s="13"/>
      <c r="POR57" s="13"/>
      <c r="POS57" s="13"/>
      <c r="POT57" s="13"/>
      <c r="POU57" s="13"/>
      <c r="POV57" s="13"/>
      <c r="POW57" s="13"/>
      <c r="POX57" s="13"/>
      <c r="POY57" s="13"/>
      <c r="POZ57" s="13"/>
      <c r="PPA57" s="13"/>
      <c r="PPB57" s="13"/>
      <c r="PPC57" s="13"/>
      <c r="PPD57" s="13"/>
      <c r="PPE57" s="13"/>
      <c r="PPF57" s="13"/>
      <c r="PPG57" s="13"/>
      <c r="PPH57" s="13"/>
      <c r="PPI57" s="13"/>
      <c r="PPJ57" s="13"/>
      <c r="PPK57" s="13"/>
      <c r="PPL57" s="13"/>
      <c r="PPM57" s="13"/>
      <c r="PPN57" s="13"/>
      <c r="PPO57" s="13"/>
      <c r="PPP57" s="13"/>
      <c r="PPQ57" s="13"/>
      <c r="PPR57" s="13"/>
      <c r="PPS57" s="13"/>
      <c r="PPT57" s="13"/>
      <c r="PPU57" s="13"/>
      <c r="PPV57" s="13"/>
      <c r="PPW57" s="13"/>
      <c r="PPX57" s="13"/>
      <c r="PPY57" s="13"/>
      <c r="PPZ57" s="13"/>
      <c r="PQA57" s="13"/>
      <c r="PQB57" s="13"/>
      <c r="PQC57" s="13"/>
      <c r="PQD57" s="13"/>
      <c r="PQE57" s="13"/>
      <c r="PQF57" s="13"/>
      <c r="PQG57" s="13"/>
      <c r="PQH57" s="13"/>
      <c r="PQI57" s="13"/>
      <c r="PQJ57" s="13"/>
      <c r="PQK57" s="13"/>
      <c r="PQL57" s="13"/>
      <c r="PQM57" s="13"/>
      <c r="PQN57" s="13"/>
      <c r="PQO57" s="13"/>
      <c r="PQP57" s="13"/>
      <c r="PQQ57" s="13"/>
      <c r="PQR57" s="13"/>
      <c r="PQS57" s="13"/>
      <c r="PQT57" s="13"/>
      <c r="PQU57" s="13"/>
      <c r="PQV57" s="13"/>
      <c r="PQW57" s="13"/>
      <c r="PQX57" s="13"/>
      <c r="PQY57" s="13"/>
      <c r="PQZ57" s="13"/>
      <c r="PRA57" s="13"/>
      <c r="PRB57" s="13"/>
      <c r="PRC57" s="13"/>
      <c r="PRD57" s="13"/>
      <c r="PRE57" s="13"/>
      <c r="PRF57" s="13"/>
      <c r="PRG57" s="13"/>
      <c r="PRH57" s="13"/>
      <c r="PRI57" s="13"/>
      <c r="PRJ57" s="13"/>
      <c r="PRK57" s="13"/>
      <c r="PRL57" s="13"/>
      <c r="PRM57" s="13"/>
      <c r="PRN57" s="13"/>
      <c r="PRO57" s="13"/>
      <c r="PRP57" s="13"/>
      <c r="PRQ57" s="13"/>
      <c r="PRR57" s="13"/>
      <c r="PRS57" s="13"/>
      <c r="PRT57" s="13"/>
      <c r="PRU57" s="13"/>
      <c r="PRV57" s="13"/>
      <c r="PRW57" s="13"/>
      <c r="PRX57" s="13"/>
      <c r="PRY57" s="13"/>
      <c r="PRZ57" s="13"/>
      <c r="PSA57" s="13"/>
      <c r="PSB57" s="13"/>
      <c r="PSC57" s="13"/>
      <c r="PSD57" s="13"/>
      <c r="PSE57" s="13"/>
      <c r="PSF57" s="13"/>
      <c r="PSG57" s="13"/>
      <c r="PSH57" s="13"/>
      <c r="PSI57" s="13"/>
      <c r="PSJ57" s="13"/>
      <c r="PSK57" s="13"/>
      <c r="PSL57" s="13"/>
      <c r="PSM57" s="13"/>
      <c r="PSN57" s="13"/>
      <c r="PSO57" s="13"/>
      <c r="PSP57" s="13"/>
      <c r="PSQ57" s="13"/>
      <c r="PSR57" s="13"/>
      <c r="PSS57" s="13"/>
      <c r="PST57" s="13"/>
      <c r="PSU57" s="13"/>
      <c r="PSV57" s="13"/>
      <c r="PSW57" s="13"/>
      <c r="PSX57" s="13"/>
      <c r="PSY57" s="13"/>
      <c r="PSZ57" s="13"/>
      <c r="PTA57" s="13"/>
      <c r="PTB57" s="13"/>
      <c r="PTC57" s="13"/>
      <c r="PTD57" s="13"/>
      <c r="PTE57" s="13"/>
      <c r="PTF57" s="13"/>
      <c r="PTG57" s="13"/>
      <c r="PTH57" s="13"/>
      <c r="PTI57" s="13"/>
      <c r="PTJ57" s="13"/>
      <c r="PTK57" s="13"/>
      <c r="PTL57" s="13"/>
      <c r="PTM57" s="13"/>
      <c r="PTN57" s="13"/>
      <c r="PTO57" s="13"/>
      <c r="PTP57" s="13"/>
      <c r="PTQ57" s="13"/>
      <c r="PTR57" s="13"/>
      <c r="PTS57" s="13"/>
      <c r="PTT57" s="13"/>
      <c r="PTU57" s="13"/>
      <c r="PTV57" s="13"/>
      <c r="PTW57" s="13"/>
      <c r="PTX57" s="13"/>
      <c r="PTY57" s="13"/>
      <c r="PTZ57" s="13"/>
      <c r="PUA57" s="13"/>
      <c r="PUB57" s="13"/>
      <c r="PUC57" s="13"/>
      <c r="PUD57" s="13"/>
      <c r="PUE57" s="13"/>
      <c r="PUF57" s="13"/>
      <c r="PUG57" s="13"/>
      <c r="PUH57" s="13"/>
      <c r="PUI57" s="13"/>
      <c r="PUJ57" s="13"/>
      <c r="PUK57" s="13"/>
      <c r="PUL57" s="13"/>
      <c r="PUM57" s="13"/>
      <c r="PUN57" s="13"/>
      <c r="PUO57" s="13"/>
      <c r="PUP57" s="13"/>
      <c r="PUQ57" s="13"/>
      <c r="PUR57" s="13"/>
      <c r="PUS57" s="13"/>
      <c r="PUT57" s="13"/>
      <c r="PUU57" s="13"/>
      <c r="PUV57" s="13"/>
      <c r="PUW57" s="13"/>
      <c r="PUX57" s="13"/>
      <c r="PUY57" s="13"/>
      <c r="PUZ57" s="13"/>
      <c r="PVA57" s="13"/>
      <c r="PVB57" s="13"/>
      <c r="PVC57" s="13"/>
      <c r="PVD57" s="13"/>
      <c r="PVE57" s="13"/>
      <c r="PVF57" s="13"/>
      <c r="PVG57" s="13"/>
      <c r="PVH57" s="13"/>
      <c r="PVI57" s="13"/>
      <c r="PVJ57" s="13"/>
      <c r="PVK57" s="13"/>
      <c r="PVL57" s="13"/>
      <c r="PVM57" s="13"/>
      <c r="PVN57" s="13"/>
      <c r="PVO57" s="13"/>
      <c r="PVP57" s="13"/>
      <c r="PVQ57" s="13"/>
      <c r="PVR57" s="13"/>
      <c r="PVS57" s="13"/>
      <c r="PVT57" s="13"/>
      <c r="PVU57" s="13"/>
      <c r="PVV57" s="13"/>
      <c r="PVW57" s="13"/>
      <c r="PVX57" s="13"/>
      <c r="PVY57" s="13"/>
      <c r="PVZ57" s="13"/>
      <c r="PWA57" s="13"/>
      <c r="PWB57" s="13"/>
      <c r="PWC57" s="13"/>
      <c r="PWD57" s="13"/>
      <c r="PWE57" s="13"/>
      <c r="PWF57" s="13"/>
      <c r="PWG57" s="13"/>
      <c r="PWH57" s="13"/>
      <c r="PWI57" s="13"/>
      <c r="PWJ57" s="13"/>
      <c r="PWK57" s="13"/>
      <c r="PWL57" s="13"/>
      <c r="PWM57" s="13"/>
      <c r="PWN57" s="13"/>
      <c r="PWO57" s="13"/>
      <c r="PWP57" s="13"/>
      <c r="PWQ57" s="13"/>
      <c r="PWR57" s="13"/>
      <c r="PWS57" s="13"/>
      <c r="PWT57" s="13"/>
      <c r="PWU57" s="13"/>
      <c r="PWV57" s="13"/>
      <c r="PWW57" s="13"/>
      <c r="PWX57" s="13"/>
      <c r="PWY57" s="13"/>
      <c r="PWZ57" s="13"/>
      <c r="PXA57" s="13"/>
      <c r="PXB57" s="13"/>
      <c r="PXC57" s="13"/>
      <c r="PXD57" s="13"/>
      <c r="PXE57" s="13"/>
      <c r="PXF57" s="13"/>
      <c r="PXG57" s="13"/>
      <c r="PXH57" s="13"/>
      <c r="PXI57" s="13"/>
      <c r="PXJ57" s="13"/>
      <c r="PXK57" s="13"/>
      <c r="PXL57" s="13"/>
      <c r="PXM57" s="13"/>
      <c r="PXN57" s="13"/>
      <c r="PXO57" s="13"/>
      <c r="PXP57" s="13"/>
      <c r="PXQ57" s="13"/>
      <c r="PXR57" s="13"/>
      <c r="PXS57" s="13"/>
      <c r="PXT57" s="13"/>
      <c r="PXU57" s="13"/>
      <c r="PXV57" s="13"/>
      <c r="PXW57" s="13"/>
      <c r="PXX57" s="13"/>
      <c r="PXY57" s="13"/>
      <c r="PXZ57" s="13"/>
      <c r="PYA57" s="13"/>
      <c r="PYB57" s="13"/>
      <c r="PYC57" s="13"/>
      <c r="PYD57" s="13"/>
      <c r="PYE57" s="13"/>
      <c r="PYF57" s="13"/>
      <c r="PYG57" s="13"/>
      <c r="PYH57" s="13"/>
      <c r="PYI57" s="13"/>
      <c r="PYJ57" s="13"/>
      <c r="PYK57" s="13"/>
      <c r="PYL57" s="13"/>
      <c r="PYM57" s="13"/>
      <c r="PYN57" s="13"/>
      <c r="PYO57" s="13"/>
      <c r="PYP57" s="13"/>
      <c r="PYQ57" s="13"/>
      <c r="PYR57" s="13"/>
      <c r="PYS57" s="13"/>
      <c r="PYT57" s="13"/>
      <c r="PYU57" s="13"/>
      <c r="PYV57" s="13"/>
      <c r="PYW57" s="13"/>
      <c r="PYX57" s="13"/>
      <c r="PYY57" s="13"/>
      <c r="PYZ57" s="13"/>
      <c r="PZA57" s="13"/>
      <c r="PZB57" s="13"/>
      <c r="PZC57" s="13"/>
      <c r="PZD57" s="13"/>
      <c r="PZE57" s="13"/>
      <c r="PZF57" s="13"/>
      <c r="PZG57" s="13"/>
      <c r="PZH57" s="13"/>
      <c r="PZI57" s="13"/>
      <c r="PZJ57" s="13"/>
      <c r="PZK57" s="13"/>
      <c r="PZL57" s="13"/>
      <c r="PZM57" s="13"/>
      <c r="PZN57" s="13"/>
      <c r="PZO57" s="13"/>
      <c r="PZP57" s="13"/>
      <c r="PZQ57" s="13"/>
      <c r="PZR57" s="13"/>
      <c r="PZS57" s="13"/>
      <c r="PZT57" s="13"/>
      <c r="PZU57" s="13"/>
      <c r="PZV57" s="13"/>
      <c r="PZW57" s="13"/>
      <c r="PZX57" s="13"/>
      <c r="PZY57" s="13"/>
      <c r="PZZ57" s="13"/>
      <c r="QAA57" s="13"/>
      <c r="QAB57" s="13"/>
      <c r="QAC57" s="13"/>
      <c r="QAD57" s="13"/>
      <c r="QAE57" s="13"/>
      <c r="QAF57" s="13"/>
      <c r="QAG57" s="13"/>
      <c r="QAH57" s="13"/>
      <c r="QAI57" s="13"/>
      <c r="QAJ57" s="13"/>
      <c r="QAK57" s="13"/>
      <c r="QAL57" s="13"/>
      <c r="QAM57" s="13"/>
      <c r="QAN57" s="13"/>
      <c r="QAO57" s="13"/>
      <c r="QAP57" s="13"/>
      <c r="QAQ57" s="13"/>
      <c r="QAR57" s="13"/>
      <c r="QAS57" s="13"/>
      <c r="QAT57" s="13"/>
      <c r="QAU57" s="13"/>
      <c r="QAV57" s="13"/>
      <c r="QAW57" s="13"/>
      <c r="QAX57" s="13"/>
      <c r="QAY57" s="13"/>
      <c r="QAZ57" s="13"/>
      <c r="QBA57" s="13"/>
      <c r="QBB57" s="13"/>
      <c r="QBC57" s="13"/>
      <c r="QBD57" s="13"/>
      <c r="QBE57" s="13"/>
      <c r="QBF57" s="13"/>
      <c r="QBG57" s="13"/>
      <c r="QBH57" s="13"/>
      <c r="QBI57" s="13"/>
      <c r="QBJ57" s="13"/>
      <c r="QBK57" s="13"/>
      <c r="QBL57" s="13"/>
      <c r="QBM57" s="13"/>
      <c r="QBN57" s="13"/>
      <c r="QBO57" s="13"/>
      <c r="QBP57" s="13"/>
      <c r="QBQ57" s="13"/>
      <c r="QBR57" s="13"/>
      <c r="QBS57" s="13"/>
      <c r="QBT57" s="13"/>
      <c r="QBU57" s="13"/>
      <c r="QBV57" s="13"/>
      <c r="QBW57" s="13"/>
      <c r="QBX57" s="13"/>
      <c r="QBY57" s="13"/>
      <c r="QBZ57" s="13"/>
      <c r="QCA57" s="13"/>
      <c r="QCB57" s="13"/>
      <c r="QCC57" s="13"/>
      <c r="QCD57" s="13"/>
      <c r="QCE57" s="13"/>
      <c r="QCF57" s="13"/>
      <c r="QCG57" s="13"/>
      <c r="QCH57" s="13"/>
      <c r="QCI57" s="13"/>
      <c r="QCJ57" s="13"/>
      <c r="QCK57" s="13"/>
      <c r="QCL57" s="13"/>
      <c r="QCM57" s="13"/>
      <c r="QCN57" s="13"/>
      <c r="QCO57" s="13"/>
      <c r="QCP57" s="13"/>
      <c r="QCQ57" s="13"/>
      <c r="QCR57" s="13"/>
      <c r="QCS57" s="13"/>
      <c r="QCT57" s="13"/>
      <c r="QCU57" s="13"/>
      <c r="QCV57" s="13"/>
      <c r="QCW57" s="13"/>
      <c r="QCX57" s="13"/>
      <c r="QCY57" s="13"/>
      <c r="QCZ57" s="13"/>
      <c r="QDA57" s="13"/>
      <c r="QDB57" s="13"/>
      <c r="QDC57" s="13"/>
      <c r="QDD57" s="13"/>
      <c r="QDE57" s="13"/>
      <c r="QDF57" s="13"/>
      <c r="QDG57" s="13"/>
      <c r="QDH57" s="13"/>
      <c r="QDI57" s="13"/>
      <c r="QDJ57" s="13"/>
      <c r="QDK57" s="13"/>
      <c r="QDL57" s="13"/>
      <c r="QDM57" s="13"/>
      <c r="QDN57" s="13"/>
      <c r="QDO57" s="13"/>
      <c r="QDP57" s="13"/>
      <c r="QDQ57" s="13"/>
      <c r="QDR57" s="13"/>
      <c r="QDS57" s="13"/>
      <c r="QDT57" s="13"/>
      <c r="QDU57" s="13"/>
      <c r="QDV57" s="13"/>
      <c r="QDW57" s="13"/>
      <c r="QDX57" s="13"/>
      <c r="QDY57" s="13"/>
      <c r="QDZ57" s="13"/>
      <c r="QEA57" s="13"/>
      <c r="QEB57" s="13"/>
      <c r="QEC57" s="13"/>
      <c r="QED57" s="13"/>
      <c r="QEE57" s="13"/>
      <c r="QEF57" s="13"/>
      <c r="QEG57" s="13"/>
      <c r="QEH57" s="13"/>
      <c r="QEI57" s="13"/>
      <c r="QEJ57" s="13"/>
      <c r="QEK57" s="13"/>
      <c r="QEL57" s="13"/>
      <c r="QEM57" s="13"/>
      <c r="QEN57" s="13"/>
      <c r="QEO57" s="13"/>
      <c r="QEP57" s="13"/>
      <c r="QEQ57" s="13"/>
      <c r="QER57" s="13"/>
      <c r="QES57" s="13"/>
      <c r="QET57" s="13"/>
      <c r="QEU57" s="13"/>
      <c r="QEV57" s="13"/>
      <c r="QEW57" s="13"/>
      <c r="QEX57" s="13"/>
      <c r="QEY57" s="13"/>
      <c r="QEZ57" s="13"/>
      <c r="QFA57" s="13"/>
      <c r="QFB57" s="13"/>
      <c r="QFC57" s="13"/>
      <c r="QFD57" s="13"/>
      <c r="QFE57" s="13"/>
      <c r="QFF57" s="13"/>
      <c r="QFG57" s="13"/>
      <c r="QFH57" s="13"/>
      <c r="QFI57" s="13"/>
      <c r="QFJ57" s="13"/>
      <c r="QFK57" s="13"/>
      <c r="QFL57" s="13"/>
      <c r="QFM57" s="13"/>
      <c r="QFN57" s="13"/>
      <c r="QFO57" s="13"/>
      <c r="QFP57" s="13"/>
      <c r="QFQ57" s="13"/>
      <c r="QFR57" s="13"/>
      <c r="QFS57" s="13"/>
      <c r="QFT57" s="13"/>
      <c r="QFU57" s="13"/>
      <c r="QFV57" s="13"/>
      <c r="QFW57" s="13"/>
      <c r="QFX57" s="13"/>
      <c r="QFY57" s="13"/>
      <c r="QFZ57" s="13"/>
      <c r="QGA57" s="13"/>
      <c r="QGB57" s="13"/>
      <c r="QGC57" s="13"/>
      <c r="QGD57" s="13"/>
      <c r="QGE57" s="13"/>
      <c r="QGF57" s="13"/>
      <c r="QGG57" s="13"/>
      <c r="QGH57" s="13"/>
      <c r="QGI57" s="13"/>
      <c r="QGJ57" s="13"/>
      <c r="QGK57" s="13"/>
      <c r="QGL57" s="13"/>
      <c r="QGM57" s="13"/>
      <c r="QGN57" s="13"/>
      <c r="QGO57" s="13"/>
      <c r="QGP57" s="13"/>
      <c r="QGQ57" s="13"/>
      <c r="QGR57" s="13"/>
      <c r="QGS57" s="13"/>
      <c r="QGT57" s="13"/>
      <c r="QGU57" s="13"/>
      <c r="QGV57" s="13"/>
      <c r="QGW57" s="13"/>
      <c r="QGX57" s="13"/>
      <c r="QGY57" s="13"/>
      <c r="QGZ57" s="13"/>
      <c r="QHA57" s="13"/>
      <c r="QHB57" s="13"/>
      <c r="QHC57" s="13"/>
      <c r="QHD57" s="13"/>
      <c r="QHE57" s="13"/>
      <c r="QHF57" s="13"/>
      <c r="QHG57" s="13"/>
      <c r="QHH57" s="13"/>
      <c r="QHI57" s="13"/>
      <c r="QHJ57" s="13"/>
      <c r="QHK57" s="13"/>
      <c r="QHL57" s="13"/>
      <c r="QHM57" s="13"/>
      <c r="QHN57" s="13"/>
      <c r="QHO57" s="13"/>
      <c r="QHP57" s="13"/>
      <c r="QHQ57" s="13"/>
      <c r="QHR57" s="13"/>
      <c r="QHS57" s="13"/>
      <c r="QHT57" s="13"/>
      <c r="QHU57" s="13"/>
      <c r="QHV57" s="13"/>
      <c r="QHW57" s="13"/>
      <c r="QHX57" s="13"/>
      <c r="QHY57" s="13"/>
      <c r="QHZ57" s="13"/>
      <c r="QIA57" s="13"/>
      <c r="QIB57" s="13"/>
      <c r="QIC57" s="13"/>
      <c r="QID57" s="13"/>
      <c r="QIE57" s="13"/>
      <c r="QIF57" s="13"/>
      <c r="QIG57" s="13"/>
      <c r="QIH57" s="13"/>
      <c r="QII57" s="13"/>
      <c r="QIJ57" s="13"/>
      <c r="QIK57" s="13"/>
      <c r="QIL57" s="13"/>
      <c r="QIM57" s="13"/>
      <c r="QIN57" s="13"/>
      <c r="QIO57" s="13"/>
      <c r="QIP57" s="13"/>
      <c r="QIQ57" s="13"/>
      <c r="QIR57" s="13"/>
      <c r="QIS57" s="13"/>
      <c r="QIT57" s="13"/>
      <c r="QIU57" s="13"/>
      <c r="QIV57" s="13"/>
      <c r="QIW57" s="13"/>
      <c r="QIX57" s="13"/>
      <c r="QIY57" s="13"/>
      <c r="QIZ57" s="13"/>
      <c r="QJA57" s="13"/>
      <c r="QJB57" s="13"/>
      <c r="QJC57" s="13"/>
      <c r="QJD57" s="13"/>
      <c r="QJE57" s="13"/>
      <c r="QJF57" s="13"/>
      <c r="QJG57" s="13"/>
      <c r="QJH57" s="13"/>
      <c r="QJI57" s="13"/>
      <c r="QJJ57" s="13"/>
      <c r="QJK57" s="13"/>
      <c r="QJL57" s="13"/>
      <c r="QJM57" s="13"/>
      <c r="QJN57" s="13"/>
      <c r="QJO57" s="13"/>
      <c r="QJP57" s="13"/>
      <c r="QJQ57" s="13"/>
      <c r="QJR57" s="13"/>
      <c r="QJS57" s="13"/>
      <c r="QJT57" s="13"/>
      <c r="QJU57" s="13"/>
      <c r="QJV57" s="13"/>
      <c r="QJW57" s="13"/>
      <c r="QJX57" s="13"/>
      <c r="QJY57" s="13"/>
      <c r="QJZ57" s="13"/>
      <c r="QKA57" s="13"/>
      <c r="QKB57" s="13"/>
      <c r="QKC57" s="13"/>
      <c r="QKD57" s="13"/>
      <c r="QKE57" s="13"/>
      <c r="QKF57" s="13"/>
      <c r="QKG57" s="13"/>
      <c r="QKH57" s="13"/>
      <c r="QKI57" s="13"/>
      <c r="QKJ57" s="13"/>
      <c r="QKK57" s="13"/>
      <c r="QKL57" s="13"/>
      <c r="QKM57" s="13"/>
      <c r="QKN57" s="13"/>
      <c r="QKO57" s="13"/>
      <c r="QKP57" s="13"/>
      <c r="QKQ57" s="13"/>
      <c r="QKR57" s="13"/>
      <c r="QKS57" s="13"/>
      <c r="QKT57" s="13"/>
      <c r="QKU57" s="13"/>
      <c r="QKV57" s="13"/>
      <c r="QKW57" s="13"/>
      <c r="QKX57" s="13"/>
      <c r="QKY57" s="13"/>
      <c r="QKZ57" s="13"/>
      <c r="QLA57" s="13"/>
      <c r="QLB57" s="13"/>
      <c r="QLC57" s="13"/>
      <c r="QLD57" s="13"/>
      <c r="QLE57" s="13"/>
      <c r="QLF57" s="13"/>
      <c r="QLG57" s="13"/>
      <c r="QLH57" s="13"/>
      <c r="QLI57" s="13"/>
      <c r="QLJ57" s="13"/>
      <c r="QLK57" s="13"/>
      <c r="QLL57" s="13"/>
      <c r="QLM57" s="13"/>
      <c r="QLN57" s="13"/>
      <c r="QLO57" s="13"/>
      <c r="QLP57" s="13"/>
      <c r="QLQ57" s="13"/>
      <c r="QLR57" s="13"/>
      <c r="QLS57" s="13"/>
      <c r="QLT57" s="13"/>
      <c r="QLU57" s="13"/>
      <c r="QLV57" s="13"/>
      <c r="QLW57" s="13"/>
      <c r="QLX57" s="13"/>
      <c r="QLY57" s="13"/>
      <c r="QLZ57" s="13"/>
      <c r="QMA57" s="13"/>
      <c r="QMB57" s="13"/>
      <c r="QMC57" s="13"/>
      <c r="QMD57" s="13"/>
      <c r="QME57" s="13"/>
      <c r="QMF57" s="13"/>
      <c r="QMG57" s="13"/>
      <c r="QMH57" s="13"/>
      <c r="QMI57" s="13"/>
      <c r="QMJ57" s="13"/>
      <c r="QMK57" s="13"/>
      <c r="QML57" s="13"/>
      <c r="QMM57" s="13"/>
      <c r="QMN57" s="13"/>
      <c r="QMO57" s="13"/>
      <c r="QMP57" s="13"/>
      <c r="QMQ57" s="13"/>
      <c r="QMR57" s="13"/>
      <c r="QMS57" s="13"/>
      <c r="QMT57" s="13"/>
      <c r="QMU57" s="13"/>
      <c r="QMV57" s="13"/>
      <c r="QMW57" s="13"/>
      <c r="QMX57" s="13"/>
      <c r="QMY57" s="13"/>
      <c r="QMZ57" s="13"/>
      <c r="QNA57" s="13"/>
      <c r="QNB57" s="13"/>
      <c r="QNC57" s="13"/>
      <c r="QND57" s="13"/>
      <c r="QNE57" s="13"/>
      <c r="QNF57" s="13"/>
      <c r="QNG57" s="13"/>
      <c r="QNH57" s="13"/>
      <c r="QNI57" s="13"/>
      <c r="QNJ57" s="13"/>
      <c r="QNK57" s="13"/>
      <c r="QNL57" s="13"/>
      <c r="QNM57" s="13"/>
      <c r="QNN57" s="13"/>
      <c r="QNO57" s="13"/>
      <c r="QNP57" s="13"/>
      <c r="QNQ57" s="13"/>
      <c r="QNR57" s="13"/>
      <c r="QNS57" s="13"/>
      <c r="QNT57" s="13"/>
      <c r="QNU57" s="13"/>
      <c r="QNV57" s="13"/>
      <c r="QNW57" s="13"/>
      <c r="QNX57" s="13"/>
      <c r="QNY57" s="13"/>
      <c r="QNZ57" s="13"/>
      <c r="QOA57" s="13"/>
      <c r="QOB57" s="13"/>
      <c r="QOC57" s="13"/>
      <c r="QOD57" s="13"/>
      <c r="QOE57" s="13"/>
      <c r="QOF57" s="13"/>
      <c r="QOG57" s="13"/>
      <c r="QOH57" s="13"/>
      <c r="QOI57" s="13"/>
      <c r="QOJ57" s="13"/>
      <c r="QOK57" s="13"/>
      <c r="QOL57" s="13"/>
      <c r="QOM57" s="13"/>
      <c r="QON57" s="13"/>
      <c r="QOO57" s="13"/>
      <c r="QOP57" s="13"/>
      <c r="QOQ57" s="13"/>
      <c r="QOR57" s="13"/>
      <c r="QOS57" s="13"/>
      <c r="QOT57" s="13"/>
      <c r="QOU57" s="13"/>
      <c r="QOV57" s="13"/>
      <c r="QOW57" s="13"/>
      <c r="QOX57" s="13"/>
      <c r="QOY57" s="13"/>
      <c r="QOZ57" s="13"/>
      <c r="QPA57" s="13"/>
      <c r="QPB57" s="13"/>
      <c r="QPC57" s="13"/>
      <c r="QPD57" s="13"/>
      <c r="QPE57" s="13"/>
      <c r="QPF57" s="13"/>
      <c r="QPG57" s="13"/>
      <c r="QPH57" s="13"/>
      <c r="QPI57" s="13"/>
      <c r="QPJ57" s="13"/>
      <c r="QPK57" s="13"/>
      <c r="QPL57" s="13"/>
      <c r="QPM57" s="13"/>
      <c r="QPN57" s="13"/>
      <c r="QPO57" s="13"/>
      <c r="QPP57" s="13"/>
      <c r="QPQ57" s="13"/>
      <c r="QPR57" s="13"/>
      <c r="QPS57" s="13"/>
      <c r="QPT57" s="13"/>
      <c r="QPU57" s="13"/>
      <c r="QPV57" s="13"/>
      <c r="QPW57" s="13"/>
      <c r="QPX57" s="13"/>
      <c r="QPY57" s="13"/>
      <c r="QPZ57" s="13"/>
      <c r="QQA57" s="13"/>
      <c r="QQB57" s="13"/>
      <c r="QQC57" s="13"/>
      <c r="QQD57" s="13"/>
      <c r="QQE57" s="13"/>
      <c r="QQF57" s="13"/>
      <c r="QQG57" s="13"/>
      <c r="QQH57" s="13"/>
      <c r="QQI57" s="13"/>
      <c r="QQJ57" s="13"/>
      <c r="QQK57" s="13"/>
      <c r="QQL57" s="13"/>
      <c r="QQM57" s="13"/>
      <c r="QQN57" s="13"/>
      <c r="QQO57" s="13"/>
      <c r="QQP57" s="13"/>
      <c r="QQQ57" s="13"/>
      <c r="QQR57" s="13"/>
      <c r="QQS57" s="13"/>
      <c r="QQT57" s="13"/>
      <c r="QQU57" s="13"/>
      <c r="QQV57" s="13"/>
      <c r="QQW57" s="13"/>
      <c r="QQX57" s="13"/>
      <c r="QQY57" s="13"/>
      <c r="QQZ57" s="13"/>
      <c r="QRA57" s="13"/>
      <c r="QRB57" s="13"/>
      <c r="QRC57" s="13"/>
      <c r="QRD57" s="13"/>
      <c r="QRE57" s="13"/>
      <c r="QRF57" s="13"/>
      <c r="QRG57" s="13"/>
      <c r="QRH57" s="13"/>
      <c r="QRI57" s="13"/>
      <c r="QRJ57" s="13"/>
      <c r="QRK57" s="13"/>
      <c r="QRL57" s="13"/>
      <c r="QRM57" s="13"/>
      <c r="QRN57" s="13"/>
      <c r="QRO57" s="13"/>
      <c r="QRP57" s="13"/>
      <c r="QRQ57" s="13"/>
      <c r="QRR57" s="13"/>
      <c r="QRS57" s="13"/>
      <c r="QRT57" s="13"/>
      <c r="QRU57" s="13"/>
      <c r="QRV57" s="13"/>
      <c r="QRW57" s="13"/>
      <c r="QRX57" s="13"/>
      <c r="QRY57" s="13"/>
      <c r="QRZ57" s="13"/>
      <c r="QSA57" s="13"/>
      <c r="QSB57" s="13"/>
      <c r="QSC57" s="13"/>
      <c r="QSD57" s="13"/>
      <c r="QSE57" s="13"/>
      <c r="QSF57" s="13"/>
      <c r="QSG57" s="13"/>
      <c r="QSH57" s="13"/>
      <c r="QSI57" s="13"/>
      <c r="QSJ57" s="13"/>
      <c r="QSK57" s="13"/>
      <c r="QSL57" s="13"/>
      <c r="QSM57" s="13"/>
      <c r="QSN57" s="13"/>
      <c r="QSO57" s="13"/>
      <c r="QSP57" s="13"/>
      <c r="QSQ57" s="13"/>
      <c r="QSR57" s="13"/>
      <c r="QSS57" s="13"/>
      <c r="QST57" s="13"/>
      <c r="QSU57" s="13"/>
      <c r="QSV57" s="13"/>
      <c r="QSW57" s="13"/>
      <c r="QSX57" s="13"/>
      <c r="QSY57" s="13"/>
      <c r="QSZ57" s="13"/>
      <c r="QTA57" s="13"/>
      <c r="QTB57" s="13"/>
      <c r="QTC57" s="13"/>
      <c r="QTD57" s="13"/>
      <c r="QTE57" s="13"/>
      <c r="QTF57" s="13"/>
      <c r="QTG57" s="13"/>
      <c r="QTH57" s="13"/>
      <c r="QTI57" s="13"/>
      <c r="QTJ57" s="13"/>
      <c r="QTK57" s="13"/>
      <c r="QTL57" s="13"/>
      <c r="QTM57" s="13"/>
      <c r="QTN57" s="13"/>
      <c r="QTO57" s="13"/>
      <c r="QTP57" s="13"/>
      <c r="QTQ57" s="13"/>
      <c r="QTR57" s="13"/>
      <c r="QTS57" s="13"/>
      <c r="QTT57" s="13"/>
      <c r="QTU57" s="13"/>
      <c r="QTV57" s="13"/>
      <c r="QTW57" s="13"/>
      <c r="QTX57" s="13"/>
      <c r="QTY57" s="13"/>
      <c r="QTZ57" s="13"/>
      <c r="QUA57" s="13"/>
      <c r="QUB57" s="13"/>
      <c r="QUC57" s="13"/>
      <c r="QUD57" s="13"/>
      <c r="QUE57" s="13"/>
      <c r="QUF57" s="13"/>
      <c r="QUG57" s="13"/>
      <c r="QUH57" s="13"/>
      <c r="QUI57" s="13"/>
      <c r="QUJ57" s="13"/>
      <c r="QUK57" s="13"/>
      <c r="QUL57" s="13"/>
      <c r="QUM57" s="13"/>
      <c r="QUN57" s="13"/>
      <c r="QUO57" s="13"/>
      <c r="QUP57" s="13"/>
      <c r="QUQ57" s="13"/>
      <c r="QUR57" s="13"/>
      <c r="QUS57" s="13"/>
      <c r="QUT57" s="13"/>
      <c r="QUU57" s="13"/>
      <c r="QUV57" s="13"/>
      <c r="QUW57" s="13"/>
      <c r="QUX57" s="13"/>
      <c r="QUY57" s="13"/>
      <c r="QUZ57" s="13"/>
      <c r="QVA57" s="13"/>
      <c r="QVB57" s="13"/>
      <c r="QVC57" s="13"/>
      <c r="QVD57" s="13"/>
      <c r="QVE57" s="13"/>
      <c r="QVF57" s="13"/>
      <c r="QVG57" s="13"/>
      <c r="QVH57" s="13"/>
      <c r="QVI57" s="13"/>
      <c r="QVJ57" s="13"/>
      <c r="QVK57" s="13"/>
      <c r="QVL57" s="13"/>
      <c r="QVM57" s="13"/>
      <c r="QVN57" s="13"/>
      <c r="QVO57" s="13"/>
      <c r="QVP57" s="13"/>
      <c r="QVQ57" s="13"/>
      <c r="QVR57" s="13"/>
      <c r="QVS57" s="13"/>
      <c r="QVT57" s="13"/>
      <c r="QVU57" s="13"/>
      <c r="QVV57" s="13"/>
      <c r="QVW57" s="13"/>
      <c r="QVX57" s="13"/>
      <c r="QVY57" s="13"/>
      <c r="QVZ57" s="13"/>
      <c r="QWA57" s="13"/>
      <c r="QWB57" s="13"/>
      <c r="QWC57" s="13"/>
      <c r="QWD57" s="13"/>
      <c r="QWE57" s="13"/>
      <c r="QWF57" s="13"/>
      <c r="QWG57" s="13"/>
      <c r="QWH57" s="13"/>
      <c r="QWI57" s="13"/>
      <c r="QWJ57" s="13"/>
      <c r="QWK57" s="13"/>
      <c r="QWL57" s="13"/>
      <c r="QWM57" s="13"/>
      <c r="QWN57" s="13"/>
      <c r="QWO57" s="13"/>
      <c r="QWP57" s="13"/>
      <c r="QWQ57" s="13"/>
      <c r="QWR57" s="13"/>
      <c r="QWS57" s="13"/>
      <c r="QWT57" s="13"/>
      <c r="QWU57" s="13"/>
      <c r="QWV57" s="13"/>
      <c r="QWW57" s="13"/>
      <c r="QWX57" s="13"/>
      <c r="QWY57" s="13"/>
      <c r="QWZ57" s="13"/>
      <c r="QXA57" s="13"/>
      <c r="QXB57" s="13"/>
      <c r="QXC57" s="13"/>
      <c r="QXD57" s="13"/>
      <c r="QXE57" s="13"/>
      <c r="QXF57" s="13"/>
      <c r="QXG57" s="13"/>
      <c r="QXH57" s="13"/>
      <c r="QXI57" s="13"/>
      <c r="QXJ57" s="13"/>
      <c r="QXK57" s="13"/>
      <c r="QXL57" s="13"/>
      <c r="QXM57" s="13"/>
      <c r="QXN57" s="13"/>
      <c r="QXO57" s="13"/>
      <c r="QXP57" s="13"/>
      <c r="QXQ57" s="13"/>
      <c r="QXR57" s="13"/>
      <c r="QXS57" s="13"/>
      <c r="QXT57" s="13"/>
      <c r="QXU57" s="13"/>
      <c r="QXV57" s="13"/>
      <c r="QXW57" s="13"/>
      <c r="QXX57" s="13"/>
      <c r="QXY57" s="13"/>
      <c r="QXZ57" s="13"/>
      <c r="QYA57" s="13"/>
      <c r="QYB57" s="13"/>
      <c r="QYC57" s="13"/>
      <c r="QYD57" s="13"/>
      <c r="QYE57" s="13"/>
      <c r="QYF57" s="13"/>
      <c r="QYG57" s="13"/>
      <c r="QYH57" s="13"/>
      <c r="QYI57" s="13"/>
      <c r="QYJ57" s="13"/>
      <c r="QYK57" s="13"/>
      <c r="QYL57" s="13"/>
      <c r="QYM57" s="13"/>
      <c r="QYN57" s="13"/>
      <c r="QYO57" s="13"/>
      <c r="QYP57" s="13"/>
      <c r="QYQ57" s="13"/>
      <c r="QYR57" s="13"/>
      <c r="QYS57" s="13"/>
      <c r="QYT57" s="13"/>
      <c r="QYU57" s="13"/>
      <c r="QYV57" s="13"/>
      <c r="QYW57" s="13"/>
      <c r="QYX57" s="13"/>
      <c r="QYY57" s="13"/>
      <c r="QYZ57" s="13"/>
      <c r="QZA57" s="13"/>
      <c r="QZB57" s="13"/>
      <c r="QZC57" s="13"/>
      <c r="QZD57" s="13"/>
      <c r="QZE57" s="13"/>
      <c r="QZF57" s="13"/>
      <c r="QZG57" s="13"/>
      <c r="QZH57" s="13"/>
      <c r="QZI57" s="13"/>
      <c r="QZJ57" s="13"/>
      <c r="QZK57" s="13"/>
      <c r="QZL57" s="13"/>
      <c r="QZM57" s="13"/>
      <c r="QZN57" s="13"/>
      <c r="QZO57" s="13"/>
      <c r="QZP57" s="13"/>
      <c r="QZQ57" s="13"/>
      <c r="QZR57" s="13"/>
      <c r="QZS57" s="13"/>
      <c r="QZT57" s="13"/>
      <c r="QZU57" s="13"/>
      <c r="QZV57" s="13"/>
      <c r="QZW57" s="13"/>
      <c r="QZX57" s="13"/>
      <c r="QZY57" s="13"/>
      <c r="QZZ57" s="13"/>
      <c r="RAA57" s="13"/>
      <c r="RAB57" s="13"/>
      <c r="RAC57" s="13"/>
      <c r="RAD57" s="13"/>
      <c r="RAE57" s="13"/>
      <c r="RAF57" s="13"/>
      <c r="RAG57" s="13"/>
      <c r="RAH57" s="13"/>
      <c r="RAI57" s="13"/>
      <c r="RAJ57" s="13"/>
      <c r="RAK57" s="13"/>
      <c r="RAL57" s="13"/>
      <c r="RAM57" s="13"/>
      <c r="RAN57" s="13"/>
      <c r="RAO57" s="13"/>
      <c r="RAP57" s="13"/>
      <c r="RAQ57" s="13"/>
      <c r="RAR57" s="13"/>
      <c r="RAS57" s="13"/>
      <c r="RAT57" s="13"/>
      <c r="RAU57" s="13"/>
      <c r="RAV57" s="13"/>
      <c r="RAW57" s="13"/>
      <c r="RAX57" s="13"/>
      <c r="RAY57" s="13"/>
      <c r="RAZ57" s="13"/>
      <c r="RBA57" s="13"/>
      <c r="RBB57" s="13"/>
      <c r="RBC57" s="13"/>
      <c r="RBD57" s="13"/>
      <c r="RBE57" s="13"/>
      <c r="RBF57" s="13"/>
      <c r="RBG57" s="13"/>
      <c r="RBH57" s="13"/>
      <c r="RBI57" s="13"/>
      <c r="RBJ57" s="13"/>
      <c r="RBK57" s="13"/>
      <c r="RBL57" s="13"/>
      <c r="RBM57" s="13"/>
      <c r="RBN57" s="13"/>
      <c r="RBO57" s="13"/>
      <c r="RBP57" s="13"/>
      <c r="RBQ57" s="13"/>
      <c r="RBR57" s="13"/>
      <c r="RBS57" s="13"/>
      <c r="RBT57" s="13"/>
      <c r="RBU57" s="13"/>
      <c r="RBV57" s="13"/>
      <c r="RBW57" s="13"/>
      <c r="RBX57" s="13"/>
      <c r="RBY57" s="13"/>
      <c r="RBZ57" s="13"/>
      <c r="RCA57" s="13"/>
      <c r="RCB57" s="13"/>
      <c r="RCC57" s="13"/>
      <c r="RCD57" s="13"/>
      <c r="RCE57" s="13"/>
      <c r="RCF57" s="13"/>
      <c r="RCG57" s="13"/>
      <c r="RCH57" s="13"/>
      <c r="RCI57" s="13"/>
      <c r="RCJ57" s="13"/>
      <c r="RCK57" s="13"/>
      <c r="RCL57" s="13"/>
      <c r="RCM57" s="13"/>
      <c r="RCN57" s="13"/>
      <c r="RCO57" s="13"/>
      <c r="RCP57" s="13"/>
      <c r="RCQ57" s="13"/>
      <c r="RCR57" s="13"/>
      <c r="RCS57" s="13"/>
      <c r="RCT57" s="13"/>
      <c r="RCU57" s="13"/>
      <c r="RCV57" s="13"/>
      <c r="RCW57" s="13"/>
      <c r="RCX57" s="13"/>
      <c r="RCY57" s="13"/>
      <c r="RCZ57" s="13"/>
      <c r="RDA57" s="13"/>
      <c r="RDB57" s="13"/>
      <c r="RDC57" s="13"/>
      <c r="RDD57" s="13"/>
      <c r="RDE57" s="13"/>
      <c r="RDF57" s="13"/>
      <c r="RDG57" s="13"/>
      <c r="RDH57" s="13"/>
      <c r="RDI57" s="13"/>
      <c r="RDJ57" s="13"/>
      <c r="RDK57" s="13"/>
      <c r="RDL57" s="13"/>
      <c r="RDM57" s="13"/>
      <c r="RDN57" s="13"/>
      <c r="RDO57" s="13"/>
      <c r="RDP57" s="13"/>
      <c r="RDQ57" s="13"/>
      <c r="RDR57" s="13"/>
      <c r="RDS57" s="13"/>
      <c r="RDT57" s="13"/>
      <c r="RDU57" s="13"/>
      <c r="RDV57" s="13"/>
      <c r="RDW57" s="13"/>
      <c r="RDX57" s="13"/>
      <c r="RDY57" s="13"/>
      <c r="RDZ57" s="13"/>
      <c r="REA57" s="13"/>
      <c r="REB57" s="13"/>
      <c r="REC57" s="13"/>
      <c r="RED57" s="13"/>
      <c r="REE57" s="13"/>
      <c r="REF57" s="13"/>
      <c r="REG57" s="13"/>
      <c r="REH57" s="13"/>
      <c r="REI57" s="13"/>
      <c r="REJ57" s="13"/>
      <c r="REK57" s="13"/>
      <c r="REL57" s="13"/>
      <c r="REM57" s="13"/>
      <c r="REN57" s="13"/>
      <c r="REO57" s="13"/>
      <c r="REP57" s="13"/>
      <c r="REQ57" s="13"/>
      <c r="RER57" s="13"/>
      <c r="RES57" s="13"/>
      <c r="RET57" s="13"/>
      <c r="REU57" s="13"/>
      <c r="REV57" s="13"/>
      <c r="REW57" s="13"/>
      <c r="REX57" s="13"/>
      <c r="REY57" s="13"/>
      <c r="REZ57" s="13"/>
      <c r="RFA57" s="13"/>
      <c r="RFB57" s="13"/>
      <c r="RFC57" s="13"/>
      <c r="RFD57" s="13"/>
      <c r="RFE57" s="13"/>
      <c r="RFF57" s="13"/>
      <c r="RFG57" s="13"/>
      <c r="RFH57" s="13"/>
      <c r="RFI57" s="13"/>
      <c r="RFJ57" s="13"/>
      <c r="RFK57" s="13"/>
      <c r="RFL57" s="13"/>
      <c r="RFM57" s="13"/>
      <c r="RFN57" s="13"/>
      <c r="RFO57" s="13"/>
      <c r="RFP57" s="13"/>
      <c r="RFQ57" s="13"/>
      <c r="RFR57" s="13"/>
      <c r="RFS57" s="13"/>
      <c r="RFT57" s="13"/>
      <c r="RFU57" s="13"/>
      <c r="RFV57" s="13"/>
      <c r="RFW57" s="13"/>
      <c r="RFX57" s="13"/>
      <c r="RFY57" s="13"/>
      <c r="RFZ57" s="13"/>
      <c r="RGA57" s="13"/>
      <c r="RGB57" s="13"/>
      <c r="RGC57" s="13"/>
      <c r="RGD57" s="13"/>
      <c r="RGE57" s="13"/>
      <c r="RGF57" s="13"/>
      <c r="RGG57" s="13"/>
      <c r="RGH57" s="13"/>
      <c r="RGI57" s="13"/>
      <c r="RGJ57" s="13"/>
      <c r="RGK57" s="13"/>
      <c r="RGL57" s="13"/>
      <c r="RGM57" s="13"/>
      <c r="RGN57" s="13"/>
      <c r="RGO57" s="13"/>
      <c r="RGP57" s="13"/>
      <c r="RGQ57" s="13"/>
      <c r="RGR57" s="13"/>
      <c r="RGS57" s="13"/>
      <c r="RGT57" s="13"/>
      <c r="RGU57" s="13"/>
      <c r="RGV57" s="13"/>
      <c r="RGW57" s="13"/>
      <c r="RGX57" s="13"/>
      <c r="RGY57" s="13"/>
      <c r="RGZ57" s="13"/>
      <c r="RHA57" s="13"/>
      <c r="RHB57" s="13"/>
      <c r="RHC57" s="13"/>
      <c r="RHD57" s="13"/>
      <c r="RHE57" s="13"/>
      <c r="RHF57" s="13"/>
      <c r="RHG57" s="13"/>
      <c r="RHH57" s="13"/>
      <c r="RHI57" s="13"/>
      <c r="RHJ57" s="13"/>
      <c r="RHK57" s="13"/>
      <c r="RHL57" s="13"/>
      <c r="RHM57" s="13"/>
      <c r="RHN57" s="13"/>
      <c r="RHO57" s="13"/>
      <c r="RHP57" s="13"/>
      <c r="RHQ57" s="13"/>
      <c r="RHR57" s="13"/>
      <c r="RHS57" s="13"/>
      <c r="RHT57" s="13"/>
      <c r="RHU57" s="13"/>
      <c r="RHV57" s="13"/>
      <c r="RHW57" s="13"/>
      <c r="RHX57" s="13"/>
      <c r="RHY57" s="13"/>
      <c r="RHZ57" s="13"/>
      <c r="RIA57" s="13"/>
      <c r="RIB57" s="13"/>
      <c r="RIC57" s="13"/>
      <c r="RID57" s="13"/>
      <c r="RIE57" s="13"/>
      <c r="RIF57" s="13"/>
      <c r="RIG57" s="13"/>
      <c r="RIH57" s="13"/>
      <c r="RII57" s="13"/>
      <c r="RIJ57" s="13"/>
      <c r="RIK57" s="13"/>
      <c r="RIL57" s="13"/>
      <c r="RIM57" s="13"/>
      <c r="RIN57" s="13"/>
      <c r="RIO57" s="13"/>
      <c r="RIP57" s="13"/>
      <c r="RIQ57" s="13"/>
      <c r="RIR57" s="13"/>
      <c r="RIS57" s="13"/>
      <c r="RIT57" s="13"/>
      <c r="RIU57" s="13"/>
      <c r="RIV57" s="13"/>
      <c r="RIW57" s="13"/>
      <c r="RIX57" s="13"/>
      <c r="RIY57" s="13"/>
      <c r="RIZ57" s="13"/>
      <c r="RJA57" s="13"/>
      <c r="RJB57" s="13"/>
      <c r="RJC57" s="13"/>
      <c r="RJD57" s="13"/>
      <c r="RJE57" s="13"/>
      <c r="RJF57" s="13"/>
      <c r="RJG57" s="13"/>
      <c r="RJH57" s="13"/>
      <c r="RJI57" s="13"/>
      <c r="RJJ57" s="13"/>
      <c r="RJK57" s="13"/>
      <c r="RJL57" s="13"/>
      <c r="RJM57" s="13"/>
      <c r="RJN57" s="13"/>
      <c r="RJO57" s="13"/>
      <c r="RJP57" s="13"/>
      <c r="RJQ57" s="13"/>
      <c r="RJR57" s="13"/>
      <c r="RJS57" s="13"/>
      <c r="RJT57" s="13"/>
      <c r="RJU57" s="13"/>
      <c r="RJV57" s="13"/>
      <c r="RJW57" s="13"/>
      <c r="RJX57" s="13"/>
      <c r="RJY57" s="13"/>
      <c r="RJZ57" s="13"/>
      <c r="RKA57" s="13"/>
      <c r="RKB57" s="13"/>
      <c r="RKC57" s="13"/>
      <c r="RKD57" s="13"/>
      <c r="RKE57" s="13"/>
      <c r="RKF57" s="13"/>
      <c r="RKG57" s="13"/>
      <c r="RKH57" s="13"/>
      <c r="RKI57" s="13"/>
      <c r="RKJ57" s="13"/>
      <c r="RKK57" s="13"/>
      <c r="RKL57" s="13"/>
      <c r="RKM57" s="13"/>
      <c r="RKN57" s="13"/>
      <c r="RKO57" s="13"/>
      <c r="RKP57" s="13"/>
      <c r="RKQ57" s="13"/>
      <c r="RKR57" s="13"/>
      <c r="RKS57" s="13"/>
      <c r="RKT57" s="13"/>
      <c r="RKU57" s="13"/>
      <c r="RKV57" s="13"/>
      <c r="RKW57" s="13"/>
      <c r="RKX57" s="13"/>
      <c r="RKY57" s="13"/>
      <c r="RKZ57" s="13"/>
      <c r="RLA57" s="13"/>
      <c r="RLB57" s="13"/>
      <c r="RLC57" s="13"/>
      <c r="RLD57" s="13"/>
      <c r="RLE57" s="13"/>
      <c r="RLF57" s="13"/>
      <c r="RLG57" s="13"/>
      <c r="RLH57" s="13"/>
      <c r="RLI57" s="13"/>
      <c r="RLJ57" s="13"/>
      <c r="RLK57" s="13"/>
      <c r="RLL57" s="13"/>
      <c r="RLM57" s="13"/>
      <c r="RLN57" s="13"/>
      <c r="RLO57" s="13"/>
      <c r="RLP57" s="13"/>
      <c r="RLQ57" s="13"/>
      <c r="RLR57" s="13"/>
      <c r="RLS57" s="13"/>
      <c r="RLT57" s="13"/>
      <c r="RLU57" s="13"/>
      <c r="RLV57" s="13"/>
      <c r="RLW57" s="13"/>
      <c r="RLX57" s="13"/>
      <c r="RLY57" s="13"/>
      <c r="RLZ57" s="13"/>
      <c r="RMA57" s="13"/>
      <c r="RMB57" s="13"/>
      <c r="RMC57" s="13"/>
      <c r="RMD57" s="13"/>
      <c r="RME57" s="13"/>
      <c r="RMF57" s="13"/>
      <c r="RMG57" s="13"/>
      <c r="RMH57" s="13"/>
      <c r="RMI57" s="13"/>
      <c r="RMJ57" s="13"/>
      <c r="RMK57" s="13"/>
      <c r="RML57" s="13"/>
      <c r="RMM57" s="13"/>
      <c r="RMN57" s="13"/>
      <c r="RMO57" s="13"/>
      <c r="RMP57" s="13"/>
      <c r="RMQ57" s="13"/>
      <c r="RMR57" s="13"/>
      <c r="RMS57" s="13"/>
      <c r="RMT57" s="13"/>
      <c r="RMU57" s="13"/>
      <c r="RMV57" s="13"/>
      <c r="RMW57" s="13"/>
      <c r="RMX57" s="13"/>
      <c r="RMY57" s="13"/>
      <c r="RMZ57" s="13"/>
      <c r="RNA57" s="13"/>
      <c r="RNB57" s="13"/>
      <c r="RNC57" s="13"/>
      <c r="RND57" s="13"/>
      <c r="RNE57" s="13"/>
      <c r="RNF57" s="13"/>
      <c r="RNG57" s="13"/>
      <c r="RNH57" s="13"/>
      <c r="RNI57" s="13"/>
      <c r="RNJ57" s="13"/>
      <c r="RNK57" s="13"/>
      <c r="RNL57" s="13"/>
      <c r="RNM57" s="13"/>
      <c r="RNN57" s="13"/>
      <c r="RNO57" s="13"/>
      <c r="RNP57" s="13"/>
      <c r="RNQ57" s="13"/>
      <c r="RNR57" s="13"/>
      <c r="RNS57" s="13"/>
      <c r="RNT57" s="13"/>
      <c r="RNU57" s="13"/>
      <c r="RNV57" s="13"/>
      <c r="RNW57" s="13"/>
      <c r="RNX57" s="13"/>
      <c r="RNY57" s="13"/>
      <c r="RNZ57" s="13"/>
      <c r="ROA57" s="13"/>
      <c r="ROB57" s="13"/>
      <c r="ROC57" s="13"/>
      <c r="ROD57" s="13"/>
      <c r="ROE57" s="13"/>
      <c r="ROF57" s="13"/>
      <c r="ROG57" s="13"/>
      <c r="ROH57" s="13"/>
      <c r="ROI57" s="13"/>
      <c r="ROJ57" s="13"/>
      <c r="ROK57" s="13"/>
      <c r="ROL57" s="13"/>
      <c r="ROM57" s="13"/>
      <c r="RON57" s="13"/>
      <c r="ROO57" s="13"/>
      <c r="ROP57" s="13"/>
      <c r="ROQ57" s="13"/>
      <c r="ROR57" s="13"/>
      <c r="ROS57" s="13"/>
      <c r="ROT57" s="13"/>
      <c r="ROU57" s="13"/>
      <c r="ROV57" s="13"/>
      <c r="ROW57" s="13"/>
      <c r="ROX57" s="13"/>
      <c r="ROY57" s="13"/>
      <c r="ROZ57" s="13"/>
      <c r="RPA57" s="13"/>
      <c r="RPB57" s="13"/>
      <c r="RPC57" s="13"/>
      <c r="RPD57" s="13"/>
      <c r="RPE57" s="13"/>
      <c r="RPF57" s="13"/>
      <c r="RPG57" s="13"/>
      <c r="RPH57" s="13"/>
      <c r="RPI57" s="13"/>
      <c r="RPJ57" s="13"/>
      <c r="RPK57" s="13"/>
      <c r="RPL57" s="13"/>
      <c r="RPM57" s="13"/>
      <c r="RPN57" s="13"/>
      <c r="RPO57" s="13"/>
      <c r="RPP57" s="13"/>
      <c r="RPQ57" s="13"/>
      <c r="RPR57" s="13"/>
      <c r="RPS57" s="13"/>
      <c r="RPT57" s="13"/>
      <c r="RPU57" s="13"/>
      <c r="RPV57" s="13"/>
      <c r="RPW57" s="13"/>
      <c r="RPX57" s="13"/>
      <c r="RPY57" s="13"/>
      <c r="RPZ57" s="13"/>
      <c r="RQA57" s="13"/>
      <c r="RQB57" s="13"/>
      <c r="RQC57" s="13"/>
      <c r="RQD57" s="13"/>
      <c r="RQE57" s="13"/>
      <c r="RQF57" s="13"/>
      <c r="RQG57" s="13"/>
      <c r="RQH57" s="13"/>
      <c r="RQI57" s="13"/>
      <c r="RQJ57" s="13"/>
      <c r="RQK57" s="13"/>
      <c r="RQL57" s="13"/>
      <c r="RQM57" s="13"/>
      <c r="RQN57" s="13"/>
      <c r="RQO57" s="13"/>
      <c r="RQP57" s="13"/>
      <c r="RQQ57" s="13"/>
      <c r="RQR57" s="13"/>
      <c r="RQS57" s="13"/>
      <c r="RQT57" s="13"/>
      <c r="RQU57" s="13"/>
      <c r="RQV57" s="13"/>
      <c r="RQW57" s="13"/>
      <c r="RQX57" s="13"/>
      <c r="RQY57" s="13"/>
      <c r="RQZ57" s="13"/>
      <c r="RRA57" s="13"/>
      <c r="RRB57" s="13"/>
      <c r="RRC57" s="13"/>
      <c r="RRD57" s="13"/>
      <c r="RRE57" s="13"/>
      <c r="RRF57" s="13"/>
      <c r="RRG57" s="13"/>
      <c r="RRH57" s="13"/>
      <c r="RRI57" s="13"/>
      <c r="RRJ57" s="13"/>
      <c r="RRK57" s="13"/>
      <c r="RRL57" s="13"/>
      <c r="RRM57" s="13"/>
      <c r="RRN57" s="13"/>
      <c r="RRO57" s="13"/>
      <c r="RRP57" s="13"/>
      <c r="RRQ57" s="13"/>
      <c r="RRR57" s="13"/>
      <c r="RRS57" s="13"/>
      <c r="RRT57" s="13"/>
      <c r="RRU57" s="13"/>
      <c r="RRV57" s="13"/>
      <c r="RRW57" s="13"/>
      <c r="RRX57" s="13"/>
      <c r="RRY57" s="13"/>
      <c r="RRZ57" s="13"/>
      <c r="RSA57" s="13"/>
      <c r="RSB57" s="13"/>
      <c r="RSC57" s="13"/>
      <c r="RSD57" s="13"/>
      <c r="RSE57" s="13"/>
      <c r="RSF57" s="13"/>
      <c r="RSG57" s="13"/>
      <c r="RSH57" s="13"/>
      <c r="RSI57" s="13"/>
      <c r="RSJ57" s="13"/>
      <c r="RSK57" s="13"/>
      <c r="RSL57" s="13"/>
      <c r="RSM57" s="13"/>
      <c r="RSN57" s="13"/>
      <c r="RSO57" s="13"/>
      <c r="RSP57" s="13"/>
      <c r="RSQ57" s="13"/>
      <c r="RSR57" s="13"/>
      <c r="RSS57" s="13"/>
      <c r="RST57" s="13"/>
      <c r="RSU57" s="13"/>
      <c r="RSV57" s="13"/>
      <c r="RSW57" s="13"/>
      <c r="RSX57" s="13"/>
      <c r="RSY57" s="13"/>
      <c r="RSZ57" s="13"/>
      <c r="RTA57" s="13"/>
      <c r="RTB57" s="13"/>
      <c r="RTC57" s="13"/>
      <c r="RTD57" s="13"/>
      <c r="RTE57" s="13"/>
      <c r="RTF57" s="13"/>
      <c r="RTG57" s="13"/>
      <c r="RTH57" s="13"/>
      <c r="RTI57" s="13"/>
      <c r="RTJ57" s="13"/>
      <c r="RTK57" s="13"/>
      <c r="RTL57" s="13"/>
      <c r="RTM57" s="13"/>
      <c r="RTN57" s="13"/>
      <c r="RTO57" s="13"/>
      <c r="RTP57" s="13"/>
      <c r="RTQ57" s="13"/>
      <c r="RTR57" s="13"/>
      <c r="RTS57" s="13"/>
      <c r="RTT57" s="13"/>
      <c r="RTU57" s="13"/>
      <c r="RTV57" s="13"/>
      <c r="RTW57" s="13"/>
      <c r="RTX57" s="13"/>
      <c r="RTY57" s="13"/>
      <c r="RTZ57" s="13"/>
      <c r="RUA57" s="13"/>
      <c r="RUB57" s="13"/>
      <c r="RUC57" s="13"/>
      <c r="RUD57" s="13"/>
      <c r="RUE57" s="13"/>
      <c r="RUF57" s="13"/>
      <c r="RUG57" s="13"/>
      <c r="RUH57" s="13"/>
      <c r="RUI57" s="13"/>
      <c r="RUJ57" s="13"/>
      <c r="RUK57" s="13"/>
      <c r="RUL57" s="13"/>
      <c r="RUM57" s="13"/>
      <c r="RUN57" s="13"/>
      <c r="RUO57" s="13"/>
      <c r="RUP57" s="13"/>
      <c r="RUQ57" s="13"/>
      <c r="RUR57" s="13"/>
      <c r="RUS57" s="13"/>
      <c r="RUT57" s="13"/>
      <c r="RUU57" s="13"/>
      <c r="RUV57" s="13"/>
      <c r="RUW57" s="13"/>
      <c r="RUX57" s="13"/>
      <c r="RUY57" s="13"/>
      <c r="RUZ57" s="13"/>
      <c r="RVA57" s="13"/>
      <c r="RVB57" s="13"/>
      <c r="RVC57" s="13"/>
      <c r="RVD57" s="13"/>
      <c r="RVE57" s="13"/>
      <c r="RVF57" s="13"/>
      <c r="RVG57" s="13"/>
      <c r="RVH57" s="13"/>
      <c r="RVI57" s="13"/>
      <c r="RVJ57" s="13"/>
      <c r="RVK57" s="13"/>
      <c r="RVL57" s="13"/>
      <c r="RVM57" s="13"/>
      <c r="RVN57" s="13"/>
      <c r="RVO57" s="13"/>
      <c r="RVP57" s="13"/>
      <c r="RVQ57" s="13"/>
      <c r="RVR57" s="13"/>
      <c r="RVS57" s="13"/>
      <c r="RVT57" s="13"/>
      <c r="RVU57" s="13"/>
      <c r="RVV57" s="13"/>
      <c r="RVW57" s="13"/>
      <c r="RVX57" s="13"/>
      <c r="RVY57" s="13"/>
      <c r="RVZ57" s="13"/>
      <c r="RWA57" s="13"/>
      <c r="RWB57" s="13"/>
      <c r="RWC57" s="13"/>
      <c r="RWD57" s="13"/>
      <c r="RWE57" s="13"/>
      <c r="RWF57" s="13"/>
      <c r="RWG57" s="13"/>
      <c r="RWH57" s="13"/>
      <c r="RWI57" s="13"/>
      <c r="RWJ57" s="13"/>
      <c r="RWK57" s="13"/>
      <c r="RWL57" s="13"/>
      <c r="RWM57" s="13"/>
      <c r="RWN57" s="13"/>
      <c r="RWO57" s="13"/>
      <c r="RWP57" s="13"/>
      <c r="RWQ57" s="13"/>
      <c r="RWR57" s="13"/>
      <c r="RWS57" s="13"/>
      <c r="RWT57" s="13"/>
      <c r="RWU57" s="13"/>
      <c r="RWV57" s="13"/>
      <c r="RWW57" s="13"/>
      <c r="RWX57" s="13"/>
      <c r="RWY57" s="13"/>
      <c r="RWZ57" s="13"/>
      <c r="RXA57" s="13"/>
      <c r="RXB57" s="13"/>
      <c r="RXC57" s="13"/>
      <c r="RXD57" s="13"/>
      <c r="RXE57" s="13"/>
      <c r="RXF57" s="13"/>
      <c r="RXG57" s="13"/>
      <c r="RXH57" s="13"/>
      <c r="RXI57" s="13"/>
      <c r="RXJ57" s="13"/>
      <c r="RXK57" s="13"/>
      <c r="RXL57" s="13"/>
      <c r="RXM57" s="13"/>
      <c r="RXN57" s="13"/>
      <c r="RXO57" s="13"/>
      <c r="RXP57" s="13"/>
      <c r="RXQ57" s="13"/>
      <c r="RXR57" s="13"/>
      <c r="RXS57" s="13"/>
      <c r="RXT57" s="13"/>
      <c r="RXU57" s="13"/>
      <c r="RXV57" s="13"/>
      <c r="RXW57" s="13"/>
      <c r="RXX57" s="13"/>
      <c r="RXY57" s="13"/>
      <c r="RXZ57" s="13"/>
      <c r="RYA57" s="13"/>
      <c r="RYB57" s="13"/>
      <c r="RYC57" s="13"/>
      <c r="RYD57" s="13"/>
      <c r="RYE57" s="13"/>
      <c r="RYF57" s="13"/>
      <c r="RYG57" s="13"/>
      <c r="RYH57" s="13"/>
      <c r="RYI57" s="13"/>
      <c r="RYJ57" s="13"/>
      <c r="RYK57" s="13"/>
      <c r="RYL57" s="13"/>
      <c r="RYM57" s="13"/>
      <c r="RYN57" s="13"/>
      <c r="RYO57" s="13"/>
      <c r="RYP57" s="13"/>
      <c r="RYQ57" s="13"/>
      <c r="RYR57" s="13"/>
      <c r="RYS57" s="13"/>
      <c r="RYT57" s="13"/>
      <c r="RYU57" s="13"/>
      <c r="RYV57" s="13"/>
      <c r="RYW57" s="13"/>
      <c r="RYX57" s="13"/>
      <c r="RYY57" s="13"/>
      <c r="RYZ57" s="13"/>
      <c r="RZA57" s="13"/>
      <c r="RZB57" s="13"/>
      <c r="RZC57" s="13"/>
      <c r="RZD57" s="13"/>
      <c r="RZE57" s="13"/>
      <c r="RZF57" s="13"/>
      <c r="RZG57" s="13"/>
      <c r="RZH57" s="13"/>
      <c r="RZI57" s="13"/>
      <c r="RZJ57" s="13"/>
      <c r="RZK57" s="13"/>
      <c r="RZL57" s="13"/>
      <c r="RZM57" s="13"/>
      <c r="RZN57" s="13"/>
      <c r="RZO57" s="13"/>
      <c r="RZP57" s="13"/>
      <c r="RZQ57" s="13"/>
      <c r="RZR57" s="13"/>
      <c r="RZS57" s="13"/>
      <c r="RZT57" s="13"/>
      <c r="RZU57" s="13"/>
      <c r="RZV57" s="13"/>
      <c r="RZW57" s="13"/>
      <c r="RZX57" s="13"/>
      <c r="RZY57" s="13"/>
      <c r="RZZ57" s="13"/>
      <c r="SAA57" s="13"/>
      <c r="SAB57" s="13"/>
      <c r="SAC57" s="13"/>
      <c r="SAD57" s="13"/>
      <c r="SAE57" s="13"/>
      <c r="SAF57" s="13"/>
      <c r="SAG57" s="13"/>
      <c r="SAH57" s="13"/>
      <c r="SAI57" s="13"/>
      <c r="SAJ57" s="13"/>
      <c r="SAK57" s="13"/>
      <c r="SAL57" s="13"/>
      <c r="SAM57" s="13"/>
      <c r="SAN57" s="13"/>
      <c r="SAO57" s="13"/>
      <c r="SAP57" s="13"/>
      <c r="SAQ57" s="13"/>
      <c r="SAR57" s="13"/>
      <c r="SAS57" s="13"/>
      <c r="SAT57" s="13"/>
      <c r="SAU57" s="13"/>
      <c r="SAV57" s="13"/>
      <c r="SAW57" s="13"/>
      <c r="SAX57" s="13"/>
      <c r="SAY57" s="13"/>
      <c r="SAZ57" s="13"/>
      <c r="SBA57" s="13"/>
      <c r="SBB57" s="13"/>
      <c r="SBC57" s="13"/>
      <c r="SBD57" s="13"/>
      <c r="SBE57" s="13"/>
      <c r="SBF57" s="13"/>
      <c r="SBG57" s="13"/>
      <c r="SBH57" s="13"/>
      <c r="SBI57" s="13"/>
      <c r="SBJ57" s="13"/>
      <c r="SBK57" s="13"/>
      <c r="SBL57" s="13"/>
      <c r="SBM57" s="13"/>
      <c r="SBN57" s="13"/>
      <c r="SBO57" s="13"/>
      <c r="SBP57" s="13"/>
      <c r="SBQ57" s="13"/>
      <c r="SBR57" s="13"/>
      <c r="SBS57" s="13"/>
      <c r="SBT57" s="13"/>
      <c r="SBU57" s="13"/>
      <c r="SBV57" s="13"/>
      <c r="SBW57" s="13"/>
      <c r="SBX57" s="13"/>
      <c r="SBY57" s="13"/>
      <c r="SBZ57" s="13"/>
      <c r="SCA57" s="13"/>
      <c r="SCB57" s="13"/>
      <c r="SCC57" s="13"/>
      <c r="SCD57" s="13"/>
      <c r="SCE57" s="13"/>
      <c r="SCF57" s="13"/>
      <c r="SCG57" s="13"/>
      <c r="SCH57" s="13"/>
      <c r="SCI57" s="13"/>
      <c r="SCJ57" s="13"/>
      <c r="SCK57" s="13"/>
      <c r="SCL57" s="13"/>
      <c r="SCM57" s="13"/>
      <c r="SCN57" s="13"/>
      <c r="SCO57" s="13"/>
      <c r="SCP57" s="13"/>
      <c r="SCQ57" s="13"/>
      <c r="SCR57" s="13"/>
      <c r="SCS57" s="13"/>
      <c r="SCT57" s="13"/>
      <c r="SCU57" s="13"/>
      <c r="SCV57" s="13"/>
      <c r="SCW57" s="13"/>
      <c r="SCX57" s="13"/>
      <c r="SCY57" s="13"/>
      <c r="SCZ57" s="13"/>
      <c r="SDA57" s="13"/>
      <c r="SDB57" s="13"/>
      <c r="SDC57" s="13"/>
      <c r="SDD57" s="13"/>
      <c r="SDE57" s="13"/>
      <c r="SDF57" s="13"/>
      <c r="SDG57" s="13"/>
      <c r="SDH57" s="13"/>
      <c r="SDI57" s="13"/>
      <c r="SDJ57" s="13"/>
      <c r="SDK57" s="13"/>
      <c r="SDL57" s="13"/>
      <c r="SDM57" s="13"/>
      <c r="SDN57" s="13"/>
      <c r="SDO57" s="13"/>
      <c r="SDP57" s="13"/>
      <c r="SDQ57" s="13"/>
      <c r="SDR57" s="13"/>
      <c r="SDS57" s="13"/>
      <c r="SDT57" s="13"/>
      <c r="SDU57" s="13"/>
      <c r="SDV57" s="13"/>
      <c r="SDW57" s="13"/>
      <c r="SDX57" s="13"/>
      <c r="SDY57" s="13"/>
      <c r="SDZ57" s="13"/>
      <c r="SEA57" s="13"/>
      <c r="SEB57" s="13"/>
      <c r="SEC57" s="13"/>
      <c r="SED57" s="13"/>
      <c r="SEE57" s="13"/>
      <c r="SEF57" s="13"/>
      <c r="SEG57" s="13"/>
      <c r="SEH57" s="13"/>
      <c r="SEI57" s="13"/>
      <c r="SEJ57" s="13"/>
      <c r="SEK57" s="13"/>
      <c r="SEL57" s="13"/>
      <c r="SEM57" s="13"/>
      <c r="SEN57" s="13"/>
      <c r="SEO57" s="13"/>
      <c r="SEP57" s="13"/>
      <c r="SEQ57" s="13"/>
      <c r="SER57" s="13"/>
      <c r="SES57" s="13"/>
      <c r="SET57" s="13"/>
      <c r="SEU57" s="13"/>
      <c r="SEV57" s="13"/>
      <c r="SEW57" s="13"/>
      <c r="SEX57" s="13"/>
      <c r="SEY57" s="13"/>
      <c r="SEZ57" s="13"/>
      <c r="SFA57" s="13"/>
      <c r="SFB57" s="13"/>
      <c r="SFC57" s="13"/>
      <c r="SFD57" s="13"/>
      <c r="SFE57" s="13"/>
      <c r="SFF57" s="13"/>
      <c r="SFG57" s="13"/>
      <c r="SFH57" s="13"/>
      <c r="SFI57" s="13"/>
      <c r="SFJ57" s="13"/>
      <c r="SFK57" s="13"/>
      <c r="SFL57" s="13"/>
      <c r="SFM57" s="13"/>
      <c r="SFN57" s="13"/>
      <c r="SFO57" s="13"/>
      <c r="SFP57" s="13"/>
      <c r="SFQ57" s="13"/>
      <c r="SFR57" s="13"/>
      <c r="SFS57" s="13"/>
      <c r="SFT57" s="13"/>
      <c r="SFU57" s="13"/>
      <c r="SFV57" s="13"/>
      <c r="SFW57" s="13"/>
      <c r="SFX57" s="13"/>
      <c r="SFY57" s="13"/>
      <c r="SFZ57" s="13"/>
      <c r="SGA57" s="13"/>
      <c r="SGB57" s="13"/>
      <c r="SGC57" s="13"/>
      <c r="SGD57" s="13"/>
      <c r="SGE57" s="13"/>
      <c r="SGF57" s="13"/>
      <c r="SGG57" s="13"/>
      <c r="SGH57" s="13"/>
      <c r="SGI57" s="13"/>
      <c r="SGJ57" s="13"/>
      <c r="SGK57" s="13"/>
      <c r="SGL57" s="13"/>
      <c r="SGM57" s="13"/>
      <c r="SGN57" s="13"/>
      <c r="SGO57" s="13"/>
      <c r="SGP57" s="13"/>
      <c r="SGQ57" s="13"/>
      <c r="SGR57" s="13"/>
      <c r="SGS57" s="13"/>
      <c r="SGT57" s="13"/>
      <c r="SGU57" s="13"/>
      <c r="SGV57" s="13"/>
      <c r="SGW57" s="13"/>
      <c r="SGX57" s="13"/>
      <c r="SGY57" s="13"/>
      <c r="SGZ57" s="13"/>
      <c r="SHA57" s="13"/>
      <c r="SHB57" s="13"/>
      <c r="SHC57" s="13"/>
      <c r="SHD57" s="13"/>
      <c r="SHE57" s="13"/>
      <c r="SHF57" s="13"/>
      <c r="SHG57" s="13"/>
      <c r="SHH57" s="13"/>
      <c r="SHI57" s="13"/>
      <c r="SHJ57" s="13"/>
      <c r="SHK57" s="13"/>
      <c r="SHL57" s="13"/>
      <c r="SHM57" s="13"/>
      <c r="SHN57" s="13"/>
      <c r="SHO57" s="13"/>
      <c r="SHP57" s="13"/>
      <c r="SHQ57" s="13"/>
      <c r="SHR57" s="13"/>
      <c r="SHS57" s="13"/>
      <c r="SHT57" s="13"/>
      <c r="SHU57" s="13"/>
      <c r="SHV57" s="13"/>
      <c r="SHW57" s="13"/>
      <c r="SHX57" s="13"/>
      <c r="SHY57" s="13"/>
      <c r="SHZ57" s="13"/>
      <c r="SIA57" s="13"/>
      <c r="SIB57" s="13"/>
      <c r="SIC57" s="13"/>
      <c r="SID57" s="13"/>
      <c r="SIE57" s="13"/>
      <c r="SIF57" s="13"/>
      <c r="SIG57" s="13"/>
      <c r="SIH57" s="13"/>
      <c r="SII57" s="13"/>
      <c r="SIJ57" s="13"/>
      <c r="SIK57" s="13"/>
      <c r="SIL57" s="13"/>
      <c r="SIM57" s="13"/>
      <c r="SIN57" s="13"/>
      <c r="SIO57" s="13"/>
      <c r="SIP57" s="13"/>
      <c r="SIQ57" s="13"/>
      <c r="SIR57" s="13"/>
      <c r="SIS57" s="13"/>
      <c r="SIT57" s="13"/>
      <c r="SIU57" s="13"/>
      <c r="SIV57" s="13"/>
      <c r="SIW57" s="13"/>
      <c r="SIX57" s="13"/>
      <c r="SIY57" s="13"/>
      <c r="SIZ57" s="13"/>
      <c r="SJA57" s="13"/>
      <c r="SJB57" s="13"/>
      <c r="SJC57" s="13"/>
      <c r="SJD57" s="13"/>
      <c r="SJE57" s="13"/>
      <c r="SJF57" s="13"/>
      <c r="SJG57" s="13"/>
      <c r="SJH57" s="13"/>
      <c r="SJI57" s="13"/>
      <c r="SJJ57" s="13"/>
      <c r="SJK57" s="13"/>
      <c r="SJL57" s="13"/>
      <c r="SJM57" s="13"/>
      <c r="SJN57" s="13"/>
      <c r="SJO57" s="13"/>
      <c r="SJP57" s="13"/>
      <c r="SJQ57" s="13"/>
      <c r="SJR57" s="13"/>
      <c r="SJS57" s="13"/>
      <c r="SJT57" s="13"/>
      <c r="SJU57" s="13"/>
      <c r="SJV57" s="13"/>
      <c r="SJW57" s="13"/>
      <c r="SJX57" s="13"/>
      <c r="SJY57" s="13"/>
      <c r="SJZ57" s="13"/>
      <c r="SKA57" s="13"/>
      <c r="SKB57" s="13"/>
      <c r="SKC57" s="13"/>
      <c r="SKD57" s="13"/>
      <c r="SKE57" s="13"/>
      <c r="SKF57" s="13"/>
      <c r="SKG57" s="13"/>
      <c r="SKH57" s="13"/>
      <c r="SKI57" s="13"/>
      <c r="SKJ57" s="13"/>
      <c r="SKK57" s="13"/>
      <c r="SKL57" s="13"/>
      <c r="SKM57" s="13"/>
      <c r="SKN57" s="13"/>
      <c r="SKO57" s="13"/>
      <c r="SKP57" s="13"/>
      <c r="SKQ57" s="13"/>
      <c r="SKR57" s="13"/>
      <c r="SKS57" s="13"/>
      <c r="SKT57" s="13"/>
      <c r="SKU57" s="13"/>
      <c r="SKV57" s="13"/>
      <c r="SKW57" s="13"/>
      <c r="SKX57" s="13"/>
      <c r="SKY57" s="13"/>
      <c r="SKZ57" s="13"/>
      <c r="SLA57" s="13"/>
      <c r="SLB57" s="13"/>
      <c r="SLC57" s="13"/>
      <c r="SLD57" s="13"/>
      <c r="SLE57" s="13"/>
      <c r="SLF57" s="13"/>
      <c r="SLG57" s="13"/>
      <c r="SLH57" s="13"/>
      <c r="SLI57" s="13"/>
      <c r="SLJ57" s="13"/>
      <c r="SLK57" s="13"/>
      <c r="SLL57" s="13"/>
      <c r="SLM57" s="13"/>
      <c r="SLN57" s="13"/>
      <c r="SLO57" s="13"/>
      <c r="SLP57" s="13"/>
      <c r="SLQ57" s="13"/>
      <c r="SLR57" s="13"/>
      <c r="SLS57" s="13"/>
      <c r="SLT57" s="13"/>
      <c r="SLU57" s="13"/>
      <c r="SLV57" s="13"/>
      <c r="SLW57" s="13"/>
      <c r="SLX57" s="13"/>
      <c r="SLY57" s="13"/>
      <c r="SLZ57" s="13"/>
      <c r="SMA57" s="13"/>
      <c r="SMB57" s="13"/>
      <c r="SMC57" s="13"/>
      <c r="SMD57" s="13"/>
      <c r="SME57" s="13"/>
      <c r="SMF57" s="13"/>
      <c r="SMG57" s="13"/>
      <c r="SMH57" s="13"/>
      <c r="SMI57" s="13"/>
      <c r="SMJ57" s="13"/>
      <c r="SMK57" s="13"/>
      <c r="SML57" s="13"/>
      <c r="SMM57" s="13"/>
      <c r="SMN57" s="13"/>
      <c r="SMO57" s="13"/>
      <c r="SMP57" s="13"/>
      <c r="SMQ57" s="13"/>
      <c r="SMR57" s="13"/>
      <c r="SMS57" s="13"/>
      <c r="SMT57" s="13"/>
      <c r="SMU57" s="13"/>
      <c r="SMV57" s="13"/>
      <c r="SMW57" s="13"/>
      <c r="SMX57" s="13"/>
      <c r="SMY57" s="13"/>
      <c r="SMZ57" s="13"/>
      <c r="SNA57" s="13"/>
      <c r="SNB57" s="13"/>
      <c r="SNC57" s="13"/>
      <c r="SND57" s="13"/>
      <c r="SNE57" s="13"/>
      <c r="SNF57" s="13"/>
      <c r="SNG57" s="13"/>
      <c r="SNH57" s="13"/>
      <c r="SNI57" s="13"/>
      <c r="SNJ57" s="13"/>
      <c r="SNK57" s="13"/>
      <c r="SNL57" s="13"/>
      <c r="SNM57" s="13"/>
      <c r="SNN57" s="13"/>
      <c r="SNO57" s="13"/>
      <c r="SNP57" s="13"/>
      <c r="SNQ57" s="13"/>
      <c r="SNR57" s="13"/>
      <c r="SNS57" s="13"/>
      <c r="SNT57" s="13"/>
      <c r="SNU57" s="13"/>
      <c r="SNV57" s="13"/>
      <c r="SNW57" s="13"/>
      <c r="SNX57" s="13"/>
      <c r="SNY57" s="13"/>
      <c r="SNZ57" s="13"/>
      <c r="SOA57" s="13"/>
      <c r="SOB57" s="13"/>
      <c r="SOC57" s="13"/>
      <c r="SOD57" s="13"/>
      <c r="SOE57" s="13"/>
      <c r="SOF57" s="13"/>
      <c r="SOG57" s="13"/>
      <c r="SOH57" s="13"/>
      <c r="SOI57" s="13"/>
      <c r="SOJ57" s="13"/>
      <c r="SOK57" s="13"/>
      <c r="SOL57" s="13"/>
      <c r="SOM57" s="13"/>
      <c r="SON57" s="13"/>
      <c r="SOO57" s="13"/>
      <c r="SOP57" s="13"/>
      <c r="SOQ57" s="13"/>
      <c r="SOR57" s="13"/>
      <c r="SOS57" s="13"/>
      <c r="SOT57" s="13"/>
      <c r="SOU57" s="13"/>
      <c r="SOV57" s="13"/>
      <c r="SOW57" s="13"/>
      <c r="SOX57" s="13"/>
      <c r="SOY57" s="13"/>
      <c r="SOZ57" s="13"/>
      <c r="SPA57" s="13"/>
      <c r="SPB57" s="13"/>
      <c r="SPC57" s="13"/>
      <c r="SPD57" s="13"/>
      <c r="SPE57" s="13"/>
      <c r="SPF57" s="13"/>
      <c r="SPG57" s="13"/>
      <c r="SPH57" s="13"/>
      <c r="SPI57" s="13"/>
      <c r="SPJ57" s="13"/>
      <c r="SPK57" s="13"/>
      <c r="SPL57" s="13"/>
      <c r="SPM57" s="13"/>
      <c r="SPN57" s="13"/>
      <c r="SPO57" s="13"/>
      <c r="SPP57" s="13"/>
      <c r="SPQ57" s="13"/>
      <c r="SPR57" s="13"/>
      <c r="SPS57" s="13"/>
      <c r="SPT57" s="13"/>
      <c r="SPU57" s="13"/>
      <c r="SPV57" s="13"/>
      <c r="SPW57" s="13"/>
      <c r="SPX57" s="13"/>
      <c r="SPY57" s="13"/>
      <c r="SPZ57" s="13"/>
      <c r="SQA57" s="13"/>
      <c r="SQB57" s="13"/>
      <c r="SQC57" s="13"/>
      <c r="SQD57" s="13"/>
      <c r="SQE57" s="13"/>
      <c r="SQF57" s="13"/>
      <c r="SQG57" s="13"/>
      <c r="SQH57" s="13"/>
      <c r="SQI57" s="13"/>
      <c r="SQJ57" s="13"/>
      <c r="SQK57" s="13"/>
      <c r="SQL57" s="13"/>
      <c r="SQM57" s="13"/>
      <c r="SQN57" s="13"/>
      <c r="SQO57" s="13"/>
      <c r="SQP57" s="13"/>
      <c r="SQQ57" s="13"/>
      <c r="SQR57" s="13"/>
      <c r="SQS57" s="13"/>
      <c r="SQT57" s="13"/>
      <c r="SQU57" s="13"/>
      <c r="SQV57" s="13"/>
      <c r="SQW57" s="13"/>
      <c r="SQX57" s="13"/>
      <c r="SQY57" s="13"/>
      <c r="SQZ57" s="13"/>
      <c r="SRA57" s="13"/>
      <c r="SRB57" s="13"/>
      <c r="SRC57" s="13"/>
      <c r="SRD57" s="13"/>
      <c r="SRE57" s="13"/>
      <c r="SRF57" s="13"/>
      <c r="SRG57" s="13"/>
      <c r="SRH57" s="13"/>
      <c r="SRI57" s="13"/>
      <c r="SRJ57" s="13"/>
      <c r="SRK57" s="13"/>
      <c r="SRL57" s="13"/>
      <c r="SRM57" s="13"/>
      <c r="SRN57" s="13"/>
      <c r="SRO57" s="13"/>
      <c r="SRP57" s="13"/>
      <c r="SRQ57" s="13"/>
      <c r="SRR57" s="13"/>
      <c r="SRS57" s="13"/>
      <c r="SRT57" s="13"/>
      <c r="SRU57" s="13"/>
      <c r="SRV57" s="13"/>
      <c r="SRW57" s="13"/>
      <c r="SRX57" s="13"/>
      <c r="SRY57" s="13"/>
      <c r="SRZ57" s="13"/>
      <c r="SSA57" s="13"/>
      <c r="SSB57" s="13"/>
      <c r="SSC57" s="13"/>
      <c r="SSD57" s="13"/>
      <c r="SSE57" s="13"/>
      <c r="SSF57" s="13"/>
      <c r="SSG57" s="13"/>
      <c r="SSH57" s="13"/>
      <c r="SSI57" s="13"/>
      <c r="SSJ57" s="13"/>
      <c r="SSK57" s="13"/>
      <c r="SSL57" s="13"/>
      <c r="SSM57" s="13"/>
      <c r="SSN57" s="13"/>
      <c r="SSO57" s="13"/>
      <c r="SSP57" s="13"/>
      <c r="SSQ57" s="13"/>
      <c r="SSR57" s="13"/>
      <c r="SSS57" s="13"/>
      <c r="SST57" s="13"/>
      <c r="SSU57" s="13"/>
      <c r="SSV57" s="13"/>
      <c r="SSW57" s="13"/>
      <c r="SSX57" s="13"/>
      <c r="SSY57" s="13"/>
      <c r="SSZ57" s="13"/>
      <c r="STA57" s="13"/>
      <c r="STB57" s="13"/>
      <c r="STC57" s="13"/>
      <c r="STD57" s="13"/>
      <c r="STE57" s="13"/>
      <c r="STF57" s="13"/>
      <c r="STG57" s="13"/>
      <c r="STH57" s="13"/>
      <c r="STI57" s="13"/>
      <c r="STJ57" s="13"/>
      <c r="STK57" s="13"/>
      <c r="STL57" s="13"/>
      <c r="STM57" s="13"/>
      <c r="STN57" s="13"/>
      <c r="STO57" s="13"/>
      <c r="STP57" s="13"/>
      <c r="STQ57" s="13"/>
      <c r="STR57" s="13"/>
      <c r="STS57" s="13"/>
      <c r="STT57" s="13"/>
      <c r="STU57" s="13"/>
      <c r="STV57" s="13"/>
      <c r="STW57" s="13"/>
      <c r="STX57" s="13"/>
      <c r="STY57" s="13"/>
      <c r="STZ57" s="13"/>
      <c r="SUA57" s="13"/>
      <c r="SUB57" s="13"/>
      <c r="SUC57" s="13"/>
      <c r="SUD57" s="13"/>
      <c r="SUE57" s="13"/>
      <c r="SUF57" s="13"/>
      <c r="SUG57" s="13"/>
      <c r="SUH57" s="13"/>
      <c r="SUI57" s="13"/>
      <c r="SUJ57" s="13"/>
      <c r="SUK57" s="13"/>
      <c r="SUL57" s="13"/>
      <c r="SUM57" s="13"/>
      <c r="SUN57" s="13"/>
      <c r="SUO57" s="13"/>
      <c r="SUP57" s="13"/>
      <c r="SUQ57" s="13"/>
      <c r="SUR57" s="13"/>
      <c r="SUS57" s="13"/>
      <c r="SUT57" s="13"/>
      <c r="SUU57" s="13"/>
      <c r="SUV57" s="13"/>
      <c r="SUW57" s="13"/>
      <c r="SUX57" s="13"/>
      <c r="SUY57" s="13"/>
      <c r="SUZ57" s="13"/>
      <c r="SVA57" s="13"/>
      <c r="SVB57" s="13"/>
      <c r="SVC57" s="13"/>
      <c r="SVD57" s="13"/>
      <c r="SVE57" s="13"/>
      <c r="SVF57" s="13"/>
      <c r="SVG57" s="13"/>
      <c r="SVH57" s="13"/>
      <c r="SVI57" s="13"/>
      <c r="SVJ57" s="13"/>
      <c r="SVK57" s="13"/>
      <c r="SVL57" s="13"/>
      <c r="SVM57" s="13"/>
      <c r="SVN57" s="13"/>
      <c r="SVO57" s="13"/>
      <c r="SVP57" s="13"/>
      <c r="SVQ57" s="13"/>
      <c r="SVR57" s="13"/>
      <c r="SVS57" s="13"/>
      <c r="SVT57" s="13"/>
      <c r="SVU57" s="13"/>
      <c r="SVV57" s="13"/>
      <c r="SVW57" s="13"/>
      <c r="SVX57" s="13"/>
      <c r="SVY57" s="13"/>
      <c r="SVZ57" s="13"/>
      <c r="SWA57" s="13"/>
      <c r="SWB57" s="13"/>
      <c r="SWC57" s="13"/>
      <c r="SWD57" s="13"/>
      <c r="SWE57" s="13"/>
      <c r="SWF57" s="13"/>
      <c r="SWG57" s="13"/>
      <c r="SWH57" s="13"/>
      <c r="SWI57" s="13"/>
      <c r="SWJ57" s="13"/>
      <c r="SWK57" s="13"/>
      <c r="SWL57" s="13"/>
      <c r="SWM57" s="13"/>
      <c r="SWN57" s="13"/>
      <c r="SWO57" s="13"/>
      <c r="SWP57" s="13"/>
      <c r="SWQ57" s="13"/>
      <c r="SWR57" s="13"/>
      <c r="SWS57" s="13"/>
      <c r="SWT57" s="13"/>
      <c r="SWU57" s="13"/>
      <c r="SWV57" s="13"/>
      <c r="SWW57" s="13"/>
      <c r="SWX57" s="13"/>
      <c r="SWY57" s="13"/>
      <c r="SWZ57" s="13"/>
      <c r="SXA57" s="13"/>
      <c r="SXB57" s="13"/>
      <c r="SXC57" s="13"/>
      <c r="SXD57" s="13"/>
      <c r="SXE57" s="13"/>
      <c r="SXF57" s="13"/>
      <c r="SXG57" s="13"/>
      <c r="SXH57" s="13"/>
      <c r="SXI57" s="13"/>
      <c r="SXJ57" s="13"/>
      <c r="SXK57" s="13"/>
      <c r="SXL57" s="13"/>
      <c r="SXM57" s="13"/>
      <c r="SXN57" s="13"/>
      <c r="SXO57" s="13"/>
      <c r="SXP57" s="13"/>
      <c r="SXQ57" s="13"/>
      <c r="SXR57" s="13"/>
      <c r="SXS57" s="13"/>
      <c r="SXT57" s="13"/>
      <c r="SXU57" s="13"/>
      <c r="SXV57" s="13"/>
      <c r="SXW57" s="13"/>
      <c r="SXX57" s="13"/>
      <c r="SXY57" s="13"/>
      <c r="SXZ57" s="13"/>
      <c r="SYA57" s="13"/>
      <c r="SYB57" s="13"/>
      <c r="SYC57" s="13"/>
      <c r="SYD57" s="13"/>
      <c r="SYE57" s="13"/>
      <c r="SYF57" s="13"/>
      <c r="SYG57" s="13"/>
      <c r="SYH57" s="13"/>
      <c r="SYI57" s="13"/>
      <c r="SYJ57" s="13"/>
      <c r="SYK57" s="13"/>
      <c r="SYL57" s="13"/>
      <c r="SYM57" s="13"/>
      <c r="SYN57" s="13"/>
      <c r="SYO57" s="13"/>
      <c r="SYP57" s="13"/>
      <c r="SYQ57" s="13"/>
      <c r="SYR57" s="13"/>
      <c r="SYS57" s="13"/>
      <c r="SYT57" s="13"/>
      <c r="SYU57" s="13"/>
      <c r="SYV57" s="13"/>
      <c r="SYW57" s="13"/>
      <c r="SYX57" s="13"/>
      <c r="SYY57" s="13"/>
      <c r="SYZ57" s="13"/>
      <c r="SZA57" s="13"/>
      <c r="SZB57" s="13"/>
      <c r="SZC57" s="13"/>
      <c r="SZD57" s="13"/>
      <c r="SZE57" s="13"/>
      <c r="SZF57" s="13"/>
      <c r="SZG57" s="13"/>
      <c r="SZH57" s="13"/>
      <c r="SZI57" s="13"/>
      <c r="SZJ57" s="13"/>
      <c r="SZK57" s="13"/>
      <c r="SZL57" s="13"/>
      <c r="SZM57" s="13"/>
      <c r="SZN57" s="13"/>
      <c r="SZO57" s="13"/>
      <c r="SZP57" s="13"/>
      <c r="SZQ57" s="13"/>
      <c r="SZR57" s="13"/>
      <c r="SZS57" s="13"/>
      <c r="SZT57" s="13"/>
      <c r="SZU57" s="13"/>
      <c r="SZV57" s="13"/>
      <c r="SZW57" s="13"/>
      <c r="SZX57" s="13"/>
      <c r="SZY57" s="13"/>
      <c r="SZZ57" s="13"/>
      <c r="TAA57" s="13"/>
      <c r="TAB57" s="13"/>
      <c r="TAC57" s="13"/>
      <c r="TAD57" s="13"/>
      <c r="TAE57" s="13"/>
      <c r="TAF57" s="13"/>
      <c r="TAG57" s="13"/>
      <c r="TAH57" s="13"/>
      <c r="TAI57" s="13"/>
      <c r="TAJ57" s="13"/>
      <c r="TAK57" s="13"/>
      <c r="TAL57" s="13"/>
      <c r="TAM57" s="13"/>
      <c r="TAN57" s="13"/>
      <c r="TAO57" s="13"/>
      <c r="TAP57" s="13"/>
      <c r="TAQ57" s="13"/>
      <c r="TAR57" s="13"/>
      <c r="TAS57" s="13"/>
      <c r="TAT57" s="13"/>
      <c r="TAU57" s="13"/>
      <c r="TAV57" s="13"/>
      <c r="TAW57" s="13"/>
      <c r="TAX57" s="13"/>
      <c r="TAY57" s="13"/>
      <c r="TAZ57" s="13"/>
      <c r="TBA57" s="13"/>
      <c r="TBB57" s="13"/>
      <c r="TBC57" s="13"/>
      <c r="TBD57" s="13"/>
      <c r="TBE57" s="13"/>
      <c r="TBF57" s="13"/>
      <c r="TBG57" s="13"/>
      <c r="TBH57" s="13"/>
      <c r="TBI57" s="13"/>
      <c r="TBJ57" s="13"/>
      <c r="TBK57" s="13"/>
      <c r="TBL57" s="13"/>
      <c r="TBM57" s="13"/>
      <c r="TBN57" s="13"/>
      <c r="TBO57" s="13"/>
      <c r="TBP57" s="13"/>
      <c r="TBQ57" s="13"/>
      <c r="TBR57" s="13"/>
      <c r="TBS57" s="13"/>
      <c r="TBT57" s="13"/>
      <c r="TBU57" s="13"/>
      <c r="TBV57" s="13"/>
      <c r="TBW57" s="13"/>
      <c r="TBX57" s="13"/>
      <c r="TBY57" s="13"/>
      <c r="TBZ57" s="13"/>
      <c r="TCA57" s="13"/>
      <c r="TCB57" s="13"/>
      <c r="TCC57" s="13"/>
      <c r="TCD57" s="13"/>
      <c r="TCE57" s="13"/>
      <c r="TCF57" s="13"/>
      <c r="TCG57" s="13"/>
      <c r="TCH57" s="13"/>
      <c r="TCI57" s="13"/>
      <c r="TCJ57" s="13"/>
      <c r="TCK57" s="13"/>
      <c r="TCL57" s="13"/>
      <c r="TCM57" s="13"/>
      <c r="TCN57" s="13"/>
      <c r="TCO57" s="13"/>
      <c r="TCP57" s="13"/>
      <c r="TCQ57" s="13"/>
      <c r="TCR57" s="13"/>
      <c r="TCS57" s="13"/>
      <c r="TCT57" s="13"/>
      <c r="TCU57" s="13"/>
      <c r="TCV57" s="13"/>
      <c r="TCW57" s="13"/>
      <c r="TCX57" s="13"/>
      <c r="TCY57" s="13"/>
      <c r="TCZ57" s="13"/>
      <c r="TDA57" s="13"/>
      <c r="TDB57" s="13"/>
      <c r="TDC57" s="13"/>
      <c r="TDD57" s="13"/>
      <c r="TDE57" s="13"/>
      <c r="TDF57" s="13"/>
      <c r="TDG57" s="13"/>
      <c r="TDH57" s="13"/>
      <c r="TDI57" s="13"/>
      <c r="TDJ57" s="13"/>
      <c r="TDK57" s="13"/>
      <c r="TDL57" s="13"/>
      <c r="TDM57" s="13"/>
      <c r="TDN57" s="13"/>
      <c r="TDO57" s="13"/>
      <c r="TDP57" s="13"/>
      <c r="TDQ57" s="13"/>
      <c r="TDR57" s="13"/>
      <c r="TDS57" s="13"/>
      <c r="TDT57" s="13"/>
      <c r="TDU57" s="13"/>
      <c r="TDV57" s="13"/>
      <c r="TDW57" s="13"/>
      <c r="TDX57" s="13"/>
      <c r="TDY57" s="13"/>
      <c r="TDZ57" s="13"/>
      <c r="TEA57" s="13"/>
      <c r="TEB57" s="13"/>
      <c r="TEC57" s="13"/>
      <c r="TED57" s="13"/>
      <c r="TEE57" s="13"/>
      <c r="TEF57" s="13"/>
      <c r="TEG57" s="13"/>
      <c r="TEH57" s="13"/>
      <c r="TEI57" s="13"/>
      <c r="TEJ57" s="13"/>
      <c r="TEK57" s="13"/>
      <c r="TEL57" s="13"/>
      <c r="TEM57" s="13"/>
      <c r="TEN57" s="13"/>
      <c r="TEO57" s="13"/>
      <c r="TEP57" s="13"/>
      <c r="TEQ57" s="13"/>
      <c r="TER57" s="13"/>
      <c r="TES57" s="13"/>
      <c r="TET57" s="13"/>
      <c r="TEU57" s="13"/>
      <c r="TEV57" s="13"/>
      <c r="TEW57" s="13"/>
      <c r="TEX57" s="13"/>
      <c r="TEY57" s="13"/>
      <c r="TEZ57" s="13"/>
      <c r="TFA57" s="13"/>
      <c r="TFB57" s="13"/>
      <c r="TFC57" s="13"/>
      <c r="TFD57" s="13"/>
      <c r="TFE57" s="13"/>
      <c r="TFF57" s="13"/>
      <c r="TFG57" s="13"/>
      <c r="TFH57" s="13"/>
      <c r="TFI57" s="13"/>
      <c r="TFJ57" s="13"/>
      <c r="TFK57" s="13"/>
      <c r="TFL57" s="13"/>
      <c r="TFM57" s="13"/>
      <c r="TFN57" s="13"/>
      <c r="TFO57" s="13"/>
      <c r="TFP57" s="13"/>
      <c r="TFQ57" s="13"/>
      <c r="TFR57" s="13"/>
      <c r="TFS57" s="13"/>
      <c r="TFT57" s="13"/>
      <c r="TFU57" s="13"/>
      <c r="TFV57" s="13"/>
      <c r="TFW57" s="13"/>
      <c r="TFX57" s="13"/>
      <c r="TFY57" s="13"/>
      <c r="TFZ57" s="13"/>
      <c r="TGA57" s="13"/>
      <c r="TGB57" s="13"/>
      <c r="TGC57" s="13"/>
      <c r="TGD57" s="13"/>
      <c r="TGE57" s="13"/>
      <c r="TGF57" s="13"/>
      <c r="TGG57" s="13"/>
      <c r="TGH57" s="13"/>
      <c r="TGI57" s="13"/>
      <c r="TGJ57" s="13"/>
      <c r="TGK57" s="13"/>
      <c r="TGL57" s="13"/>
      <c r="TGM57" s="13"/>
      <c r="TGN57" s="13"/>
      <c r="TGO57" s="13"/>
      <c r="TGP57" s="13"/>
      <c r="TGQ57" s="13"/>
      <c r="TGR57" s="13"/>
      <c r="TGS57" s="13"/>
      <c r="TGT57" s="13"/>
      <c r="TGU57" s="13"/>
      <c r="TGV57" s="13"/>
      <c r="TGW57" s="13"/>
      <c r="TGX57" s="13"/>
      <c r="TGY57" s="13"/>
      <c r="TGZ57" s="13"/>
      <c r="THA57" s="13"/>
      <c r="THB57" s="13"/>
      <c r="THC57" s="13"/>
      <c r="THD57" s="13"/>
      <c r="THE57" s="13"/>
      <c r="THF57" s="13"/>
      <c r="THG57" s="13"/>
      <c r="THH57" s="13"/>
      <c r="THI57" s="13"/>
      <c r="THJ57" s="13"/>
      <c r="THK57" s="13"/>
      <c r="THL57" s="13"/>
      <c r="THM57" s="13"/>
      <c r="THN57" s="13"/>
      <c r="THO57" s="13"/>
      <c r="THP57" s="13"/>
      <c r="THQ57" s="13"/>
      <c r="THR57" s="13"/>
      <c r="THS57" s="13"/>
      <c r="THT57" s="13"/>
      <c r="THU57" s="13"/>
      <c r="THV57" s="13"/>
      <c r="THW57" s="13"/>
      <c r="THX57" s="13"/>
      <c r="THY57" s="13"/>
      <c r="THZ57" s="13"/>
      <c r="TIA57" s="13"/>
      <c r="TIB57" s="13"/>
      <c r="TIC57" s="13"/>
      <c r="TID57" s="13"/>
      <c r="TIE57" s="13"/>
      <c r="TIF57" s="13"/>
      <c r="TIG57" s="13"/>
      <c r="TIH57" s="13"/>
      <c r="TII57" s="13"/>
      <c r="TIJ57" s="13"/>
      <c r="TIK57" s="13"/>
      <c r="TIL57" s="13"/>
      <c r="TIM57" s="13"/>
      <c r="TIN57" s="13"/>
      <c r="TIO57" s="13"/>
      <c r="TIP57" s="13"/>
      <c r="TIQ57" s="13"/>
      <c r="TIR57" s="13"/>
      <c r="TIS57" s="13"/>
      <c r="TIT57" s="13"/>
      <c r="TIU57" s="13"/>
      <c r="TIV57" s="13"/>
      <c r="TIW57" s="13"/>
      <c r="TIX57" s="13"/>
      <c r="TIY57" s="13"/>
      <c r="TIZ57" s="13"/>
      <c r="TJA57" s="13"/>
      <c r="TJB57" s="13"/>
      <c r="TJC57" s="13"/>
      <c r="TJD57" s="13"/>
      <c r="TJE57" s="13"/>
      <c r="TJF57" s="13"/>
      <c r="TJG57" s="13"/>
      <c r="TJH57" s="13"/>
      <c r="TJI57" s="13"/>
      <c r="TJJ57" s="13"/>
      <c r="TJK57" s="13"/>
      <c r="TJL57" s="13"/>
      <c r="TJM57" s="13"/>
      <c r="TJN57" s="13"/>
      <c r="TJO57" s="13"/>
      <c r="TJP57" s="13"/>
      <c r="TJQ57" s="13"/>
      <c r="TJR57" s="13"/>
      <c r="TJS57" s="13"/>
      <c r="TJT57" s="13"/>
      <c r="TJU57" s="13"/>
      <c r="TJV57" s="13"/>
      <c r="TJW57" s="13"/>
      <c r="TJX57" s="13"/>
      <c r="TJY57" s="13"/>
      <c r="TJZ57" s="13"/>
      <c r="TKA57" s="13"/>
      <c r="TKB57" s="13"/>
      <c r="TKC57" s="13"/>
      <c r="TKD57" s="13"/>
      <c r="TKE57" s="13"/>
      <c r="TKF57" s="13"/>
      <c r="TKG57" s="13"/>
      <c r="TKH57" s="13"/>
      <c r="TKI57" s="13"/>
      <c r="TKJ57" s="13"/>
      <c r="TKK57" s="13"/>
      <c r="TKL57" s="13"/>
      <c r="TKM57" s="13"/>
      <c r="TKN57" s="13"/>
      <c r="TKO57" s="13"/>
      <c r="TKP57" s="13"/>
      <c r="TKQ57" s="13"/>
      <c r="TKR57" s="13"/>
      <c r="TKS57" s="13"/>
      <c r="TKT57" s="13"/>
      <c r="TKU57" s="13"/>
      <c r="TKV57" s="13"/>
      <c r="TKW57" s="13"/>
      <c r="TKX57" s="13"/>
      <c r="TKY57" s="13"/>
      <c r="TKZ57" s="13"/>
      <c r="TLA57" s="13"/>
      <c r="TLB57" s="13"/>
      <c r="TLC57" s="13"/>
      <c r="TLD57" s="13"/>
      <c r="TLE57" s="13"/>
      <c r="TLF57" s="13"/>
      <c r="TLG57" s="13"/>
      <c r="TLH57" s="13"/>
      <c r="TLI57" s="13"/>
      <c r="TLJ57" s="13"/>
      <c r="TLK57" s="13"/>
      <c r="TLL57" s="13"/>
      <c r="TLM57" s="13"/>
      <c r="TLN57" s="13"/>
      <c r="TLO57" s="13"/>
      <c r="TLP57" s="13"/>
      <c r="TLQ57" s="13"/>
      <c r="TLR57" s="13"/>
      <c r="TLS57" s="13"/>
      <c r="TLT57" s="13"/>
      <c r="TLU57" s="13"/>
      <c r="TLV57" s="13"/>
      <c r="TLW57" s="13"/>
      <c r="TLX57" s="13"/>
      <c r="TLY57" s="13"/>
      <c r="TLZ57" s="13"/>
      <c r="TMA57" s="13"/>
      <c r="TMB57" s="13"/>
      <c r="TMC57" s="13"/>
      <c r="TMD57" s="13"/>
      <c r="TME57" s="13"/>
      <c r="TMF57" s="13"/>
      <c r="TMG57" s="13"/>
      <c r="TMH57" s="13"/>
      <c r="TMI57" s="13"/>
      <c r="TMJ57" s="13"/>
      <c r="TMK57" s="13"/>
      <c r="TML57" s="13"/>
      <c r="TMM57" s="13"/>
      <c r="TMN57" s="13"/>
      <c r="TMO57" s="13"/>
      <c r="TMP57" s="13"/>
      <c r="TMQ57" s="13"/>
      <c r="TMR57" s="13"/>
      <c r="TMS57" s="13"/>
      <c r="TMT57" s="13"/>
      <c r="TMU57" s="13"/>
      <c r="TMV57" s="13"/>
      <c r="TMW57" s="13"/>
      <c r="TMX57" s="13"/>
      <c r="TMY57" s="13"/>
      <c r="TMZ57" s="13"/>
      <c r="TNA57" s="13"/>
      <c r="TNB57" s="13"/>
      <c r="TNC57" s="13"/>
      <c r="TND57" s="13"/>
      <c r="TNE57" s="13"/>
      <c r="TNF57" s="13"/>
      <c r="TNG57" s="13"/>
      <c r="TNH57" s="13"/>
      <c r="TNI57" s="13"/>
      <c r="TNJ57" s="13"/>
      <c r="TNK57" s="13"/>
      <c r="TNL57" s="13"/>
      <c r="TNM57" s="13"/>
      <c r="TNN57" s="13"/>
      <c r="TNO57" s="13"/>
      <c r="TNP57" s="13"/>
      <c r="TNQ57" s="13"/>
      <c r="TNR57" s="13"/>
      <c r="TNS57" s="13"/>
      <c r="TNT57" s="13"/>
      <c r="TNU57" s="13"/>
      <c r="TNV57" s="13"/>
      <c r="TNW57" s="13"/>
      <c r="TNX57" s="13"/>
      <c r="TNY57" s="13"/>
      <c r="TNZ57" s="13"/>
      <c r="TOA57" s="13"/>
      <c r="TOB57" s="13"/>
      <c r="TOC57" s="13"/>
      <c r="TOD57" s="13"/>
      <c r="TOE57" s="13"/>
      <c r="TOF57" s="13"/>
      <c r="TOG57" s="13"/>
      <c r="TOH57" s="13"/>
      <c r="TOI57" s="13"/>
      <c r="TOJ57" s="13"/>
      <c r="TOK57" s="13"/>
      <c r="TOL57" s="13"/>
      <c r="TOM57" s="13"/>
      <c r="TON57" s="13"/>
      <c r="TOO57" s="13"/>
      <c r="TOP57" s="13"/>
      <c r="TOQ57" s="13"/>
      <c r="TOR57" s="13"/>
      <c r="TOS57" s="13"/>
      <c r="TOT57" s="13"/>
      <c r="TOU57" s="13"/>
      <c r="TOV57" s="13"/>
      <c r="TOW57" s="13"/>
      <c r="TOX57" s="13"/>
      <c r="TOY57" s="13"/>
      <c r="TOZ57" s="13"/>
      <c r="TPA57" s="13"/>
      <c r="TPB57" s="13"/>
      <c r="TPC57" s="13"/>
      <c r="TPD57" s="13"/>
      <c r="TPE57" s="13"/>
      <c r="TPF57" s="13"/>
      <c r="TPG57" s="13"/>
      <c r="TPH57" s="13"/>
      <c r="TPI57" s="13"/>
      <c r="TPJ57" s="13"/>
      <c r="TPK57" s="13"/>
      <c r="TPL57" s="13"/>
      <c r="TPM57" s="13"/>
      <c r="TPN57" s="13"/>
      <c r="TPO57" s="13"/>
      <c r="TPP57" s="13"/>
      <c r="TPQ57" s="13"/>
      <c r="TPR57" s="13"/>
      <c r="TPS57" s="13"/>
      <c r="TPT57" s="13"/>
      <c r="TPU57" s="13"/>
      <c r="TPV57" s="13"/>
      <c r="TPW57" s="13"/>
      <c r="TPX57" s="13"/>
      <c r="TPY57" s="13"/>
      <c r="TPZ57" s="13"/>
      <c r="TQA57" s="13"/>
      <c r="TQB57" s="13"/>
      <c r="TQC57" s="13"/>
      <c r="TQD57" s="13"/>
      <c r="TQE57" s="13"/>
      <c r="TQF57" s="13"/>
      <c r="TQG57" s="13"/>
      <c r="TQH57" s="13"/>
      <c r="TQI57" s="13"/>
      <c r="TQJ57" s="13"/>
      <c r="TQK57" s="13"/>
      <c r="TQL57" s="13"/>
      <c r="TQM57" s="13"/>
      <c r="TQN57" s="13"/>
      <c r="TQO57" s="13"/>
      <c r="TQP57" s="13"/>
      <c r="TQQ57" s="13"/>
      <c r="TQR57" s="13"/>
      <c r="TQS57" s="13"/>
      <c r="TQT57" s="13"/>
      <c r="TQU57" s="13"/>
      <c r="TQV57" s="13"/>
      <c r="TQW57" s="13"/>
      <c r="TQX57" s="13"/>
      <c r="TQY57" s="13"/>
      <c r="TQZ57" s="13"/>
      <c r="TRA57" s="13"/>
      <c r="TRB57" s="13"/>
      <c r="TRC57" s="13"/>
      <c r="TRD57" s="13"/>
      <c r="TRE57" s="13"/>
      <c r="TRF57" s="13"/>
      <c r="TRG57" s="13"/>
      <c r="TRH57" s="13"/>
      <c r="TRI57" s="13"/>
      <c r="TRJ57" s="13"/>
      <c r="TRK57" s="13"/>
      <c r="TRL57" s="13"/>
      <c r="TRM57" s="13"/>
      <c r="TRN57" s="13"/>
      <c r="TRO57" s="13"/>
      <c r="TRP57" s="13"/>
      <c r="TRQ57" s="13"/>
      <c r="TRR57" s="13"/>
      <c r="TRS57" s="13"/>
      <c r="TRT57" s="13"/>
      <c r="TRU57" s="13"/>
      <c r="TRV57" s="13"/>
      <c r="TRW57" s="13"/>
      <c r="TRX57" s="13"/>
      <c r="TRY57" s="13"/>
      <c r="TRZ57" s="13"/>
      <c r="TSA57" s="13"/>
      <c r="TSB57" s="13"/>
      <c r="TSC57" s="13"/>
      <c r="TSD57" s="13"/>
      <c r="TSE57" s="13"/>
      <c r="TSF57" s="13"/>
      <c r="TSG57" s="13"/>
      <c r="TSH57" s="13"/>
      <c r="TSI57" s="13"/>
      <c r="TSJ57" s="13"/>
      <c r="TSK57" s="13"/>
      <c r="TSL57" s="13"/>
      <c r="TSM57" s="13"/>
      <c r="TSN57" s="13"/>
      <c r="TSO57" s="13"/>
      <c r="TSP57" s="13"/>
      <c r="TSQ57" s="13"/>
      <c r="TSR57" s="13"/>
      <c r="TSS57" s="13"/>
      <c r="TST57" s="13"/>
      <c r="TSU57" s="13"/>
      <c r="TSV57" s="13"/>
      <c r="TSW57" s="13"/>
      <c r="TSX57" s="13"/>
      <c r="TSY57" s="13"/>
      <c r="TSZ57" s="13"/>
      <c r="TTA57" s="13"/>
      <c r="TTB57" s="13"/>
      <c r="TTC57" s="13"/>
      <c r="TTD57" s="13"/>
      <c r="TTE57" s="13"/>
      <c r="TTF57" s="13"/>
      <c r="TTG57" s="13"/>
      <c r="TTH57" s="13"/>
      <c r="TTI57" s="13"/>
      <c r="TTJ57" s="13"/>
      <c r="TTK57" s="13"/>
      <c r="TTL57" s="13"/>
      <c r="TTM57" s="13"/>
      <c r="TTN57" s="13"/>
      <c r="TTO57" s="13"/>
      <c r="TTP57" s="13"/>
      <c r="TTQ57" s="13"/>
      <c r="TTR57" s="13"/>
      <c r="TTS57" s="13"/>
      <c r="TTT57" s="13"/>
      <c r="TTU57" s="13"/>
      <c r="TTV57" s="13"/>
      <c r="TTW57" s="13"/>
      <c r="TTX57" s="13"/>
      <c r="TTY57" s="13"/>
      <c r="TTZ57" s="13"/>
      <c r="TUA57" s="13"/>
      <c r="TUB57" s="13"/>
      <c r="TUC57" s="13"/>
      <c r="TUD57" s="13"/>
      <c r="TUE57" s="13"/>
      <c r="TUF57" s="13"/>
      <c r="TUG57" s="13"/>
      <c r="TUH57" s="13"/>
      <c r="TUI57" s="13"/>
      <c r="TUJ57" s="13"/>
      <c r="TUK57" s="13"/>
      <c r="TUL57" s="13"/>
      <c r="TUM57" s="13"/>
      <c r="TUN57" s="13"/>
      <c r="TUO57" s="13"/>
      <c r="TUP57" s="13"/>
      <c r="TUQ57" s="13"/>
      <c r="TUR57" s="13"/>
      <c r="TUS57" s="13"/>
      <c r="TUT57" s="13"/>
      <c r="TUU57" s="13"/>
      <c r="TUV57" s="13"/>
      <c r="TUW57" s="13"/>
      <c r="TUX57" s="13"/>
      <c r="TUY57" s="13"/>
      <c r="TUZ57" s="13"/>
      <c r="TVA57" s="13"/>
      <c r="TVB57" s="13"/>
      <c r="TVC57" s="13"/>
      <c r="TVD57" s="13"/>
      <c r="TVE57" s="13"/>
      <c r="TVF57" s="13"/>
      <c r="TVG57" s="13"/>
      <c r="TVH57" s="13"/>
      <c r="TVI57" s="13"/>
      <c r="TVJ57" s="13"/>
      <c r="TVK57" s="13"/>
      <c r="TVL57" s="13"/>
      <c r="TVM57" s="13"/>
      <c r="TVN57" s="13"/>
      <c r="TVO57" s="13"/>
      <c r="TVP57" s="13"/>
      <c r="TVQ57" s="13"/>
      <c r="TVR57" s="13"/>
      <c r="TVS57" s="13"/>
      <c r="TVT57" s="13"/>
      <c r="TVU57" s="13"/>
      <c r="TVV57" s="13"/>
      <c r="TVW57" s="13"/>
      <c r="TVX57" s="13"/>
      <c r="TVY57" s="13"/>
      <c r="TVZ57" s="13"/>
      <c r="TWA57" s="13"/>
      <c r="TWB57" s="13"/>
      <c r="TWC57" s="13"/>
      <c r="TWD57" s="13"/>
      <c r="TWE57" s="13"/>
      <c r="TWF57" s="13"/>
      <c r="TWG57" s="13"/>
      <c r="TWH57" s="13"/>
      <c r="TWI57" s="13"/>
      <c r="TWJ57" s="13"/>
      <c r="TWK57" s="13"/>
      <c r="TWL57" s="13"/>
      <c r="TWM57" s="13"/>
      <c r="TWN57" s="13"/>
      <c r="TWO57" s="13"/>
      <c r="TWP57" s="13"/>
      <c r="TWQ57" s="13"/>
      <c r="TWR57" s="13"/>
      <c r="TWS57" s="13"/>
      <c r="TWT57" s="13"/>
      <c r="TWU57" s="13"/>
      <c r="TWV57" s="13"/>
      <c r="TWW57" s="13"/>
      <c r="TWX57" s="13"/>
      <c r="TWY57" s="13"/>
      <c r="TWZ57" s="13"/>
      <c r="TXA57" s="13"/>
      <c r="TXB57" s="13"/>
      <c r="TXC57" s="13"/>
      <c r="TXD57" s="13"/>
      <c r="TXE57" s="13"/>
      <c r="TXF57" s="13"/>
      <c r="TXG57" s="13"/>
      <c r="TXH57" s="13"/>
      <c r="TXI57" s="13"/>
      <c r="TXJ57" s="13"/>
      <c r="TXK57" s="13"/>
      <c r="TXL57" s="13"/>
      <c r="TXM57" s="13"/>
      <c r="TXN57" s="13"/>
      <c r="TXO57" s="13"/>
      <c r="TXP57" s="13"/>
      <c r="TXQ57" s="13"/>
      <c r="TXR57" s="13"/>
      <c r="TXS57" s="13"/>
      <c r="TXT57" s="13"/>
      <c r="TXU57" s="13"/>
      <c r="TXV57" s="13"/>
      <c r="TXW57" s="13"/>
      <c r="TXX57" s="13"/>
      <c r="TXY57" s="13"/>
      <c r="TXZ57" s="13"/>
      <c r="TYA57" s="13"/>
      <c r="TYB57" s="13"/>
      <c r="TYC57" s="13"/>
      <c r="TYD57" s="13"/>
      <c r="TYE57" s="13"/>
      <c r="TYF57" s="13"/>
      <c r="TYG57" s="13"/>
      <c r="TYH57" s="13"/>
      <c r="TYI57" s="13"/>
      <c r="TYJ57" s="13"/>
      <c r="TYK57" s="13"/>
      <c r="TYL57" s="13"/>
      <c r="TYM57" s="13"/>
      <c r="TYN57" s="13"/>
      <c r="TYO57" s="13"/>
      <c r="TYP57" s="13"/>
      <c r="TYQ57" s="13"/>
      <c r="TYR57" s="13"/>
      <c r="TYS57" s="13"/>
      <c r="TYT57" s="13"/>
      <c r="TYU57" s="13"/>
      <c r="TYV57" s="13"/>
      <c r="TYW57" s="13"/>
      <c r="TYX57" s="13"/>
      <c r="TYY57" s="13"/>
      <c r="TYZ57" s="13"/>
      <c r="TZA57" s="13"/>
      <c r="TZB57" s="13"/>
      <c r="TZC57" s="13"/>
      <c r="TZD57" s="13"/>
      <c r="TZE57" s="13"/>
      <c r="TZF57" s="13"/>
      <c r="TZG57" s="13"/>
      <c r="TZH57" s="13"/>
      <c r="TZI57" s="13"/>
      <c r="TZJ57" s="13"/>
      <c r="TZK57" s="13"/>
      <c r="TZL57" s="13"/>
      <c r="TZM57" s="13"/>
      <c r="TZN57" s="13"/>
      <c r="TZO57" s="13"/>
      <c r="TZP57" s="13"/>
      <c r="TZQ57" s="13"/>
      <c r="TZR57" s="13"/>
      <c r="TZS57" s="13"/>
      <c r="TZT57" s="13"/>
      <c r="TZU57" s="13"/>
      <c r="TZV57" s="13"/>
      <c r="TZW57" s="13"/>
      <c r="TZX57" s="13"/>
      <c r="TZY57" s="13"/>
      <c r="TZZ57" s="13"/>
      <c r="UAA57" s="13"/>
      <c r="UAB57" s="13"/>
      <c r="UAC57" s="13"/>
      <c r="UAD57" s="13"/>
      <c r="UAE57" s="13"/>
      <c r="UAF57" s="13"/>
      <c r="UAG57" s="13"/>
      <c r="UAH57" s="13"/>
      <c r="UAI57" s="13"/>
      <c r="UAJ57" s="13"/>
      <c r="UAK57" s="13"/>
      <c r="UAL57" s="13"/>
      <c r="UAM57" s="13"/>
      <c r="UAN57" s="13"/>
      <c r="UAO57" s="13"/>
      <c r="UAP57" s="13"/>
      <c r="UAQ57" s="13"/>
      <c r="UAR57" s="13"/>
      <c r="UAS57" s="13"/>
      <c r="UAT57" s="13"/>
      <c r="UAU57" s="13"/>
      <c r="UAV57" s="13"/>
      <c r="UAW57" s="13"/>
      <c r="UAX57" s="13"/>
      <c r="UAY57" s="13"/>
      <c r="UAZ57" s="13"/>
      <c r="UBA57" s="13"/>
      <c r="UBB57" s="13"/>
      <c r="UBC57" s="13"/>
      <c r="UBD57" s="13"/>
      <c r="UBE57" s="13"/>
      <c r="UBF57" s="13"/>
      <c r="UBG57" s="13"/>
      <c r="UBH57" s="13"/>
      <c r="UBI57" s="13"/>
      <c r="UBJ57" s="13"/>
      <c r="UBK57" s="13"/>
      <c r="UBL57" s="13"/>
      <c r="UBM57" s="13"/>
      <c r="UBN57" s="13"/>
      <c r="UBO57" s="13"/>
      <c r="UBP57" s="13"/>
      <c r="UBQ57" s="13"/>
      <c r="UBR57" s="13"/>
      <c r="UBS57" s="13"/>
      <c r="UBT57" s="13"/>
      <c r="UBU57" s="13"/>
      <c r="UBV57" s="13"/>
      <c r="UBW57" s="13"/>
      <c r="UBX57" s="13"/>
      <c r="UBY57" s="13"/>
      <c r="UBZ57" s="13"/>
      <c r="UCA57" s="13"/>
      <c r="UCB57" s="13"/>
      <c r="UCC57" s="13"/>
      <c r="UCD57" s="13"/>
      <c r="UCE57" s="13"/>
      <c r="UCF57" s="13"/>
      <c r="UCG57" s="13"/>
      <c r="UCH57" s="13"/>
      <c r="UCI57" s="13"/>
      <c r="UCJ57" s="13"/>
      <c r="UCK57" s="13"/>
      <c r="UCL57" s="13"/>
      <c r="UCM57" s="13"/>
      <c r="UCN57" s="13"/>
      <c r="UCO57" s="13"/>
      <c r="UCP57" s="13"/>
      <c r="UCQ57" s="13"/>
      <c r="UCR57" s="13"/>
      <c r="UCS57" s="13"/>
      <c r="UCT57" s="13"/>
      <c r="UCU57" s="13"/>
      <c r="UCV57" s="13"/>
      <c r="UCW57" s="13"/>
      <c r="UCX57" s="13"/>
      <c r="UCY57" s="13"/>
      <c r="UCZ57" s="13"/>
      <c r="UDA57" s="13"/>
      <c r="UDB57" s="13"/>
      <c r="UDC57" s="13"/>
      <c r="UDD57" s="13"/>
      <c r="UDE57" s="13"/>
      <c r="UDF57" s="13"/>
      <c r="UDG57" s="13"/>
      <c r="UDH57" s="13"/>
      <c r="UDI57" s="13"/>
      <c r="UDJ57" s="13"/>
      <c r="UDK57" s="13"/>
      <c r="UDL57" s="13"/>
      <c r="UDM57" s="13"/>
      <c r="UDN57" s="13"/>
      <c r="UDO57" s="13"/>
      <c r="UDP57" s="13"/>
      <c r="UDQ57" s="13"/>
      <c r="UDR57" s="13"/>
      <c r="UDS57" s="13"/>
      <c r="UDT57" s="13"/>
      <c r="UDU57" s="13"/>
      <c r="UDV57" s="13"/>
      <c r="UDW57" s="13"/>
      <c r="UDX57" s="13"/>
      <c r="UDY57" s="13"/>
      <c r="UDZ57" s="13"/>
      <c r="UEA57" s="13"/>
      <c r="UEB57" s="13"/>
      <c r="UEC57" s="13"/>
      <c r="UED57" s="13"/>
      <c r="UEE57" s="13"/>
      <c r="UEF57" s="13"/>
      <c r="UEG57" s="13"/>
      <c r="UEH57" s="13"/>
      <c r="UEI57" s="13"/>
      <c r="UEJ57" s="13"/>
      <c r="UEK57" s="13"/>
      <c r="UEL57" s="13"/>
      <c r="UEM57" s="13"/>
      <c r="UEN57" s="13"/>
      <c r="UEO57" s="13"/>
      <c r="UEP57" s="13"/>
      <c r="UEQ57" s="13"/>
      <c r="UER57" s="13"/>
      <c r="UES57" s="13"/>
      <c r="UET57" s="13"/>
      <c r="UEU57" s="13"/>
      <c r="UEV57" s="13"/>
      <c r="UEW57" s="13"/>
      <c r="UEX57" s="13"/>
      <c r="UEY57" s="13"/>
      <c r="UEZ57" s="13"/>
      <c r="UFA57" s="13"/>
      <c r="UFB57" s="13"/>
      <c r="UFC57" s="13"/>
      <c r="UFD57" s="13"/>
      <c r="UFE57" s="13"/>
      <c r="UFF57" s="13"/>
      <c r="UFG57" s="13"/>
      <c r="UFH57" s="13"/>
      <c r="UFI57" s="13"/>
      <c r="UFJ57" s="13"/>
      <c r="UFK57" s="13"/>
      <c r="UFL57" s="13"/>
      <c r="UFM57" s="13"/>
      <c r="UFN57" s="13"/>
      <c r="UFO57" s="13"/>
      <c r="UFP57" s="13"/>
      <c r="UFQ57" s="13"/>
      <c r="UFR57" s="13"/>
      <c r="UFS57" s="13"/>
      <c r="UFT57" s="13"/>
      <c r="UFU57" s="13"/>
      <c r="UFV57" s="13"/>
      <c r="UFW57" s="13"/>
      <c r="UFX57" s="13"/>
      <c r="UFY57" s="13"/>
      <c r="UFZ57" s="13"/>
      <c r="UGA57" s="13"/>
      <c r="UGB57" s="13"/>
      <c r="UGC57" s="13"/>
      <c r="UGD57" s="13"/>
      <c r="UGE57" s="13"/>
      <c r="UGF57" s="13"/>
      <c r="UGG57" s="13"/>
      <c r="UGH57" s="13"/>
      <c r="UGI57" s="13"/>
      <c r="UGJ57" s="13"/>
      <c r="UGK57" s="13"/>
      <c r="UGL57" s="13"/>
      <c r="UGM57" s="13"/>
      <c r="UGN57" s="13"/>
      <c r="UGO57" s="13"/>
      <c r="UGP57" s="13"/>
      <c r="UGQ57" s="13"/>
      <c r="UGR57" s="13"/>
      <c r="UGS57" s="13"/>
      <c r="UGT57" s="13"/>
      <c r="UGU57" s="13"/>
      <c r="UGV57" s="13"/>
      <c r="UGW57" s="13"/>
      <c r="UGX57" s="13"/>
      <c r="UGY57" s="13"/>
      <c r="UGZ57" s="13"/>
      <c r="UHA57" s="13"/>
      <c r="UHB57" s="13"/>
      <c r="UHC57" s="13"/>
      <c r="UHD57" s="13"/>
      <c r="UHE57" s="13"/>
      <c r="UHF57" s="13"/>
      <c r="UHG57" s="13"/>
      <c r="UHH57" s="13"/>
      <c r="UHI57" s="13"/>
      <c r="UHJ57" s="13"/>
      <c r="UHK57" s="13"/>
      <c r="UHL57" s="13"/>
      <c r="UHM57" s="13"/>
      <c r="UHN57" s="13"/>
      <c r="UHO57" s="13"/>
      <c r="UHP57" s="13"/>
      <c r="UHQ57" s="13"/>
      <c r="UHR57" s="13"/>
      <c r="UHS57" s="13"/>
      <c r="UHT57" s="13"/>
      <c r="UHU57" s="13"/>
      <c r="UHV57" s="13"/>
      <c r="UHW57" s="13"/>
      <c r="UHX57" s="13"/>
      <c r="UHY57" s="13"/>
      <c r="UHZ57" s="13"/>
      <c r="UIA57" s="13"/>
      <c r="UIB57" s="13"/>
      <c r="UIC57" s="13"/>
      <c r="UID57" s="13"/>
      <c r="UIE57" s="13"/>
      <c r="UIF57" s="13"/>
      <c r="UIG57" s="13"/>
      <c r="UIH57" s="13"/>
      <c r="UII57" s="13"/>
      <c r="UIJ57" s="13"/>
      <c r="UIK57" s="13"/>
      <c r="UIL57" s="13"/>
      <c r="UIM57" s="13"/>
      <c r="UIN57" s="13"/>
      <c r="UIO57" s="13"/>
      <c r="UIP57" s="13"/>
      <c r="UIQ57" s="13"/>
      <c r="UIR57" s="13"/>
      <c r="UIS57" s="13"/>
      <c r="UIT57" s="13"/>
      <c r="UIU57" s="13"/>
      <c r="UIV57" s="13"/>
      <c r="UIW57" s="13"/>
      <c r="UIX57" s="13"/>
      <c r="UIY57" s="13"/>
      <c r="UIZ57" s="13"/>
      <c r="UJA57" s="13"/>
      <c r="UJB57" s="13"/>
      <c r="UJC57" s="13"/>
      <c r="UJD57" s="13"/>
      <c r="UJE57" s="13"/>
      <c r="UJF57" s="13"/>
      <c r="UJG57" s="13"/>
      <c r="UJH57" s="13"/>
      <c r="UJI57" s="13"/>
      <c r="UJJ57" s="13"/>
      <c r="UJK57" s="13"/>
      <c r="UJL57" s="13"/>
      <c r="UJM57" s="13"/>
      <c r="UJN57" s="13"/>
      <c r="UJO57" s="13"/>
      <c r="UJP57" s="13"/>
      <c r="UJQ57" s="13"/>
      <c r="UJR57" s="13"/>
      <c r="UJS57" s="13"/>
      <c r="UJT57" s="13"/>
      <c r="UJU57" s="13"/>
      <c r="UJV57" s="13"/>
      <c r="UJW57" s="13"/>
      <c r="UJX57" s="13"/>
      <c r="UJY57" s="13"/>
      <c r="UJZ57" s="13"/>
      <c r="UKA57" s="13"/>
      <c r="UKB57" s="13"/>
      <c r="UKC57" s="13"/>
      <c r="UKD57" s="13"/>
      <c r="UKE57" s="13"/>
      <c r="UKF57" s="13"/>
      <c r="UKG57" s="13"/>
      <c r="UKH57" s="13"/>
      <c r="UKI57" s="13"/>
      <c r="UKJ57" s="13"/>
      <c r="UKK57" s="13"/>
      <c r="UKL57" s="13"/>
      <c r="UKM57" s="13"/>
      <c r="UKN57" s="13"/>
      <c r="UKO57" s="13"/>
      <c r="UKP57" s="13"/>
      <c r="UKQ57" s="13"/>
      <c r="UKR57" s="13"/>
      <c r="UKS57" s="13"/>
      <c r="UKT57" s="13"/>
      <c r="UKU57" s="13"/>
      <c r="UKV57" s="13"/>
      <c r="UKW57" s="13"/>
      <c r="UKX57" s="13"/>
      <c r="UKY57" s="13"/>
      <c r="UKZ57" s="13"/>
      <c r="ULA57" s="13"/>
      <c r="ULB57" s="13"/>
      <c r="ULC57" s="13"/>
      <c r="ULD57" s="13"/>
      <c r="ULE57" s="13"/>
      <c r="ULF57" s="13"/>
      <c r="ULG57" s="13"/>
      <c r="ULH57" s="13"/>
      <c r="ULI57" s="13"/>
      <c r="ULJ57" s="13"/>
      <c r="ULK57" s="13"/>
      <c r="ULL57" s="13"/>
      <c r="ULM57" s="13"/>
      <c r="ULN57" s="13"/>
      <c r="ULO57" s="13"/>
      <c r="ULP57" s="13"/>
      <c r="ULQ57" s="13"/>
      <c r="ULR57" s="13"/>
      <c r="ULS57" s="13"/>
      <c r="ULT57" s="13"/>
      <c r="ULU57" s="13"/>
      <c r="ULV57" s="13"/>
      <c r="ULW57" s="13"/>
      <c r="ULX57" s="13"/>
      <c r="ULY57" s="13"/>
      <c r="ULZ57" s="13"/>
      <c r="UMA57" s="13"/>
      <c r="UMB57" s="13"/>
      <c r="UMC57" s="13"/>
      <c r="UMD57" s="13"/>
      <c r="UME57" s="13"/>
      <c r="UMF57" s="13"/>
      <c r="UMG57" s="13"/>
      <c r="UMH57" s="13"/>
      <c r="UMI57" s="13"/>
      <c r="UMJ57" s="13"/>
      <c r="UMK57" s="13"/>
      <c r="UML57" s="13"/>
      <c r="UMM57" s="13"/>
      <c r="UMN57" s="13"/>
      <c r="UMO57" s="13"/>
      <c r="UMP57" s="13"/>
      <c r="UMQ57" s="13"/>
      <c r="UMR57" s="13"/>
      <c r="UMS57" s="13"/>
      <c r="UMT57" s="13"/>
      <c r="UMU57" s="13"/>
      <c r="UMV57" s="13"/>
      <c r="UMW57" s="13"/>
      <c r="UMX57" s="13"/>
      <c r="UMY57" s="13"/>
      <c r="UMZ57" s="13"/>
      <c r="UNA57" s="13"/>
      <c r="UNB57" s="13"/>
      <c r="UNC57" s="13"/>
      <c r="UND57" s="13"/>
      <c r="UNE57" s="13"/>
      <c r="UNF57" s="13"/>
      <c r="UNG57" s="13"/>
      <c r="UNH57" s="13"/>
      <c r="UNI57" s="13"/>
      <c r="UNJ57" s="13"/>
      <c r="UNK57" s="13"/>
      <c r="UNL57" s="13"/>
      <c r="UNM57" s="13"/>
      <c r="UNN57" s="13"/>
      <c r="UNO57" s="13"/>
      <c r="UNP57" s="13"/>
      <c r="UNQ57" s="13"/>
      <c r="UNR57" s="13"/>
      <c r="UNS57" s="13"/>
      <c r="UNT57" s="13"/>
      <c r="UNU57" s="13"/>
      <c r="UNV57" s="13"/>
      <c r="UNW57" s="13"/>
      <c r="UNX57" s="13"/>
      <c r="UNY57" s="13"/>
      <c r="UNZ57" s="13"/>
      <c r="UOA57" s="13"/>
      <c r="UOB57" s="13"/>
      <c r="UOC57" s="13"/>
      <c r="UOD57" s="13"/>
      <c r="UOE57" s="13"/>
      <c r="UOF57" s="13"/>
      <c r="UOG57" s="13"/>
      <c r="UOH57" s="13"/>
      <c r="UOI57" s="13"/>
      <c r="UOJ57" s="13"/>
      <c r="UOK57" s="13"/>
      <c r="UOL57" s="13"/>
      <c r="UOM57" s="13"/>
      <c r="UON57" s="13"/>
      <c r="UOO57" s="13"/>
      <c r="UOP57" s="13"/>
      <c r="UOQ57" s="13"/>
      <c r="UOR57" s="13"/>
      <c r="UOS57" s="13"/>
      <c r="UOT57" s="13"/>
      <c r="UOU57" s="13"/>
      <c r="UOV57" s="13"/>
      <c r="UOW57" s="13"/>
      <c r="UOX57" s="13"/>
      <c r="UOY57" s="13"/>
      <c r="UOZ57" s="13"/>
      <c r="UPA57" s="13"/>
      <c r="UPB57" s="13"/>
      <c r="UPC57" s="13"/>
      <c r="UPD57" s="13"/>
      <c r="UPE57" s="13"/>
      <c r="UPF57" s="13"/>
      <c r="UPG57" s="13"/>
      <c r="UPH57" s="13"/>
      <c r="UPI57" s="13"/>
      <c r="UPJ57" s="13"/>
      <c r="UPK57" s="13"/>
      <c r="UPL57" s="13"/>
      <c r="UPM57" s="13"/>
      <c r="UPN57" s="13"/>
      <c r="UPO57" s="13"/>
      <c r="UPP57" s="13"/>
      <c r="UPQ57" s="13"/>
      <c r="UPR57" s="13"/>
      <c r="UPS57" s="13"/>
      <c r="UPT57" s="13"/>
      <c r="UPU57" s="13"/>
      <c r="UPV57" s="13"/>
      <c r="UPW57" s="13"/>
      <c r="UPX57" s="13"/>
      <c r="UPY57" s="13"/>
      <c r="UPZ57" s="13"/>
      <c r="UQA57" s="13"/>
      <c r="UQB57" s="13"/>
      <c r="UQC57" s="13"/>
      <c r="UQD57" s="13"/>
      <c r="UQE57" s="13"/>
      <c r="UQF57" s="13"/>
      <c r="UQG57" s="13"/>
      <c r="UQH57" s="13"/>
      <c r="UQI57" s="13"/>
      <c r="UQJ57" s="13"/>
      <c r="UQK57" s="13"/>
      <c r="UQL57" s="13"/>
      <c r="UQM57" s="13"/>
      <c r="UQN57" s="13"/>
      <c r="UQO57" s="13"/>
      <c r="UQP57" s="13"/>
      <c r="UQQ57" s="13"/>
      <c r="UQR57" s="13"/>
      <c r="UQS57" s="13"/>
      <c r="UQT57" s="13"/>
      <c r="UQU57" s="13"/>
      <c r="UQV57" s="13"/>
      <c r="UQW57" s="13"/>
      <c r="UQX57" s="13"/>
      <c r="UQY57" s="13"/>
      <c r="UQZ57" s="13"/>
      <c r="URA57" s="13"/>
      <c r="URB57" s="13"/>
      <c r="URC57" s="13"/>
      <c r="URD57" s="13"/>
      <c r="URE57" s="13"/>
      <c r="URF57" s="13"/>
      <c r="URG57" s="13"/>
      <c r="URH57" s="13"/>
      <c r="URI57" s="13"/>
      <c r="URJ57" s="13"/>
      <c r="URK57" s="13"/>
      <c r="URL57" s="13"/>
      <c r="URM57" s="13"/>
      <c r="URN57" s="13"/>
      <c r="URO57" s="13"/>
      <c r="URP57" s="13"/>
      <c r="URQ57" s="13"/>
      <c r="URR57" s="13"/>
      <c r="URS57" s="13"/>
      <c r="URT57" s="13"/>
      <c r="URU57" s="13"/>
      <c r="URV57" s="13"/>
      <c r="URW57" s="13"/>
      <c r="URX57" s="13"/>
      <c r="URY57" s="13"/>
      <c r="URZ57" s="13"/>
      <c r="USA57" s="13"/>
      <c r="USB57" s="13"/>
      <c r="USC57" s="13"/>
      <c r="USD57" s="13"/>
      <c r="USE57" s="13"/>
      <c r="USF57" s="13"/>
      <c r="USG57" s="13"/>
      <c r="USH57" s="13"/>
      <c r="USI57" s="13"/>
      <c r="USJ57" s="13"/>
      <c r="USK57" s="13"/>
      <c r="USL57" s="13"/>
      <c r="USM57" s="13"/>
      <c r="USN57" s="13"/>
      <c r="USO57" s="13"/>
      <c r="USP57" s="13"/>
      <c r="USQ57" s="13"/>
      <c r="USR57" s="13"/>
      <c r="USS57" s="13"/>
      <c r="UST57" s="13"/>
      <c r="USU57" s="13"/>
      <c r="USV57" s="13"/>
      <c r="USW57" s="13"/>
      <c r="USX57" s="13"/>
      <c r="USY57" s="13"/>
      <c r="USZ57" s="13"/>
      <c r="UTA57" s="13"/>
      <c r="UTB57" s="13"/>
      <c r="UTC57" s="13"/>
      <c r="UTD57" s="13"/>
      <c r="UTE57" s="13"/>
      <c r="UTF57" s="13"/>
      <c r="UTG57" s="13"/>
      <c r="UTH57" s="13"/>
      <c r="UTI57" s="13"/>
      <c r="UTJ57" s="13"/>
      <c r="UTK57" s="13"/>
      <c r="UTL57" s="13"/>
      <c r="UTM57" s="13"/>
      <c r="UTN57" s="13"/>
      <c r="UTO57" s="13"/>
      <c r="UTP57" s="13"/>
      <c r="UTQ57" s="13"/>
      <c r="UTR57" s="13"/>
      <c r="UTS57" s="13"/>
      <c r="UTT57" s="13"/>
      <c r="UTU57" s="13"/>
      <c r="UTV57" s="13"/>
      <c r="UTW57" s="13"/>
      <c r="UTX57" s="13"/>
      <c r="UTY57" s="13"/>
      <c r="UTZ57" s="13"/>
      <c r="UUA57" s="13"/>
      <c r="UUB57" s="13"/>
      <c r="UUC57" s="13"/>
      <c r="UUD57" s="13"/>
      <c r="UUE57" s="13"/>
      <c r="UUF57" s="13"/>
      <c r="UUG57" s="13"/>
      <c r="UUH57" s="13"/>
      <c r="UUI57" s="13"/>
      <c r="UUJ57" s="13"/>
      <c r="UUK57" s="13"/>
      <c r="UUL57" s="13"/>
      <c r="UUM57" s="13"/>
      <c r="UUN57" s="13"/>
      <c r="UUO57" s="13"/>
      <c r="UUP57" s="13"/>
      <c r="UUQ57" s="13"/>
      <c r="UUR57" s="13"/>
      <c r="UUS57" s="13"/>
      <c r="UUT57" s="13"/>
      <c r="UUU57" s="13"/>
      <c r="UUV57" s="13"/>
      <c r="UUW57" s="13"/>
      <c r="UUX57" s="13"/>
      <c r="UUY57" s="13"/>
      <c r="UUZ57" s="13"/>
      <c r="UVA57" s="13"/>
      <c r="UVB57" s="13"/>
      <c r="UVC57" s="13"/>
      <c r="UVD57" s="13"/>
      <c r="UVE57" s="13"/>
      <c r="UVF57" s="13"/>
      <c r="UVG57" s="13"/>
      <c r="UVH57" s="13"/>
      <c r="UVI57" s="13"/>
      <c r="UVJ57" s="13"/>
      <c r="UVK57" s="13"/>
      <c r="UVL57" s="13"/>
      <c r="UVM57" s="13"/>
      <c r="UVN57" s="13"/>
      <c r="UVO57" s="13"/>
      <c r="UVP57" s="13"/>
      <c r="UVQ57" s="13"/>
      <c r="UVR57" s="13"/>
      <c r="UVS57" s="13"/>
      <c r="UVT57" s="13"/>
      <c r="UVU57" s="13"/>
      <c r="UVV57" s="13"/>
      <c r="UVW57" s="13"/>
      <c r="UVX57" s="13"/>
      <c r="UVY57" s="13"/>
      <c r="UVZ57" s="13"/>
      <c r="UWA57" s="13"/>
      <c r="UWB57" s="13"/>
      <c r="UWC57" s="13"/>
      <c r="UWD57" s="13"/>
      <c r="UWE57" s="13"/>
      <c r="UWF57" s="13"/>
      <c r="UWG57" s="13"/>
      <c r="UWH57" s="13"/>
      <c r="UWI57" s="13"/>
      <c r="UWJ57" s="13"/>
      <c r="UWK57" s="13"/>
      <c r="UWL57" s="13"/>
      <c r="UWM57" s="13"/>
      <c r="UWN57" s="13"/>
      <c r="UWO57" s="13"/>
      <c r="UWP57" s="13"/>
      <c r="UWQ57" s="13"/>
      <c r="UWR57" s="13"/>
      <c r="UWS57" s="13"/>
      <c r="UWT57" s="13"/>
      <c r="UWU57" s="13"/>
      <c r="UWV57" s="13"/>
      <c r="UWW57" s="13"/>
      <c r="UWX57" s="13"/>
      <c r="UWY57" s="13"/>
      <c r="UWZ57" s="13"/>
      <c r="UXA57" s="13"/>
      <c r="UXB57" s="13"/>
      <c r="UXC57" s="13"/>
      <c r="UXD57" s="13"/>
      <c r="UXE57" s="13"/>
      <c r="UXF57" s="13"/>
      <c r="UXG57" s="13"/>
      <c r="UXH57" s="13"/>
      <c r="UXI57" s="13"/>
      <c r="UXJ57" s="13"/>
      <c r="UXK57" s="13"/>
      <c r="UXL57" s="13"/>
      <c r="UXM57" s="13"/>
      <c r="UXN57" s="13"/>
      <c r="UXO57" s="13"/>
      <c r="UXP57" s="13"/>
      <c r="UXQ57" s="13"/>
      <c r="UXR57" s="13"/>
      <c r="UXS57" s="13"/>
      <c r="UXT57" s="13"/>
      <c r="UXU57" s="13"/>
      <c r="UXV57" s="13"/>
      <c r="UXW57" s="13"/>
      <c r="UXX57" s="13"/>
      <c r="UXY57" s="13"/>
      <c r="UXZ57" s="13"/>
      <c r="UYA57" s="13"/>
      <c r="UYB57" s="13"/>
      <c r="UYC57" s="13"/>
      <c r="UYD57" s="13"/>
      <c r="UYE57" s="13"/>
      <c r="UYF57" s="13"/>
      <c r="UYG57" s="13"/>
      <c r="UYH57" s="13"/>
      <c r="UYI57" s="13"/>
      <c r="UYJ57" s="13"/>
      <c r="UYK57" s="13"/>
      <c r="UYL57" s="13"/>
      <c r="UYM57" s="13"/>
      <c r="UYN57" s="13"/>
      <c r="UYO57" s="13"/>
      <c r="UYP57" s="13"/>
      <c r="UYQ57" s="13"/>
      <c r="UYR57" s="13"/>
      <c r="UYS57" s="13"/>
      <c r="UYT57" s="13"/>
      <c r="UYU57" s="13"/>
      <c r="UYV57" s="13"/>
      <c r="UYW57" s="13"/>
      <c r="UYX57" s="13"/>
      <c r="UYY57" s="13"/>
      <c r="UYZ57" s="13"/>
      <c r="UZA57" s="13"/>
      <c r="UZB57" s="13"/>
      <c r="UZC57" s="13"/>
      <c r="UZD57" s="13"/>
      <c r="UZE57" s="13"/>
      <c r="UZF57" s="13"/>
      <c r="UZG57" s="13"/>
      <c r="UZH57" s="13"/>
      <c r="UZI57" s="13"/>
      <c r="UZJ57" s="13"/>
      <c r="UZK57" s="13"/>
      <c r="UZL57" s="13"/>
      <c r="UZM57" s="13"/>
      <c r="UZN57" s="13"/>
      <c r="UZO57" s="13"/>
      <c r="UZP57" s="13"/>
      <c r="UZQ57" s="13"/>
      <c r="UZR57" s="13"/>
      <c r="UZS57" s="13"/>
      <c r="UZT57" s="13"/>
      <c r="UZU57" s="13"/>
      <c r="UZV57" s="13"/>
      <c r="UZW57" s="13"/>
      <c r="UZX57" s="13"/>
      <c r="UZY57" s="13"/>
      <c r="UZZ57" s="13"/>
      <c r="VAA57" s="13"/>
      <c r="VAB57" s="13"/>
      <c r="VAC57" s="13"/>
      <c r="VAD57" s="13"/>
      <c r="VAE57" s="13"/>
      <c r="VAF57" s="13"/>
      <c r="VAG57" s="13"/>
      <c r="VAH57" s="13"/>
      <c r="VAI57" s="13"/>
      <c r="VAJ57" s="13"/>
      <c r="VAK57" s="13"/>
      <c r="VAL57" s="13"/>
      <c r="VAM57" s="13"/>
      <c r="VAN57" s="13"/>
      <c r="VAO57" s="13"/>
      <c r="VAP57" s="13"/>
      <c r="VAQ57" s="13"/>
      <c r="VAR57" s="13"/>
      <c r="VAS57" s="13"/>
      <c r="VAT57" s="13"/>
      <c r="VAU57" s="13"/>
      <c r="VAV57" s="13"/>
      <c r="VAW57" s="13"/>
      <c r="VAX57" s="13"/>
      <c r="VAY57" s="13"/>
      <c r="VAZ57" s="13"/>
      <c r="VBA57" s="13"/>
      <c r="VBB57" s="13"/>
      <c r="VBC57" s="13"/>
      <c r="VBD57" s="13"/>
      <c r="VBE57" s="13"/>
      <c r="VBF57" s="13"/>
      <c r="VBG57" s="13"/>
      <c r="VBH57" s="13"/>
      <c r="VBI57" s="13"/>
      <c r="VBJ57" s="13"/>
      <c r="VBK57" s="13"/>
      <c r="VBL57" s="13"/>
      <c r="VBM57" s="13"/>
      <c r="VBN57" s="13"/>
      <c r="VBO57" s="13"/>
      <c r="VBP57" s="13"/>
      <c r="VBQ57" s="13"/>
      <c r="VBR57" s="13"/>
      <c r="VBS57" s="13"/>
      <c r="VBT57" s="13"/>
      <c r="VBU57" s="13"/>
      <c r="VBV57" s="13"/>
      <c r="VBW57" s="13"/>
      <c r="VBX57" s="13"/>
      <c r="VBY57" s="13"/>
      <c r="VBZ57" s="13"/>
      <c r="VCA57" s="13"/>
      <c r="VCB57" s="13"/>
      <c r="VCC57" s="13"/>
      <c r="VCD57" s="13"/>
      <c r="VCE57" s="13"/>
      <c r="VCF57" s="13"/>
      <c r="VCG57" s="13"/>
      <c r="VCH57" s="13"/>
      <c r="VCI57" s="13"/>
      <c r="VCJ57" s="13"/>
      <c r="VCK57" s="13"/>
      <c r="VCL57" s="13"/>
      <c r="VCM57" s="13"/>
      <c r="VCN57" s="13"/>
      <c r="VCO57" s="13"/>
      <c r="VCP57" s="13"/>
      <c r="VCQ57" s="13"/>
      <c r="VCR57" s="13"/>
      <c r="VCS57" s="13"/>
      <c r="VCT57" s="13"/>
      <c r="VCU57" s="13"/>
      <c r="VCV57" s="13"/>
      <c r="VCW57" s="13"/>
      <c r="VCX57" s="13"/>
      <c r="VCY57" s="13"/>
      <c r="VCZ57" s="13"/>
      <c r="VDA57" s="13"/>
      <c r="VDB57" s="13"/>
      <c r="VDC57" s="13"/>
      <c r="VDD57" s="13"/>
      <c r="VDE57" s="13"/>
      <c r="VDF57" s="13"/>
      <c r="VDG57" s="13"/>
      <c r="VDH57" s="13"/>
      <c r="VDI57" s="13"/>
      <c r="VDJ57" s="13"/>
      <c r="VDK57" s="13"/>
      <c r="VDL57" s="13"/>
      <c r="VDM57" s="13"/>
      <c r="VDN57" s="13"/>
      <c r="VDO57" s="13"/>
      <c r="VDP57" s="13"/>
      <c r="VDQ57" s="13"/>
      <c r="VDR57" s="13"/>
      <c r="VDS57" s="13"/>
      <c r="VDT57" s="13"/>
      <c r="VDU57" s="13"/>
      <c r="VDV57" s="13"/>
      <c r="VDW57" s="13"/>
      <c r="VDX57" s="13"/>
      <c r="VDY57" s="13"/>
      <c r="VDZ57" s="13"/>
      <c r="VEA57" s="13"/>
      <c r="VEB57" s="13"/>
      <c r="VEC57" s="13"/>
      <c r="VED57" s="13"/>
      <c r="VEE57" s="13"/>
      <c r="VEF57" s="13"/>
      <c r="VEG57" s="13"/>
      <c r="VEH57" s="13"/>
      <c r="VEI57" s="13"/>
      <c r="VEJ57" s="13"/>
      <c r="VEK57" s="13"/>
      <c r="VEL57" s="13"/>
      <c r="VEM57" s="13"/>
      <c r="VEN57" s="13"/>
      <c r="VEO57" s="13"/>
      <c r="VEP57" s="13"/>
      <c r="VEQ57" s="13"/>
      <c r="VER57" s="13"/>
      <c r="VES57" s="13"/>
      <c r="VET57" s="13"/>
      <c r="VEU57" s="13"/>
      <c r="VEV57" s="13"/>
      <c r="VEW57" s="13"/>
      <c r="VEX57" s="13"/>
      <c r="VEY57" s="13"/>
      <c r="VEZ57" s="13"/>
      <c r="VFA57" s="13"/>
      <c r="VFB57" s="13"/>
      <c r="VFC57" s="13"/>
      <c r="VFD57" s="13"/>
      <c r="VFE57" s="13"/>
      <c r="VFF57" s="13"/>
      <c r="VFG57" s="13"/>
      <c r="VFH57" s="13"/>
      <c r="VFI57" s="13"/>
      <c r="VFJ57" s="13"/>
      <c r="VFK57" s="13"/>
      <c r="VFL57" s="13"/>
      <c r="VFM57" s="13"/>
      <c r="VFN57" s="13"/>
      <c r="VFO57" s="13"/>
      <c r="VFP57" s="13"/>
      <c r="VFQ57" s="13"/>
      <c r="VFR57" s="13"/>
      <c r="VFS57" s="13"/>
      <c r="VFT57" s="13"/>
      <c r="VFU57" s="13"/>
      <c r="VFV57" s="13"/>
      <c r="VFW57" s="13"/>
      <c r="VFX57" s="13"/>
      <c r="VFY57" s="13"/>
      <c r="VFZ57" s="13"/>
      <c r="VGA57" s="13"/>
      <c r="VGB57" s="13"/>
      <c r="VGC57" s="13"/>
      <c r="VGD57" s="13"/>
      <c r="VGE57" s="13"/>
      <c r="VGF57" s="13"/>
      <c r="VGG57" s="13"/>
      <c r="VGH57" s="13"/>
      <c r="VGI57" s="13"/>
      <c r="VGJ57" s="13"/>
      <c r="VGK57" s="13"/>
      <c r="VGL57" s="13"/>
      <c r="VGM57" s="13"/>
      <c r="VGN57" s="13"/>
      <c r="VGO57" s="13"/>
      <c r="VGP57" s="13"/>
      <c r="VGQ57" s="13"/>
      <c r="VGR57" s="13"/>
      <c r="VGS57" s="13"/>
      <c r="VGT57" s="13"/>
      <c r="VGU57" s="13"/>
      <c r="VGV57" s="13"/>
      <c r="VGW57" s="13"/>
      <c r="VGX57" s="13"/>
      <c r="VGY57" s="13"/>
      <c r="VGZ57" s="13"/>
      <c r="VHA57" s="13"/>
      <c r="VHB57" s="13"/>
      <c r="VHC57" s="13"/>
      <c r="VHD57" s="13"/>
      <c r="VHE57" s="13"/>
      <c r="VHF57" s="13"/>
      <c r="VHG57" s="13"/>
      <c r="VHH57" s="13"/>
      <c r="VHI57" s="13"/>
      <c r="VHJ57" s="13"/>
      <c r="VHK57" s="13"/>
      <c r="VHL57" s="13"/>
      <c r="VHM57" s="13"/>
      <c r="VHN57" s="13"/>
      <c r="VHO57" s="13"/>
      <c r="VHP57" s="13"/>
      <c r="VHQ57" s="13"/>
      <c r="VHR57" s="13"/>
      <c r="VHS57" s="13"/>
      <c r="VHT57" s="13"/>
      <c r="VHU57" s="13"/>
      <c r="VHV57" s="13"/>
      <c r="VHW57" s="13"/>
      <c r="VHX57" s="13"/>
      <c r="VHY57" s="13"/>
      <c r="VHZ57" s="13"/>
      <c r="VIA57" s="13"/>
      <c r="VIB57" s="13"/>
      <c r="VIC57" s="13"/>
      <c r="VID57" s="13"/>
      <c r="VIE57" s="13"/>
      <c r="VIF57" s="13"/>
      <c r="VIG57" s="13"/>
      <c r="VIH57" s="13"/>
      <c r="VII57" s="13"/>
      <c r="VIJ57" s="13"/>
      <c r="VIK57" s="13"/>
      <c r="VIL57" s="13"/>
      <c r="VIM57" s="13"/>
      <c r="VIN57" s="13"/>
      <c r="VIO57" s="13"/>
      <c r="VIP57" s="13"/>
      <c r="VIQ57" s="13"/>
      <c r="VIR57" s="13"/>
      <c r="VIS57" s="13"/>
      <c r="VIT57" s="13"/>
      <c r="VIU57" s="13"/>
      <c r="VIV57" s="13"/>
      <c r="VIW57" s="13"/>
      <c r="VIX57" s="13"/>
      <c r="VIY57" s="13"/>
      <c r="VIZ57" s="13"/>
      <c r="VJA57" s="13"/>
      <c r="VJB57" s="13"/>
      <c r="VJC57" s="13"/>
      <c r="VJD57" s="13"/>
      <c r="VJE57" s="13"/>
      <c r="VJF57" s="13"/>
      <c r="VJG57" s="13"/>
      <c r="VJH57" s="13"/>
      <c r="VJI57" s="13"/>
      <c r="VJJ57" s="13"/>
      <c r="VJK57" s="13"/>
      <c r="VJL57" s="13"/>
      <c r="VJM57" s="13"/>
      <c r="VJN57" s="13"/>
      <c r="VJO57" s="13"/>
      <c r="VJP57" s="13"/>
      <c r="VJQ57" s="13"/>
      <c r="VJR57" s="13"/>
      <c r="VJS57" s="13"/>
      <c r="VJT57" s="13"/>
      <c r="VJU57" s="13"/>
      <c r="VJV57" s="13"/>
      <c r="VJW57" s="13"/>
      <c r="VJX57" s="13"/>
      <c r="VJY57" s="13"/>
      <c r="VJZ57" s="13"/>
      <c r="VKA57" s="13"/>
      <c r="VKB57" s="13"/>
      <c r="VKC57" s="13"/>
      <c r="VKD57" s="13"/>
      <c r="VKE57" s="13"/>
      <c r="VKF57" s="13"/>
      <c r="VKG57" s="13"/>
      <c r="VKH57" s="13"/>
      <c r="VKI57" s="13"/>
      <c r="VKJ57" s="13"/>
      <c r="VKK57" s="13"/>
      <c r="VKL57" s="13"/>
      <c r="VKM57" s="13"/>
      <c r="VKN57" s="13"/>
      <c r="VKO57" s="13"/>
      <c r="VKP57" s="13"/>
      <c r="VKQ57" s="13"/>
      <c r="VKR57" s="13"/>
      <c r="VKS57" s="13"/>
      <c r="VKT57" s="13"/>
      <c r="VKU57" s="13"/>
      <c r="VKV57" s="13"/>
      <c r="VKW57" s="13"/>
      <c r="VKX57" s="13"/>
      <c r="VKY57" s="13"/>
      <c r="VKZ57" s="13"/>
      <c r="VLA57" s="13"/>
      <c r="VLB57" s="13"/>
      <c r="VLC57" s="13"/>
      <c r="VLD57" s="13"/>
      <c r="VLE57" s="13"/>
      <c r="VLF57" s="13"/>
      <c r="VLG57" s="13"/>
      <c r="VLH57" s="13"/>
      <c r="VLI57" s="13"/>
      <c r="VLJ57" s="13"/>
      <c r="VLK57" s="13"/>
      <c r="VLL57" s="13"/>
      <c r="VLM57" s="13"/>
      <c r="VLN57" s="13"/>
      <c r="VLO57" s="13"/>
      <c r="VLP57" s="13"/>
      <c r="VLQ57" s="13"/>
      <c r="VLR57" s="13"/>
      <c r="VLS57" s="13"/>
      <c r="VLT57" s="13"/>
      <c r="VLU57" s="13"/>
      <c r="VLV57" s="13"/>
      <c r="VLW57" s="13"/>
      <c r="VLX57" s="13"/>
      <c r="VLY57" s="13"/>
      <c r="VLZ57" s="13"/>
      <c r="VMA57" s="13"/>
      <c r="VMB57" s="13"/>
      <c r="VMC57" s="13"/>
      <c r="VMD57" s="13"/>
      <c r="VME57" s="13"/>
      <c r="VMF57" s="13"/>
      <c r="VMG57" s="13"/>
      <c r="VMH57" s="13"/>
      <c r="VMI57" s="13"/>
      <c r="VMJ57" s="13"/>
      <c r="VMK57" s="13"/>
      <c r="VML57" s="13"/>
      <c r="VMM57" s="13"/>
      <c r="VMN57" s="13"/>
      <c r="VMO57" s="13"/>
      <c r="VMP57" s="13"/>
      <c r="VMQ57" s="13"/>
      <c r="VMR57" s="13"/>
      <c r="VMS57" s="13"/>
      <c r="VMT57" s="13"/>
      <c r="VMU57" s="13"/>
      <c r="VMV57" s="13"/>
      <c r="VMW57" s="13"/>
      <c r="VMX57" s="13"/>
      <c r="VMY57" s="13"/>
      <c r="VMZ57" s="13"/>
      <c r="VNA57" s="13"/>
      <c r="VNB57" s="13"/>
      <c r="VNC57" s="13"/>
      <c r="VND57" s="13"/>
      <c r="VNE57" s="13"/>
      <c r="VNF57" s="13"/>
      <c r="VNG57" s="13"/>
      <c r="VNH57" s="13"/>
      <c r="VNI57" s="13"/>
      <c r="VNJ57" s="13"/>
      <c r="VNK57" s="13"/>
      <c r="VNL57" s="13"/>
      <c r="VNM57" s="13"/>
      <c r="VNN57" s="13"/>
      <c r="VNO57" s="13"/>
      <c r="VNP57" s="13"/>
      <c r="VNQ57" s="13"/>
      <c r="VNR57" s="13"/>
      <c r="VNS57" s="13"/>
      <c r="VNT57" s="13"/>
      <c r="VNU57" s="13"/>
      <c r="VNV57" s="13"/>
      <c r="VNW57" s="13"/>
      <c r="VNX57" s="13"/>
      <c r="VNY57" s="13"/>
      <c r="VNZ57" s="13"/>
      <c r="VOA57" s="13"/>
      <c r="VOB57" s="13"/>
      <c r="VOC57" s="13"/>
      <c r="VOD57" s="13"/>
      <c r="VOE57" s="13"/>
      <c r="VOF57" s="13"/>
      <c r="VOG57" s="13"/>
      <c r="VOH57" s="13"/>
      <c r="VOI57" s="13"/>
      <c r="VOJ57" s="13"/>
      <c r="VOK57" s="13"/>
      <c r="VOL57" s="13"/>
      <c r="VOM57" s="13"/>
      <c r="VON57" s="13"/>
      <c r="VOO57" s="13"/>
      <c r="VOP57" s="13"/>
      <c r="VOQ57" s="13"/>
      <c r="VOR57" s="13"/>
      <c r="VOS57" s="13"/>
      <c r="VOT57" s="13"/>
      <c r="VOU57" s="13"/>
      <c r="VOV57" s="13"/>
      <c r="VOW57" s="13"/>
      <c r="VOX57" s="13"/>
      <c r="VOY57" s="13"/>
      <c r="VOZ57" s="13"/>
      <c r="VPA57" s="13"/>
      <c r="VPB57" s="13"/>
      <c r="VPC57" s="13"/>
      <c r="VPD57" s="13"/>
      <c r="VPE57" s="13"/>
      <c r="VPF57" s="13"/>
      <c r="VPG57" s="13"/>
      <c r="VPH57" s="13"/>
      <c r="VPI57" s="13"/>
      <c r="VPJ57" s="13"/>
      <c r="VPK57" s="13"/>
      <c r="VPL57" s="13"/>
      <c r="VPM57" s="13"/>
      <c r="VPN57" s="13"/>
      <c r="VPO57" s="13"/>
      <c r="VPP57" s="13"/>
      <c r="VPQ57" s="13"/>
      <c r="VPR57" s="13"/>
      <c r="VPS57" s="13"/>
      <c r="VPT57" s="13"/>
      <c r="VPU57" s="13"/>
      <c r="VPV57" s="13"/>
      <c r="VPW57" s="13"/>
      <c r="VPX57" s="13"/>
      <c r="VPY57" s="13"/>
      <c r="VPZ57" s="13"/>
      <c r="VQA57" s="13"/>
      <c r="VQB57" s="13"/>
      <c r="VQC57" s="13"/>
      <c r="VQD57" s="13"/>
      <c r="VQE57" s="13"/>
      <c r="VQF57" s="13"/>
      <c r="VQG57" s="13"/>
      <c r="VQH57" s="13"/>
      <c r="VQI57" s="13"/>
      <c r="VQJ57" s="13"/>
      <c r="VQK57" s="13"/>
      <c r="VQL57" s="13"/>
      <c r="VQM57" s="13"/>
      <c r="VQN57" s="13"/>
      <c r="VQO57" s="13"/>
      <c r="VQP57" s="13"/>
      <c r="VQQ57" s="13"/>
      <c r="VQR57" s="13"/>
      <c r="VQS57" s="13"/>
      <c r="VQT57" s="13"/>
      <c r="VQU57" s="13"/>
      <c r="VQV57" s="13"/>
      <c r="VQW57" s="13"/>
      <c r="VQX57" s="13"/>
      <c r="VQY57" s="13"/>
      <c r="VQZ57" s="13"/>
      <c r="VRA57" s="13"/>
      <c r="VRB57" s="13"/>
      <c r="VRC57" s="13"/>
      <c r="VRD57" s="13"/>
      <c r="VRE57" s="13"/>
      <c r="VRF57" s="13"/>
      <c r="VRG57" s="13"/>
      <c r="VRH57" s="13"/>
      <c r="VRI57" s="13"/>
      <c r="VRJ57" s="13"/>
      <c r="VRK57" s="13"/>
      <c r="VRL57" s="13"/>
      <c r="VRM57" s="13"/>
      <c r="VRN57" s="13"/>
      <c r="VRO57" s="13"/>
      <c r="VRP57" s="13"/>
      <c r="VRQ57" s="13"/>
      <c r="VRR57" s="13"/>
      <c r="VRS57" s="13"/>
      <c r="VRT57" s="13"/>
      <c r="VRU57" s="13"/>
      <c r="VRV57" s="13"/>
      <c r="VRW57" s="13"/>
      <c r="VRX57" s="13"/>
      <c r="VRY57" s="13"/>
      <c r="VRZ57" s="13"/>
      <c r="VSA57" s="13"/>
      <c r="VSB57" s="13"/>
      <c r="VSC57" s="13"/>
      <c r="VSD57" s="13"/>
      <c r="VSE57" s="13"/>
      <c r="VSF57" s="13"/>
      <c r="VSG57" s="13"/>
      <c r="VSH57" s="13"/>
      <c r="VSI57" s="13"/>
      <c r="VSJ57" s="13"/>
      <c r="VSK57" s="13"/>
      <c r="VSL57" s="13"/>
      <c r="VSM57" s="13"/>
      <c r="VSN57" s="13"/>
      <c r="VSO57" s="13"/>
      <c r="VSP57" s="13"/>
      <c r="VSQ57" s="13"/>
      <c r="VSR57" s="13"/>
      <c r="VSS57" s="13"/>
      <c r="VST57" s="13"/>
      <c r="VSU57" s="13"/>
      <c r="VSV57" s="13"/>
      <c r="VSW57" s="13"/>
      <c r="VSX57" s="13"/>
      <c r="VSY57" s="13"/>
      <c r="VSZ57" s="13"/>
      <c r="VTA57" s="13"/>
      <c r="VTB57" s="13"/>
      <c r="VTC57" s="13"/>
      <c r="VTD57" s="13"/>
      <c r="VTE57" s="13"/>
      <c r="VTF57" s="13"/>
      <c r="VTG57" s="13"/>
      <c r="VTH57" s="13"/>
      <c r="VTI57" s="13"/>
      <c r="VTJ57" s="13"/>
      <c r="VTK57" s="13"/>
      <c r="VTL57" s="13"/>
      <c r="VTM57" s="13"/>
      <c r="VTN57" s="13"/>
      <c r="VTO57" s="13"/>
      <c r="VTP57" s="13"/>
      <c r="VTQ57" s="13"/>
      <c r="VTR57" s="13"/>
      <c r="VTS57" s="13"/>
      <c r="VTT57" s="13"/>
      <c r="VTU57" s="13"/>
      <c r="VTV57" s="13"/>
      <c r="VTW57" s="13"/>
      <c r="VTX57" s="13"/>
      <c r="VTY57" s="13"/>
      <c r="VTZ57" s="13"/>
      <c r="VUA57" s="13"/>
      <c r="VUB57" s="13"/>
      <c r="VUC57" s="13"/>
      <c r="VUD57" s="13"/>
      <c r="VUE57" s="13"/>
      <c r="VUF57" s="13"/>
      <c r="VUG57" s="13"/>
      <c r="VUH57" s="13"/>
      <c r="VUI57" s="13"/>
      <c r="VUJ57" s="13"/>
      <c r="VUK57" s="13"/>
      <c r="VUL57" s="13"/>
      <c r="VUM57" s="13"/>
      <c r="VUN57" s="13"/>
      <c r="VUO57" s="13"/>
      <c r="VUP57" s="13"/>
      <c r="VUQ57" s="13"/>
      <c r="VUR57" s="13"/>
      <c r="VUS57" s="13"/>
      <c r="VUT57" s="13"/>
      <c r="VUU57" s="13"/>
      <c r="VUV57" s="13"/>
      <c r="VUW57" s="13"/>
      <c r="VUX57" s="13"/>
      <c r="VUY57" s="13"/>
      <c r="VUZ57" s="13"/>
      <c r="VVA57" s="13"/>
      <c r="VVB57" s="13"/>
      <c r="VVC57" s="13"/>
      <c r="VVD57" s="13"/>
      <c r="VVE57" s="13"/>
      <c r="VVF57" s="13"/>
      <c r="VVG57" s="13"/>
      <c r="VVH57" s="13"/>
      <c r="VVI57" s="13"/>
      <c r="VVJ57" s="13"/>
      <c r="VVK57" s="13"/>
      <c r="VVL57" s="13"/>
      <c r="VVM57" s="13"/>
      <c r="VVN57" s="13"/>
      <c r="VVO57" s="13"/>
      <c r="VVP57" s="13"/>
      <c r="VVQ57" s="13"/>
      <c r="VVR57" s="13"/>
      <c r="VVS57" s="13"/>
      <c r="VVT57" s="13"/>
      <c r="VVU57" s="13"/>
      <c r="VVV57" s="13"/>
      <c r="VVW57" s="13"/>
      <c r="VVX57" s="13"/>
      <c r="VVY57" s="13"/>
      <c r="VVZ57" s="13"/>
      <c r="VWA57" s="13"/>
      <c r="VWB57" s="13"/>
      <c r="VWC57" s="13"/>
      <c r="VWD57" s="13"/>
      <c r="VWE57" s="13"/>
      <c r="VWF57" s="13"/>
      <c r="VWG57" s="13"/>
      <c r="VWH57" s="13"/>
      <c r="VWI57" s="13"/>
      <c r="VWJ57" s="13"/>
      <c r="VWK57" s="13"/>
      <c r="VWL57" s="13"/>
      <c r="VWM57" s="13"/>
      <c r="VWN57" s="13"/>
      <c r="VWO57" s="13"/>
      <c r="VWP57" s="13"/>
      <c r="VWQ57" s="13"/>
      <c r="VWR57" s="13"/>
      <c r="VWS57" s="13"/>
      <c r="VWT57" s="13"/>
      <c r="VWU57" s="13"/>
      <c r="VWV57" s="13"/>
      <c r="VWW57" s="13"/>
      <c r="VWX57" s="13"/>
      <c r="VWY57" s="13"/>
      <c r="VWZ57" s="13"/>
      <c r="VXA57" s="13"/>
      <c r="VXB57" s="13"/>
      <c r="VXC57" s="13"/>
      <c r="VXD57" s="13"/>
      <c r="VXE57" s="13"/>
      <c r="VXF57" s="13"/>
      <c r="VXG57" s="13"/>
      <c r="VXH57" s="13"/>
      <c r="VXI57" s="13"/>
      <c r="VXJ57" s="13"/>
      <c r="VXK57" s="13"/>
      <c r="VXL57" s="13"/>
      <c r="VXM57" s="13"/>
      <c r="VXN57" s="13"/>
      <c r="VXO57" s="13"/>
      <c r="VXP57" s="13"/>
      <c r="VXQ57" s="13"/>
      <c r="VXR57" s="13"/>
      <c r="VXS57" s="13"/>
      <c r="VXT57" s="13"/>
      <c r="VXU57" s="13"/>
      <c r="VXV57" s="13"/>
      <c r="VXW57" s="13"/>
      <c r="VXX57" s="13"/>
      <c r="VXY57" s="13"/>
      <c r="VXZ57" s="13"/>
      <c r="VYA57" s="13"/>
      <c r="VYB57" s="13"/>
      <c r="VYC57" s="13"/>
      <c r="VYD57" s="13"/>
      <c r="VYE57" s="13"/>
      <c r="VYF57" s="13"/>
      <c r="VYG57" s="13"/>
      <c r="VYH57" s="13"/>
      <c r="VYI57" s="13"/>
      <c r="VYJ57" s="13"/>
      <c r="VYK57" s="13"/>
      <c r="VYL57" s="13"/>
      <c r="VYM57" s="13"/>
      <c r="VYN57" s="13"/>
      <c r="VYO57" s="13"/>
      <c r="VYP57" s="13"/>
      <c r="VYQ57" s="13"/>
      <c r="VYR57" s="13"/>
      <c r="VYS57" s="13"/>
      <c r="VYT57" s="13"/>
      <c r="VYU57" s="13"/>
      <c r="VYV57" s="13"/>
      <c r="VYW57" s="13"/>
      <c r="VYX57" s="13"/>
      <c r="VYY57" s="13"/>
      <c r="VYZ57" s="13"/>
      <c r="VZA57" s="13"/>
      <c r="VZB57" s="13"/>
      <c r="VZC57" s="13"/>
      <c r="VZD57" s="13"/>
      <c r="VZE57" s="13"/>
      <c r="VZF57" s="13"/>
      <c r="VZG57" s="13"/>
      <c r="VZH57" s="13"/>
      <c r="VZI57" s="13"/>
      <c r="VZJ57" s="13"/>
      <c r="VZK57" s="13"/>
      <c r="VZL57" s="13"/>
      <c r="VZM57" s="13"/>
      <c r="VZN57" s="13"/>
      <c r="VZO57" s="13"/>
      <c r="VZP57" s="13"/>
      <c r="VZQ57" s="13"/>
      <c r="VZR57" s="13"/>
      <c r="VZS57" s="13"/>
      <c r="VZT57" s="13"/>
      <c r="VZU57" s="13"/>
      <c r="VZV57" s="13"/>
      <c r="VZW57" s="13"/>
      <c r="VZX57" s="13"/>
      <c r="VZY57" s="13"/>
      <c r="VZZ57" s="13"/>
      <c r="WAA57" s="13"/>
      <c r="WAB57" s="13"/>
      <c r="WAC57" s="13"/>
      <c r="WAD57" s="13"/>
      <c r="WAE57" s="13"/>
      <c r="WAF57" s="13"/>
      <c r="WAG57" s="13"/>
      <c r="WAH57" s="13"/>
      <c r="WAI57" s="13"/>
      <c r="WAJ57" s="13"/>
      <c r="WAK57" s="13"/>
      <c r="WAL57" s="13"/>
      <c r="WAM57" s="13"/>
      <c r="WAN57" s="13"/>
      <c r="WAO57" s="13"/>
      <c r="WAP57" s="13"/>
      <c r="WAQ57" s="13"/>
      <c r="WAR57" s="13"/>
      <c r="WAS57" s="13"/>
      <c r="WAT57" s="13"/>
      <c r="WAU57" s="13"/>
      <c r="WAV57" s="13"/>
      <c r="WAW57" s="13"/>
      <c r="WAX57" s="13"/>
      <c r="WAY57" s="13"/>
      <c r="WAZ57" s="13"/>
      <c r="WBA57" s="13"/>
      <c r="WBB57" s="13"/>
      <c r="WBC57" s="13"/>
      <c r="WBD57" s="13"/>
      <c r="WBE57" s="13"/>
      <c r="WBF57" s="13"/>
      <c r="WBG57" s="13"/>
      <c r="WBH57" s="13"/>
      <c r="WBI57" s="13"/>
      <c r="WBJ57" s="13"/>
      <c r="WBK57" s="13"/>
      <c r="WBL57" s="13"/>
      <c r="WBM57" s="13"/>
      <c r="WBN57" s="13"/>
      <c r="WBO57" s="13"/>
      <c r="WBP57" s="13"/>
      <c r="WBQ57" s="13"/>
      <c r="WBR57" s="13"/>
      <c r="WBS57" s="13"/>
      <c r="WBT57" s="13"/>
      <c r="WBU57" s="13"/>
      <c r="WBV57" s="13"/>
      <c r="WBW57" s="13"/>
      <c r="WBX57" s="13"/>
      <c r="WBY57" s="13"/>
      <c r="WBZ57" s="13"/>
      <c r="WCA57" s="13"/>
      <c r="WCB57" s="13"/>
      <c r="WCC57" s="13"/>
      <c r="WCD57" s="13"/>
      <c r="WCE57" s="13"/>
      <c r="WCF57" s="13"/>
      <c r="WCG57" s="13"/>
      <c r="WCH57" s="13"/>
      <c r="WCI57" s="13"/>
      <c r="WCJ57" s="13"/>
      <c r="WCK57" s="13"/>
      <c r="WCL57" s="13"/>
      <c r="WCM57" s="13"/>
      <c r="WCN57" s="13"/>
      <c r="WCO57" s="13"/>
      <c r="WCP57" s="13"/>
      <c r="WCQ57" s="13"/>
      <c r="WCR57" s="13"/>
      <c r="WCS57" s="13"/>
      <c r="WCT57" s="13"/>
      <c r="WCU57" s="13"/>
      <c r="WCV57" s="13"/>
      <c r="WCW57" s="13"/>
      <c r="WCX57" s="13"/>
      <c r="WCY57" s="13"/>
      <c r="WCZ57" s="13"/>
      <c r="WDA57" s="13"/>
      <c r="WDB57" s="13"/>
      <c r="WDC57" s="13"/>
      <c r="WDD57" s="13"/>
      <c r="WDE57" s="13"/>
      <c r="WDF57" s="13"/>
      <c r="WDG57" s="13"/>
      <c r="WDH57" s="13"/>
      <c r="WDI57" s="13"/>
      <c r="WDJ57" s="13"/>
      <c r="WDK57" s="13"/>
      <c r="WDL57" s="13"/>
      <c r="WDM57" s="13"/>
      <c r="WDN57" s="13"/>
      <c r="WDO57" s="13"/>
      <c r="WDP57" s="13"/>
      <c r="WDQ57" s="13"/>
      <c r="WDR57" s="13"/>
      <c r="WDS57" s="13"/>
      <c r="WDT57" s="13"/>
      <c r="WDU57" s="13"/>
      <c r="WDV57" s="13"/>
      <c r="WDW57" s="13"/>
      <c r="WDX57" s="13"/>
      <c r="WDY57" s="13"/>
      <c r="WDZ57" s="13"/>
      <c r="WEA57" s="13"/>
      <c r="WEB57" s="13"/>
      <c r="WEC57" s="13"/>
      <c r="WED57" s="13"/>
      <c r="WEE57" s="13"/>
      <c r="WEF57" s="13"/>
      <c r="WEG57" s="13"/>
      <c r="WEH57" s="13"/>
      <c r="WEI57" s="13"/>
      <c r="WEJ57" s="13"/>
      <c r="WEK57" s="13"/>
      <c r="WEL57" s="13"/>
      <c r="WEM57" s="13"/>
      <c r="WEN57" s="13"/>
      <c r="WEO57" s="13"/>
      <c r="WEP57" s="13"/>
      <c r="WEQ57" s="13"/>
      <c r="WER57" s="13"/>
      <c r="WES57" s="13"/>
      <c r="WET57" s="13"/>
      <c r="WEU57" s="13"/>
      <c r="WEV57" s="13"/>
      <c r="WEW57" s="13"/>
      <c r="WEX57" s="13"/>
      <c r="WEY57" s="13"/>
      <c r="WEZ57" s="13"/>
      <c r="WFA57" s="13"/>
      <c r="WFB57" s="13"/>
      <c r="WFC57" s="13"/>
      <c r="WFD57" s="13"/>
      <c r="WFE57" s="13"/>
      <c r="WFF57" s="13"/>
      <c r="WFG57" s="13"/>
      <c r="WFH57" s="13"/>
      <c r="WFI57" s="13"/>
      <c r="WFJ57" s="13"/>
      <c r="WFK57" s="13"/>
      <c r="WFL57" s="13"/>
      <c r="WFM57" s="13"/>
      <c r="WFN57" s="13"/>
      <c r="WFO57" s="13"/>
      <c r="WFP57" s="13"/>
      <c r="WFQ57" s="13"/>
      <c r="WFR57" s="13"/>
      <c r="WFS57" s="13"/>
      <c r="WFT57" s="13"/>
      <c r="WFU57" s="13"/>
      <c r="WFV57" s="13"/>
      <c r="WFW57" s="13"/>
      <c r="WFX57" s="13"/>
      <c r="WFY57" s="13"/>
      <c r="WFZ57" s="13"/>
      <c r="WGA57" s="13"/>
      <c r="WGB57" s="13"/>
      <c r="WGC57" s="13"/>
      <c r="WGD57" s="13"/>
      <c r="WGE57" s="13"/>
      <c r="WGF57" s="13"/>
      <c r="WGG57" s="13"/>
      <c r="WGH57" s="13"/>
      <c r="WGI57" s="13"/>
      <c r="WGJ57" s="13"/>
      <c r="WGK57" s="13"/>
      <c r="WGL57" s="13"/>
      <c r="WGM57" s="13"/>
      <c r="WGN57" s="13"/>
      <c r="WGO57" s="13"/>
      <c r="WGP57" s="13"/>
      <c r="WGQ57" s="13"/>
      <c r="WGR57" s="13"/>
      <c r="WGS57" s="13"/>
      <c r="WGT57" s="13"/>
      <c r="WGU57" s="13"/>
      <c r="WGV57" s="13"/>
      <c r="WGW57" s="13"/>
      <c r="WGX57" s="13"/>
      <c r="WGY57" s="13"/>
      <c r="WGZ57" s="13"/>
      <c r="WHA57" s="13"/>
      <c r="WHB57" s="13"/>
      <c r="WHC57" s="13"/>
      <c r="WHD57" s="13"/>
      <c r="WHE57" s="13"/>
      <c r="WHF57" s="13"/>
      <c r="WHG57" s="13"/>
      <c r="WHH57" s="13"/>
      <c r="WHI57" s="13"/>
      <c r="WHJ57" s="13"/>
      <c r="WHK57" s="13"/>
      <c r="WHL57" s="13"/>
      <c r="WHM57" s="13"/>
      <c r="WHN57" s="13"/>
      <c r="WHO57" s="13"/>
      <c r="WHP57" s="13"/>
      <c r="WHQ57" s="13"/>
      <c r="WHR57" s="13"/>
      <c r="WHS57" s="13"/>
      <c r="WHT57" s="13"/>
      <c r="WHU57" s="13"/>
      <c r="WHV57" s="13"/>
      <c r="WHW57" s="13"/>
      <c r="WHX57" s="13"/>
      <c r="WHY57" s="13"/>
      <c r="WHZ57" s="13"/>
      <c r="WIA57" s="13"/>
      <c r="WIB57" s="13"/>
      <c r="WIC57" s="13"/>
      <c r="WID57" s="13"/>
      <c r="WIE57" s="13"/>
      <c r="WIF57" s="13"/>
      <c r="WIG57" s="13"/>
      <c r="WIH57" s="13"/>
      <c r="WII57" s="13"/>
      <c r="WIJ57" s="13"/>
      <c r="WIK57" s="13"/>
      <c r="WIL57" s="13"/>
      <c r="WIM57" s="13"/>
      <c r="WIN57" s="13"/>
      <c r="WIO57" s="13"/>
      <c r="WIP57" s="13"/>
      <c r="WIQ57" s="13"/>
      <c r="WIR57" s="13"/>
      <c r="WIS57" s="13"/>
      <c r="WIT57" s="13"/>
      <c r="WIU57" s="13"/>
      <c r="WIV57" s="13"/>
      <c r="WIW57" s="13"/>
      <c r="WIX57" s="13"/>
      <c r="WIY57" s="13"/>
      <c r="WIZ57" s="13"/>
      <c r="WJA57" s="13"/>
      <c r="WJB57" s="13"/>
      <c r="WJC57" s="13"/>
      <c r="WJD57" s="13"/>
      <c r="WJE57" s="13"/>
      <c r="WJF57" s="13"/>
      <c r="WJG57" s="13"/>
      <c r="WJH57" s="13"/>
      <c r="WJI57" s="13"/>
      <c r="WJJ57" s="13"/>
      <c r="WJK57" s="13"/>
      <c r="WJL57" s="13"/>
      <c r="WJM57" s="13"/>
      <c r="WJN57" s="13"/>
      <c r="WJO57" s="13"/>
      <c r="WJP57" s="13"/>
      <c r="WJQ57" s="13"/>
      <c r="WJR57" s="13"/>
      <c r="WJS57" s="13"/>
      <c r="WJT57" s="13"/>
      <c r="WJU57" s="13"/>
      <c r="WJV57" s="13"/>
      <c r="WJW57" s="13"/>
      <c r="WJX57" s="13"/>
      <c r="WJY57" s="13"/>
      <c r="WJZ57" s="13"/>
      <c r="WKA57" s="13"/>
      <c r="WKB57" s="13"/>
      <c r="WKC57" s="13"/>
      <c r="WKD57" s="13"/>
      <c r="WKE57" s="13"/>
      <c r="WKF57" s="13"/>
      <c r="WKG57" s="13"/>
      <c r="WKH57" s="13"/>
      <c r="WKI57" s="13"/>
      <c r="WKJ57" s="13"/>
      <c r="WKK57" s="13"/>
      <c r="WKL57" s="13"/>
      <c r="WKM57" s="13"/>
      <c r="WKN57" s="13"/>
      <c r="WKO57" s="13"/>
      <c r="WKP57" s="13"/>
      <c r="WKQ57" s="13"/>
      <c r="WKR57" s="13"/>
      <c r="WKS57" s="13"/>
      <c r="WKT57" s="13"/>
      <c r="WKU57" s="13"/>
      <c r="WKV57" s="13"/>
      <c r="WKW57" s="13"/>
      <c r="WKX57" s="13"/>
      <c r="WKY57" s="13"/>
      <c r="WKZ57" s="13"/>
      <c r="WLA57" s="13"/>
      <c r="WLB57" s="13"/>
      <c r="WLC57" s="13"/>
      <c r="WLD57" s="13"/>
      <c r="WLE57" s="13"/>
      <c r="WLF57" s="13"/>
      <c r="WLG57" s="13"/>
      <c r="WLH57" s="13"/>
      <c r="WLI57" s="13"/>
      <c r="WLJ57" s="13"/>
      <c r="WLK57" s="13"/>
      <c r="WLL57" s="13"/>
      <c r="WLM57" s="13"/>
      <c r="WLN57" s="13"/>
      <c r="WLO57" s="13"/>
      <c r="WLP57" s="13"/>
      <c r="WLQ57" s="13"/>
      <c r="WLR57" s="13"/>
      <c r="WLS57" s="13"/>
      <c r="WLT57" s="13"/>
      <c r="WLU57" s="13"/>
      <c r="WLV57" s="13"/>
      <c r="WLW57" s="13"/>
      <c r="WLX57" s="13"/>
      <c r="WLY57" s="13"/>
      <c r="WLZ57" s="13"/>
      <c r="WMA57" s="13"/>
      <c r="WMB57" s="13"/>
      <c r="WMC57" s="13"/>
      <c r="WMD57" s="13"/>
      <c r="WME57" s="13"/>
      <c r="WMF57" s="13"/>
      <c r="WMG57" s="13"/>
      <c r="WMH57" s="13"/>
      <c r="WMI57" s="13"/>
      <c r="WMJ57" s="13"/>
      <c r="WMK57" s="13"/>
      <c r="WML57" s="13"/>
      <c r="WMM57" s="13"/>
      <c r="WMN57" s="13"/>
      <c r="WMO57" s="13"/>
      <c r="WMP57" s="13"/>
      <c r="WMQ57" s="13"/>
      <c r="WMR57" s="13"/>
      <c r="WMS57" s="13"/>
      <c r="WMT57" s="13"/>
      <c r="WMU57" s="13"/>
      <c r="WMV57" s="13"/>
      <c r="WMW57" s="13"/>
      <c r="WMX57" s="13"/>
      <c r="WMY57" s="13"/>
      <c r="WMZ57" s="13"/>
      <c r="WNA57" s="13"/>
      <c r="WNB57" s="13"/>
      <c r="WNC57" s="13"/>
      <c r="WND57" s="13"/>
      <c r="WNE57" s="13"/>
      <c r="WNF57" s="13"/>
      <c r="WNG57" s="13"/>
      <c r="WNH57" s="13"/>
      <c r="WNI57" s="13"/>
      <c r="WNJ57" s="13"/>
      <c r="WNK57" s="13"/>
      <c r="WNL57" s="13"/>
      <c r="WNM57" s="13"/>
      <c r="WNN57" s="13"/>
      <c r="WNO57" s="13"/>
      <c r="WNP57" s="13"/>
      <c r="WNQ57" s="13"/>
      <c r="WNR57" s="13"/>
      <c r="WNS57" s="13"/>
      <c r="WNT57" s="13"/>
      <c r="WNU57" s="13"/>
      <c r="WNV57" s="13"/>
      <c r="WNW57" s="13"/>
      <c r="WNX57" s="13"/>
      <c r="WNY57" s="13"/>
      <c r="WNZ57" s="13"/>
      <c r="WOA57" s="13"/>
      <c r="WOB57" s="13"/>
      <c r="WOC57" s="13"/>
      <c r="WOD57" s="13"/>
      <c r="WOE57" s="13"/>
      <c r="WOF57" s="13"/>
      <c r="WOG57" s="13"/>
      <c r="WOH57" s="13"/>
      <c r="WOI57" s="13"/>
      <c r="WOJ57" s="13"/>
      <c r="WOK57" s="13"/>
      <c r="WOL57" s="13"/>
      <c r="WOM57" s="13"/>
      <c r="WON57" s="13"/>
      <c r="WOO57" s="13"/>
      <c r="WOP57" s="13"/>
      <c r="WOQ57" s="13"/>
      <c r="WOR57" s="13"/>
      <c r="WOS57" s="13"/>
      <c r="WOT57" s="13"/>
      <c r="WOU57" s="13"/>
      <c r="WOV57" s="13"/>
      <c r="WOW57" s="13"/>
      <c r="WOX57" s="13"/>
      <c r="WOY57" s="13"/>
      <c r="WOZ57" s="13"/>
      <c r="WPA57" s="13"/>
      <c r="WPB57" s="13"/>
      <c r="WPC57" s="13"/>
      <c r="WPD57" s="13"/>
      <c r="WPE57" s="13"/>
      <c r="WPF57" s="13"/>
      <c r="WPG57" s="13"/>
      <c r="WPH57" s="13"/>
      <c r="WPI57" s="13"/>
      <c r="WPJ57" s="13"/>
      <c r="WPK57" s="13"/>
      <c r="WPL57" s="13"/>
      <c r="WPM57" s="13"/>
      <c r="WPN57" s="13"/>
      <c r="WPO57" s="13"/>
      <c r="WPP57" s="13"/>
      <c r="WPQ57" s="13"/>
      <c r="WPR57" s="13"/>
      <c r="WPS57" s="13"/>
      <c r="WPT57" s="13"/>
      <c r="WPU57" s="13"/>
      <c r="WPV57" s="13"/>
      <c r="WPW57" s="13"/>
      <c r="WPX57" s="13"/>
      <c r="WPY57" s="13"/>
      <c r="WPZ57" s="13"/>
      <c r="WQA57" s="13"/>
      <c r="WQB57" s="13"/>
      <c r="WQC57" s="13"/>
      <c r="WQD57" s="13"/>
      <c r="WQE57" s="13"/>
      <c r="WQF57" s="13"/>
      <c r="WQG57" s="13"/>
      <c r="WQH57" s="13"/>
      <c r="WQI57" s="13"/>
      <c r="WQJ57" s="13"/>
      <c r="WQK57" s="13"/>
      <c r="WQL57" s="13"/>
      <c r="WQM57" s="13"/>
      <c r="WQN57" s="13"/>
      <c r="WQO57" s="13"/>
      <c r="WQP57" s="13"/>
      <c r="WQQ57" s="13"/>
      <c r="WQR57" s="13"/>
      <c r="WQS57" s="13"/>
      <c r="WQT57" s="13"/>
      <c r="WQU57" s="13"/>
      <c r="WQV57" s="13"/>
      <c r="WQW57" s="13"/>
      <c r="WQX57" s="13"/>
      <c r="WQY57" s="13"/>
      <c r="WQZ57" s="13"/>
      <c r="WRA57" s="13"/>
      <c r="WRB57" s="13"/>
      <c r="WRC57" s="13"/>
      <c r="WRD57" s="13"/>
      <c r="WRE57" s="13"/>
      <c r="WRF57" s="13"/>
      <c r="WRG57" s="13"/>
      <c r="WRH57" s="13"/>
      <c r="WRI57" s="13"/>
      <c r="WRJ57" s="13"/>
      <c r="WRK57" s="13"/>
      <c r="WRL57" s="13"/>
      <c r="WRM57" s="13"/>
      <c r="WRN57" s="13"/>
      <c r="WRO57" s="13"/>
      <c r="WRP57" s="13"/>
      <c r="WRQ57" s="13"/>
      <c r="WRR57" s="13"/>
      <c r="WRS57" s="13"/>
      <c r="WRT57" s="13"/>
      <c r="WRU57" s="13"/>
      <c r="WRV57" s="13"/>
      <c r="WRW57" s="13"/>
      <c r="WRX57" s="13"/>
      <c r="WRY57" s="13"/>
      <c r="WRZ57" s="13"/>
      <c r="WSA57" s="13"/>
      <c r="WSB57" s="13"/>
      <c r="WSC57" s="13"/>
      <c r="WSD57" s="13"/>
      <c r="WSE57" s="13"/>
      <c r="WSF57" s="13"/>
      <c r="WSG57" s="13"/>
      <c r="WSH57" s="13"/>
      <c r="WSI57" s="13"/>
      <c r="WSJ57" s="13"/>
      <c r="WSK57" s="13"/>
      <c r="WSL57" s="13"/>
      <c r="WSM57" s="13"/>
      <c r="WSN57" s="13"/>
      <c r="WSO57" s="13"/>
      <c r="WSP57" s="13"/>
      <c r="WSQ57" s="13"/>
      <c r="WSR57" s="13"/>
      <c r="WSS57" s="13"/>
      <c r="WST57" s="13"/>
      <c r="WSU57" s="13"/>
      <c r="WSV57" s="13"/>
      <c r="WSW57" s="13"/>
      <c r="WSX57" s="13"/>
      <c r="WSY57" s="13"/>
      <c r="WSZ57" s="13"/>
      <c r="WTA57" s="13"/>
      <c r="WTB57" s="13"/>
      <c r="WTC57" s="13"/>
      <c r="WTD57" s="13"/>
      <c r="WTE57" s="13"/>
      <c r="WTF57" s="13"/>
      <c r="WTG57" s="13"/>
      <c r="WTH57" s="13"/>
      <c r="WTI57" s="13"/>
      <c r="WTJ57" s="13"/>
      <c r="WTK57" s="13"/>
      <c r="WTL57" s="13"/>
      <c r="WTM57" s="13"/>
      <c r="WTN57" s="13"/>
      <c r="WTO57" s="13"/>
      <c r="WTP57" s="13"/>
      <c r="WTQ57" s="13"/>
      <c r="WTR57" s="13"/>
      <c r="WTS57" s="13"/>
      <c r="WTT57" s="13"/>
      <c r="WTU57" s="13"/>
      <c r="WTV57" s="13"/>
      <c r="WTW57" s="13"/>
      <c r="WTX57" s="13"/>
      <c r="WTY57" s="13"/>
      <c r="WTZ57" s="13"/>
      <c r="WUA57" s="13"/>
      <c r="WUB57" s="13"/>
      <c r="WUC57" s="13"/>
      <c r="WUD57" s="13"/>
      <c r="WUE57" s="13"/>
      <c r="WUF57" s="13"/>
      <c r="WUG57" s="13"/>
      <c r="WUH57" s="13"/>
      <c r="WUI57" s="13"/>
      <c r="WUJ57" s="13"/>
      <c r="WUK57" s="13"/>
      <c r="WUL57" s="13"/>
      <c r="WUM57" s="13"/>
      <c r="WUN57" s="13"/>
      <c r="WUO57" s="13"/>
      <c r="WUP57" s="13"/>
      <c r="WUQ57" s="13"/>
      <c r="WUR57" s="13"/>
      <c r="WUS57" s="13"/>
      <c r="WUT57" s="13"/>
      <c r="WUU57" s="13"/>
      <c r="WUV57" s="13"/>
      <c r="WUW57" s="13"/>
      <c r="WUX57" s="13"/>
      <c r="WUY57" s="13"/>
      <c r="WUZ57" s="13"/>
      <c r="WVA57" s="13"/>
      <c r="WVB57" s="13"/>
      <c r="WVC57" s="13"/>
      <c r="WVD57" s="13"/>
      <c r="WVE57" s="13"/>
      <c r="WVF57" s="13"/>
      <c r="WVG57" s="13"/>
      <c r="WVH57" s="13"/>
      <c r="WVI57" s="13"/>
      <c r="WVJ57" s="13"/>
      <c r="WVK57" s="13"/>
      <c r="WVL57" s="13"/>
      <c r="WVM57" s="13"/>
      <c r="WVN57" s="13"/>
      <c r="WVO57" s="13"/>
      <c r="WVP57" s="13"/>
      <c r="WVQ57" s="13"/>
      <c r="WVR57" s="13"/>
      <c r="WVS57" s="13"/>
      <c r="WVT57" s="13"/>
      <c r="WVU57" s="13"/>
      <c r="WVV57" s="13"/>
      <c r="WVW57" s="13"/>
      <c r="WVX57" s="13"/>
      <c r="WVY57" s="13"/>
      <c r="WVZ57" s="13"/>
      <c r="WWA57" s="13"/>
      <c r="WWB57" s="13"/>
      <c r="WWC57" s="13"/>
      <c r="WWD57" s="13"/>
      <c r="WWE57" s="13"/>
      <c r="WWF57" s="13"/>
      <c r="WWG57" s="13"/>
      <c r="WWH57" s="13"/>
      <c r="WWI57" s="13"/>
      <c r="WWJ57" s="13"/>
      <c r="WWK57" s="13"/>
      <c r="WWL57" s="13"/>
      <c r="WWM57" s="13"/>
      <c r="WWN57" s="13"/>
      <c r="WWO57" s="13"/>
      <c r="WWP57" s="13"/>
      <c r="WWQ57" s="13"/>
      <c r="WWR57" s="13"/>
      <c r="WWS57" s="13"/>
      <c r="WWT57" s="13"/>
      <c r="WWU57" s="13"/>
      <c r="WWV57" s="13"/>
      <c r="WWW57" s="13"/>
      <c r="WWX57" s="13"/>
      <c r="WWY57" s="13"/>
      <c r="WWZ57" s="13"/>
      <c r="WXA57" s="13"/>
      <c r="WXB57" s="13"/>
      <c r="WXC57" s="13"/>
      <c r="WXD57" s="13"/>
      <c r="WXE57" s="13"/>
      <c r="WXF57" s="13"/>
      <c r="WXG57" s="13"/>
      <c r="WXH57" s="13"/>
      <c r="WXI57" s="13"/>
      <c r="WXJ57" s="13"/>
      <c r="WXK57" s="13"/>
      <c r="WXL57" s="13"/>
      <c r="WXM57" s="13"/>
      <c r="WXN57" s="13"/>
      <c r="WXO57" s="13"/>
      <c r="WXP57" s="13"/>
      <c r="WXQ57" s="13"/>
      <c r="WXR57" s="13"/>
      <c r="WXS57" s="13"/>
      <c r="WXT57" s="13"/>
      <c r="WXU57" s="13"/>
      <c r="WXV57" s="13"/>
      <c r="WXW57" s="13"/>
      <c r="WXX57" s="13"/>
      <c r="WXY57" s="13"/>
      <c r="WXZ57" s="13"/>
      <c r="WYA57" s="13"/>
      <c r="WYB57" s="13"/>
      <c r="WYC57" s="13"/>
      <c r="WYD57" s="13"/>
      <c r="WYE57" s="13"/>
      <c r="WYF57" s="13"/>
      <c r="WYG57" s="13"/>
      <c r="WYH57" s="13"/>
      <c r="WYI57" s="13"/>
      <c r="WYJ57" s="13"/>
      <c r="WYK57" s="13"/>
      <c r="WYL57" s="13"/>
      <c r="WYM57" s="13"/>
      <c r="WYN57" s="13"/>
      <c r="WYO57" s="13"/>
      <c r="WYP57" s="13"/>
      <c r="WYQ57" s="13"/>
      <c r="WYR57" s="13"/>
      <c r="WYS57" s="13"/>
      <c r="WYT57" s="13"/>
      <c r="WYU57" s="13"/>
      <c r="WYV57" s="13"/>
      <c r="WYW57" s="13"/>
      <c r="WYX57" s="13"/>
      <c r="WYY57" s="13"/>
      <c r="WYZ57" s="13"/>
      <c r="WZA57" s="13"/>
      <c r="WZB57" s="13"/>
      <c r="WZC57" s="13"/>
      <c r="WZD57" s="13"/>
      <c r="WZE57" s="13"/>
      <c r="WZF57" s="13"/>
      <c r="WZG57" s="13"/>
      <c r="WZH57" s="13"/>
      <c r="WZI57" s="13"/>
      <c r="WZJ57" s="13"/>
      <c r="WZK57" s="13"/>
      <c r="WZL57" s="13"/>
      <c r="WZM57" s="13"/>
      <c r="WZN57" s="13"/>
      <c r="WZO57" s="13"/>
      <c r="WZP57" s="13"/>
      <c r="WZQ57" s="13"/>
      <c r="WZR57" s="13"/>
      <c r="WZS57" s="13"/>
      <c r="WZT57" s="13"/>
      <c r="WZU57" s="13"/>
      <c r="WZV57" s="13"/>
      <c r="WZW57" s="13"/>
      <c r="WZX57" s="13"/>
      <c r="WZY57" s="13"/>
      <c r="WZZ57" s="13"/>
      <c r="XAA57" s="13"/>
      <c r="XAB57" s="13"/>
      <c r="XAC57" s="13"/>
      <c r="XAD57" s="13"/>
      <c r="XAE57" s="13"/>
      <c r="XAF57" s="13"/>
      <c r="XAG57" s="13"/>
      <c r="XAH57" s="13"/>
      <c r="XAI57" s="13"/>
      <c r="XAJ57" s="13"/>
      <c r="XAK57" s="13"/>
      <c r="XAL57" s="13"/>
      <c r="XAM57" s="13"/>
      <c r="XAN57" s="13"/>
      <c r="XAO57" s="13"/>
      <c r="XAP57" s="13"/>
      <c r="XAQ57" s="13"/>
      <c r="XAR57" s="13"/>
      <c r="XAS57" s="13"/>
      <c r="XAT57" s="13"/>
      <c r="XAU57" s="13"/>
      <c r="XAV57" s="13"/>
      <c r="XAW57" s="13"/>
      <c r="XAX57" s="13"/>
      <c r="XAY57" s="13"/>
      <c r="XAZ57" s="13"/>
      <c r="XBA57" s="13"/>
      <c r="XBB57" s="13"/>
      <c r="XBC57" s="13"/>
      <c r="XBD57" s="13"/>
      <c r="XBE57" s="13"/>
      <c r="XBF57" s="13"/>
      <c r="XBG57" s="13"/>
      <c r="XBH57" s="13"/>
      <c r="XBI57" s="13"/>
      <c r="XBJ57" s="13"/>
      <c r="XBK57" s="13"/>
      <c r="XBL57" s="13"/>
      <c r="XBM57" s="13"/>
      <c r="XBN57" s="13"/>
      <c r="XBO57" s="13"/>
      <c r="XBP57" s="13"/>
      <c r="XBQ57" s="13"/>
      <c r="XBR57" s="13"/>
      <c r="XBS57" s="13"/>
      <c r="XBT57" s="13"/>
      <c r="XBU57" s="13"/>
      <c r="XBV57" s="13"/>
      <c r="XBW57" s="13"/>
      <c r="XBX57" s="13"/>
      <c r="XBY57" s="13"/>
      <c r="XBZ57" s="13"/>
      <c r="XCA57" s="13"/>
      <c r="XCB57" s="13"/>
      <c r="XCC57" s="13"/>
      <c r="XCD57" s="13"/>
      <c r="XCE57" s="13"/>
      <c r="XCF57" s="13"/>
      <c r="XCG57" s="13"/>
      <c r="XCH57" s="13"/>
      <c r="XCI57" s="13"/>
      <c r="XCJ57" s="13"/>
      <c r="XCK57" s="13"/>
      <c r="XCL57" s="13"/>
      <c r="XCM57" s="13"/>
      <c r="XCN57" s="13"/>
      <c r="XCO57" s="13"/>
      <c r="XCP57" s="13"/>
      <c r="XCQ57" s="13"/>
      <c r="XCR57" s="13"/>
      <c r="XCS57" s="13"/>
      <c r="XCT57" s="13"/>
      <c r="XCU57" s="13"/>
      <c r="XCV57" s="13"/>
      <c r="XCW57" s="13"/>
      <c r="XCX57" s="13"/>
      <c r="XCY57" s="13"/>
      <c r="XCZ57" s="13"/>
      <c r="XDA57" s="13"/>
      <c r="XDB57" s="13"/>
      <c r="XDC57" s="13"/>
      <c r="XDD57" s="13"/>
      <c r="XDE57" s="13"/>
      <c r="XDF57" s="13"/>
      <c r="XDG57" s="13"/>
      <c r="XDH57" s="13"/>
      <c r="XDI57" s="13"/>
      <c r="XDJ57" s="13"/>
      <c r="XDK57" s="13"/>
      <c r="XDL57" s="13"/>
      <c r="XDM57" s="13"/>
      <c r="XDN57" s="13"/>
      <c r="XDO57" s="13"/>
      <c r="XDP57" s="13"/>
      <c r="XDQ57" s="13"/>
      <c r="XDR57" s="13"/>
      <c r="XDS57" s="13"/>
      <c r="XDT57" s="13"/>
      <c r="XDU57" s="13"/>
      <c r="XDV57" s="13"/>
      <c r="XDW57" s="13"/>
      <c r="XDX57" s="13"/>
      <c r="XDY57" s="13"/>
      <c r="XDZ57" s="13"/>
      <c r="XEA57" s="13"/>
      <c r="XEB57" s="13"/>
      <c r="XEC57" s="13"/>
      <c r="XED57" s="13"/>
      <c r="XEE57" s="13"/>
      <c r="XEF57" s="13"/>
      <c r="XEG57" s="13"/>
      <c r="XEH57" s="13"/>
      <c r="XEI57" s="13"/>
      <c r="XEJ57" s="13"/>
      <c r="XEK57" s="13"/>
      <c r="XEL57" s="13"/>
      <c r="XEM57" s="13"/>
      <c r="XEN57" s="13"/>
      <c r="XEO57" s="13"/>
      <c r="XEP57" s="13"/>
      <c r="XEQ57" s="13"/>
      <c r="XER57" s="13"/>
      <c r="XES57" s="13"/>
      <c r="XET57" s="13"/>
      <c r="XEU57" s="13"/>
      <c r="XEV57" s="13"/>
      <c r="XEW57" s="13"/>
      <c r="XEX57" s="13"/>
      <c r="XEY57" s="13"/>
      <c r="XEZ57" s="13"/>
      <c r="XFA57" s="13"/>
      <c r="XFB57" s="13"/>
      <c r="XFC57" s="13"/>
    </row>
    <row r="58" spans="2:16383" s="13" customFormat="1">
      <c r="B58" s="122" t="s">
        <v>210</v>
      </c>
      <c r="D58" s="102">
        <f t="shared" ref="D58:M58" si="10">IFERROR(D57/C57-1,"na")</f>
        <v>0.20467883992060765</v>
      </c>
      <c r="E58" s="102">
        <f t="shared" si="10"/>
        <v>0.19753492157187424</v>
      </c>
      <c r="F58" s="102">
        <f t="shared" si="10"/>
        <v>0.17493072870976878</v>
      </c>
      <c r="G58" s="102">
        <f t="shared" si="10"/>
        <v>0.16341648097150863</v>
      </c>
      <c r="H58" s="102">
        <f t="shared" si="10"/>
        <v>0.15223856342670716</v>
      </c>
      <c r="I58" s="102">
        <f t="shared" si="10"/>
        <v>0.13616613584620962</v>
      </c>
      <c r="J58" s="102">
        <f t="shared" si="10"/>
        <v>0.12547178909426782</v>
      </c>
      <c r="K58" s="102">
        <f t="shared" si="10"/>
        <v>0.11492015463911853</v>
      </c>
      <c r="L58" s="102">
        <f t="shared" si="10"/>
        <v>0.10447962993014115</v>
      </c>
      <c r="M58" s="102">
        <f t="shared" si="10"/>
        <v>3.0000000000000027E-2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3" customFormat="1">
      <c r="B59" s="122" t="s">
        <v>207</v>
      </c>
      <c r="C59" s="102">
        <f>IFERROR(C57/C55,"na")</f>
        <v>0.26819491901625109</v>
      </c>
      <c r="D59" s="102">
        <f t="shared" ref="D59:M59" si="11">IFERROR(D57/D55,"na")</f>
        <v>0.27225251651043286</v>
      </c>
      <c r="E59" s="102">
        <f t="shared" si="11"/>
        <v>0.27596656838141181</v>
      </c>
      <c r="F59" s="102">
        <f t="shared" si="11"/>
        <v>0.27909437753831845</v>
      </c>
      <c r="G59" s="102">
        <f t="shared" si="11"/>
        <v>0.28183667057325279</v>
      </c>
      <c r="H59" s="102">
        <f t="shared" si="11"/>
        <v>0.2842602585805038</v>
      </c>
      <c r="I59" s="102">
        <f t="shared" si="11"/>
        <v>0.28638959004591991</v>
      </c>
      <c r="J59" s="102">
        <f t="shared" si="11"/>
        <v>0.28830096916633979</v>
      </c>
      <c r="K59" s="102">
        <f t="shared" si="11"/>
        <v>0.29002615488303091</v>
      </c>
      <c r="L59" s="102">
        <f t="shared" si="11"/>
        <v>0.2915907491900423</v>
      </c>
      <c r="M59" s="102">
        <f t="shared" si="11"/>
        <v>0.2915907491900423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15" customHeight="1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2:16383">
      <c r="B61" t="s">
        <v>4</v>
      </c>
      <c r="C61" s="6">
        <f ca="1">+INDEX(Model!$A:$AQ,MATCH("EBIT",Model!$A:$A,0),MATCH(DCF!C$51,Model!$3:$3,0))</f>
        <v>976.4934753281068</v>
      </c>
      <c r="D61" s="6">
        <f ca="1">+INDEX(Model!$A:$AQ,MATCH("EBIT",Model!$A:$A,0),MATCH(DCF!D$51,Model!$3:$3,0))</f>
        <v>1184.380301337754</v>
      </c>
      <c r="E61" s="6">
        <f ca="1">+INDEX(Model!$A:$AQ,MATCH("EBIT",Model!$A:$A,0),MATCH(DCF!E$51,Model!$3:$3,0))</f>
        <v>1481.4760137533947</v>
      </c>
      <c r="F61" s="6">
        <f ca="1">+INDEX(Model!$A:$AQ,MATCH("EBIT",Model!$A:$A,0),MATCH(DCF!F$51,Model!$3:$3,0))</f>
        <v>1857.4429770464001</v>
      </c>
      <c r="G61" s="6">
        <f ca="1">+INDEX(Model!$A:$AQ,MATCH("EBIT",Model!$A:$A,0),MATCH(DCF!G$51,Model!$3:$3,0))</f>
        <v>2327.7947077756739</v>
      </c>
      <c r="H61" s="6">
        <f ca="1">+INDEX(Model!$A:$AQ,MATCH("EBIT",Model!$A:$A,0),MATCH(DCF!H$51,Model!$3:$3,0))</f>
        <v>2857.3705338893365</v>
      </c>
      <c r="I61" s="6">
        <f ca="1">+INDEX(Model!$A:$AQ,MATCH("EBIT",Model!$A:$A,0),MATCH(DCF!I$51,Model!$3:$3,0))</f>
        <v>3448.8019494752775</v>
      </c>
      <c r="J61" s="6">
        <f ca="1">+INDEX(Model!$A:$AQ,MATCH("EBIT",Model!$A:$A,0),MATCH(DCF!J$51,Model!$3:$3,0))</f>
        <v>4144.3251395686675</v>
      </c>
      <c r="K61" s="6">
        <f ca="1">+INDEX(Model!$A:$AQ,MATCH("EBIT",Model!$A:$A,0),MATCH(DCF!K$51,Model!$3:$3,0))</f>
        <v>4911.028851754857</v>
      </c>
      <c r="L61" s="6">
        <f ca="1">+INDEX(Model!$A:$AQ,MATCH("EBIT",Model!$A:$A,0),MATCH(DCF!L$51,Model!$3:$3,0))</f>
        <v>5747.5829808633953</v>
      </c>
      <c r="M61" s="60">
        <f ca="1">+L61*(1+$K$36)</f>
        <v>5920.0104702892977</v>
      </c>
    </row>
    <row r="62" spans="2:16383" s="13" customFormat="1">
      <c r="B62" s="122" t="s">
        <v>5</v>
      </c>
      <c r="C62" s="102">
        <f ca="1">-IFERROR(-INDEX(Model!$A:$AQ,MATCH("Current Tax Rate",Model!$A:$A,0),MATCH(DCF!C$51,Model!$3:$3,0))-INDEX(Model!$A:$AQ,MATCH("Deferred Tax Rate",Model!$A:$A,0),MATCH(DCF!C$51,Model!$3:$3,0)),"na")</f>
        <v>-0.25</v>
      </c>
      <c r="D62" s="102">
        <f ca="1">-IFERROR(-INDEX(Model!$A:$AQ,MATCH("Current Tax Rate",Model!$A:$A,0),MATCH(DCF!D$51,Model!$3:$3,0))-INDEX(Model!$A:$AQ,MATCH("Deferred Tax Rate",Model!$A:$A,0),MATCH(DCF!D$51,Model!$3:$3,0)),"na")</f>
        <v>-0.25</v>
      </c>
      <c r="E62" s="102">
        <f ca="1">-IFERROR(-INDEX(Model!$A:$AQ,MATCH("Current Tax Rate",Model!$A:$A,0),MATCH(DCF!E$51,Model!$3:$3,0))-INDEX(Model!$A:$AQ,MATCH("Deferred Tax Rate",Model!$A:$A,0),MATCH(DCF!E$51,Model!$3:$3,0)),"na")</f>
        <v>-0.25</v>
      </c>
      <c r="F62" s="102">
        <f ca="1">-IFERROR(-INDEX(Model!$A:$AQ,MATCH("Current Tax Rate",Model!$A:$A,0),MATCH(DCF!F$51,Model!$3:$3,0))-INDEX(Model!$A:$AQ,MATCH("Deferred Tax Rate",Model!$A:$A,0),MATCH(DCF!F$51,Model!$3:$3,0)),"na")</f>
        <v>-0.25</v>
      </c>
      <c r="G62" s="102">
        <f ca="1">-IFERROR(-INDEX(Model!$A:$AQ,MATCH("Current Tax Rate",Model!$A:$A,0),MATCH(DCF!G$51,Model!$3:$3,0))-INDEX(Model!$A:$AQ,MATCH("Deferred Tax Rate",Model!$A:$A,0),MATCH(DCF!G$51,Model!$3:$3,0)),"na")</f>
        <v>-0.25</v>
      </c>
      <c r="H62" s="102">
        <f ca="1">-IFERROR(-INDEX(Model!$A:$AQ,MATCH("Current Tax Rate",Model!$A:$A,0),MATCH(DCF!H$51,Model!$3:$3,0))-INDEX(Model!$A:$AQ,MATCH("Deferred Tax Rate",Model!$A:$A,0),MATCH(DCF!H$51,Model!$3:$3,0)),"na")</f>
        <v>-0.25</v>
      </c>
      <c r="I62" s="102">
        <f ca="1">-IFERROR(-INDEX(Model!$A:$AQ,MATCH("Current Tax Rate",Model!$A:$A,0),MATCH(DCF!I$51,Model!$3:$3,0))-INDEX(Model!$A:$AQ,MATCH("Deferred Tax Rate",Model!$A:$A,0),MATCH(DCF!I$51,Model!$3:$3,0)),"na")</f>
        <v>-0.25</v>
      </c>
      <c r="J62" s="102">
        <f ca="1">-IFERROR(-INDEX(Model!$A:$AQ,MATCH("Current Tax Rate",Model!$A:$A,0),MATCH(DCF!J$51,Model!$3:$3,0))-INDEX(Model!$A:$AQ,MATCH("Deferred Tax Rate",Model!$A:$A,0),MATCH(DCF!J$51,Model!$3:$3,0)),"na")</f>
        <v>-0.25</v>
      </c>
      <c r="K62" s="102">
        <f ca="1">-IFERROR(-INDEX(Model!$A:$AQ,MATCH("Current Tax Rate",Model!$A:$A,0),MATCH(DCF!K$51,Model!$3:$3,0))-INDEX(Model!$A:$AQ,MATCH("Deferred Tax Rate",Model!$A:$A,0),MATCH(DCF!K$51,Model!$3:$3,0)),"na")</f>
        <v>-0.25</v>
      </c>
      <c r="L62" s="102">
        <f ca="1">-IFERROR(-INDEX(Model!$A:$AQ,MATCH("Current Tax Rate",Model!$A:$A,0),MATCH(DCF!L$51,Model!$3:$3,0))-INDEX(Model!$A:$AQ,MATCH("Deferred Tax Rate",Model!$A:$A,0),MATCH(DCF!L$51,Model!$3:$3,0)),"na")</f>
        <v>-0.25</v>
      </c>
      <c r="M62" s="102">
        <f ca="1">-IFERROR(-INDEX(Model!$A:$AQ,MATCH("Current Tax Rate",Model!$A:$A,0),MATCH(DCF!M$51,Model!$3:$3,0))-INDEX(Model!$A:$AQ,MATCH("Deferred Tax Rate",Model!$A:$A,0),MATCH(DCF!M$51,Model!$3:$3,0)),"na")</f>
        <v>-0.25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78">
        <f ca="1">IFERROR(C61*(1+C62),0)</f>
        <v>732.3701064960801</v>
      </c>
      <c r="D63" s="78">
        <f t="shared" ref="D63:M63" ca="1" si="12">IFERROR(D61*(1+D62),0)</f>
        <v>888.28522600331553</v>
      </c>
      <c r="E63" s="78">
        <f t="shared" ca="1" si="12"/>
        <v>1111.107010315046</v>
      </c>
      <c r="F63" s="78">
        <f t="shared" ca="1" si="12"/>
        <v>1393.0822327848</v>
      </c>
      <c r="G63" s="78">
        <f t="shared" ca="1" si="12"/>
        <v>1745.8460308317553</v>
      </c>
      <c r="H63" s="78">
        <f t="shared" ca="1" si="12"/>
        <v>2143.0279004170025</v>
      </c>
      <c r="I63" s="78">
        <f t="shared" ca="1" si="12"/>
        <v>2586.6014621064583</v>
      </c>
      <c r="J63" s="78">
        <f t="shared" ca="1" si="12"/>
        <v>3108.2438546765006</v>
      </c>
      <c r="K63" s="78">
        <f t="shared" ca="1" si="12"/>
        <v>3683.2716388161425</v>
      </c>
      <c r="L63" s="78">
        <f t="shared" ca="1" si="12"/>
        <v>4310.6872356475469</v>
      </c>
      <c r="M63" s="78">
        <f t="shared" ca="1" si="12"/>
        <v>4440.0078527169735</v>
      </c>
    </row>
    <row r="64" spans="2:16383">
      <c r="B64" t="s">
        <v>423</v>
      </c>
      <c r="C64" s="6">
        <f>INDEX(Model!$A:$AQ,MATCH("Depreciation",Model!$A:$A,0),MATCH(DCF!C$51,Model!$3:$3,0))</f>
        <v>141.88329375000001</v>
      </c>
      <c r="D64" s="6">
        <f>INDEX(Model!$A:$AQ,MATCH("Depreciation",Model!$A:$A,0),MATCH(DCF!D$51,Model!$3:$3,0))</f>
        <v>165.12648037500003</v>
      </c>
      <c r="E64" s="6">
        <f>INDEX(Model!$A:$AQ,MATCH("Depreciation",Model!$A:$A,0),MATCH(DCF!E$51,Model!$3:$3,0))</f>
        <v>198.26505498674999</v>
      </c>
      <c r="F64" s="6">
        <f>INDEX(Model!$A:$AQ,MATCH("Depreciation",Model!$A:$A,0),MATCH(DCF!F$51,Model!$3:$3,0))</f>
        <v>236.95757275588312</v>
      </c>
      <c r="G64" s="6">
        <f>INDEX(Model!$A:$AQ,MATCH("Depreciation",Model!$A:$A,0),MATCH(DCF!G$51,Model!$3:$3,0))</f>
        <v>278.45284536106544</v>
      </c>
      <c r="H64" s="6">
        <f>INDEX(Model!$A:$AQ,MATCH("Depreciation",Model!$A:$A,0),MATCH(DCF!H$51,Model!$3:$3,0))</f>
        <v>328.09551740717632</v>
      </c>
      <c r="I64" s="6">
        <f>INDEX(Model!$A:$AQ,MATCH("Depreciation",Model!$A:$A,0),MATCH(DCF!I$51,Model!$3:$3,0))</f>
        <v>374.82112176921584</v>
      </c>
      <c r="J64" s="6">
        <f>INDEX(Model!$A:$AQ,MATCH("Depreciation",Model!$A:$A,0),MATCH(DCF!J$51,Model!$3:$3,0))</f>
        <v>422.69276642996033</v>
      </c>
      <c r="K64" s="6">
        <f>INDEX(Model!$A:$AQ,MATCH("Depreciation",Model!$A:$A,0),MATCH(DCF!K$51,Model!$3:$3,0))</f>
        <v>472.57479514252941</v>
      </c>
      <c r="L64" s="6">
        <f>INDEX(Model!$A:$AQ,MATCH("Depreciation",Model!$A:$A,0),MATCH(DCF!L$51,Model!$3:$3,0))</f>
        <v>523.74906251922209</v>
      </c>
      <c r="M64" s="6">
        <f>INDEX(Model!$A:$AQ,MATCH("Depreciation",Model!$A:$A,0),MATCH(DCF!M$51,Model!$3:$3,0))</f>
        <v>575.36626179824589</v>
      </c>
    </row>
    <row r="65" spans="2:16383">
      <c r="B65" t="s">
        <v>311</v>
      </c>
      <c r="C65" s="6">
        <f>INDEX(Model!$A:$AQ,MATCH("Amortization",Model!$A:$A,0),MATCH(DCF!C$51,Model!$3:$3,0))</f>
        <v>965.67419711538469</v>
      </c>
      <c r="D65" s="6">
        <f>INDEX(Model!$A:$AQ,MATCH("Amortization",Model!$A:$A,0),MATCH(DCF!D$51,Model!$3:$3,0))</f>
        <v>1162.1136690865387</v>
      </c>
      <c r="E65" s="6">
        <f>INDEX(Model!$A:$AQ,MATCH("Amortization",Model!$A:$A,0),MATCH(DCF!E$51,Model!$3:$3,0))</f>
        <v>1348.8104934210294</v>
      </c>
      <c r="F65" s="6">
        <f>INDEX(Model!$A:$AQ,MATCH("Amortization",Model!$A:$A,0),MATCH(DCF!F$51,Model!$3:$3,0))</f>
        <v>1523.5651285634185</v>
      </c>
      <c r="G65" s="6">
        <f>INDEX(Model!$A:$AQ,MATCH("Amortization",Model!$A:$A,0),MATCH(DCF!G$51,Model!$3:$3,0))</f>
        <v>1680.741850195159</v>
      </c>
      <c r="H65" s="6">
        <f>INDEX(Model!$A:$AQ,MATCH("Amortization",Model!$A:$A,0),MATCH(DCF!H$51,Model!$3:$3,0))</f>
        <v>1849.4873198219013</v>
      </c>
      <c r="I65" s="6">
        <f>INDEX(Model!$A:$AQ,MATCH("Amortization",Model!$A:$A,0),MATCH(DCF!I$51,Model!$3:$3,0))</f>
        <v>2022.439649773682</v>
      </c>
      <c r="J65" s="6">
        <f>INDEX(Model!$A:$AQ,MATCH("Amortization",Model!$A:$A,0),MATCH(DCF!J$51,Model!$3:$3,0))</f>
        <v>2158.664055719822</v>
      </c>
      <c r="K65" s="6">
        <f>INDEX(Model!$A:$AQ,MATCH("Amortization",Model!$A:$A,0),MATCH(DCF!K$51,Model!$3:$3,0))</f>
        <v>2280.765836912612</v>
      </c>
      <c r="L65" s="6">
        <f>INDEX(Model!$A:$AQ,MATCH("Amortization",Model!$A:$A,0),MATCH(DCF!L$51,Model!$3:$3,0))</f>
        <v>2378.3035289582713</v>
      </c>
      <c r="M65" s="239">
        <f ca="1">INDEX(Model!$A:$AQ,MATCH("Amortization",Model!$A:$A,0),MATCH(DCF!M$51,Model!$3:$3,0))*(1+M62*0.5)</f>
        <v>2137.0302362141406</v>
      </c>
      <c r="N65" s="3"/>
    </row>
    <row r="66" spans="2:16383">
      <c r="B66" t="s">
        <v>208</v>
      </c>
      <c r="C66" s="6">
        <f ca="1">+INDEX(Model!$A:$AQ,MATCH("Capex",Model!$A:$A,0),MATCH(DCF!C$51,Model!$3:$3,0))+INDEX(Model!$A:$AQ,MATCH("M&amp;A",Model!$A:$A,0),MATCH(DCF!C$51,Model!$3:$3,0))+INDEX(Model!$A:$AQ,MATCH("Operating Lease",Model!$A:$A,0),MATCH(DCF!C$51,Model!$3:$3,0))+INDEX(Model!$A:$AQ,MATCH("CSU 2.0",Model!$A:$A,0),MATCH(DCF!C$51,Model!$3:$3,0))</f>
        <v>-1833.1520820000007</v>
      </c>
      <c r="D66" s="6">
        <f ca="1">+INDEX(Model!$A:$AQ,MATCH("Capex",Model!$A:$A,0),MATCH(DCF!D$51,Model!$3:$3,0))+INDEX(Model!$A:$AQ,MATCH("M&amp;A",Model!$A:$A,0),MATCH(DCF!D$51,Model!$3:$3,0))+INDEX(Model!$A:$AQ,MATCH("Operating Lease",Model!$A:$A,0),MATCH(DCF!D$51,Model!$3:$3,0))+INDEX(Model!$A:$AQ,MATCH("CSU 2.0",Model!$A:$A,0),MATCH(DCF!D$51,Model!$3:$3,0))</f>
        <v>-2017.6135614440732</v>
      </c>
      <c r="E66" s="6">
        <f ca="1">+INDEX(Model!$A:$AQ,MATCH("Capex",Model!$A:$A,0),MATCH(DCF!E$51,Model!$3:$3,0))+INDEX(Model!$A:$AQ,MATCH("M&amp;A",Model!$A:$A,0),MATCH(DCF!E$51,Model!$3:$3,0))+INDEX(Model!$A:$AQ,MATCH("Operating Lease",Model!$A:$A,0),MATCH(DCF!E$51,Model!$3:$3,0))+INDEX(Model!$A:$AQ,MATCH("CSU 2.0",Model!$A:$A,0),MATCH(DCF!E$51,Model!$3:$3,0))</f>
        <v>-2348.5619923304544</v>
      </c>
      <c r="F66" s="6">
        <f ca="1">+INDEX(Model!$A:$AQ,MATCH("Capex",Model!$A:$A,0),MATCH(DCF!F$51,Model!$3:$3,0))+INDEX(Model!$A:$AQ,MATCH("M&amp;A",Model!$A:$A,0),MATCH(DCF!F$51,Model!$3:$3,0))+INDEX(Model!$A:$AQ,MATCH("Operating Lease",Model!$A:$A,0),MATCH(DCF!F$51,Model!$3:$3,0))+INDEX(Model!$A:$AQ,MATCH("CSU 2.0",Model!$A:$A,0),MATCH(DCF!F$51,Model!$3:$3,0))</f>
        <v>-2821.32141562979</v>
      </c>
      <c r="G66" s="6">
        <f ca="1">+INDEX(Model!$A:$AQ,MATCH("Capex",Model!$A:$A,0),MATCH(DCF!G$51,Model!$3:$3,0))+INDEX(Model!$A:$AQ,MATCH("M&amp;A",Model!$A:$A,0),MATCH(DCF!G$51,Model!$3:$3,0))+INDEX(Model!$A:$AQ,MATCH("Operating Lease",Model!$A:$A,0),MATCH(DCF!G$51,Model!$3:$3,0))+INDEX(Model!$A:$AQ,MATCH("CSU 2.0",Model!$A:$A,0),MATCH(DCF!G$51,Model!$3:$3,0))</f>
        <v>-3301.5693617838801</v>
      </c>
      <c r="H66" s="6">
        <f ca="1">+INDEX(Model!$A:$AQ,MATCH("Capex",Model!$A:$A,0),MATCH(DCF!H$51,Model!$3:$3,0))+INDEX(Model!$A:$AQ,MATCH("M&amp;A",Model!$A:$A,0),MATCH(DCF!H$51,Model!$3:$3,0))+INDEX(Model!$A:$AQ,MATCH("Operating Lease",Model!$A:$A,0),MATCH(DCF!H$51,Model!$3:$3,0))+INDEX(Model!$A:$AQ,MATCH("CSU 2.0",Model!$A:$A,0),MATCH(DCF!H$51,Model!$3:$3,0))</f>
        <v>-3778.8041695330576</v>
      </c>
      <c r="I66" s="6">
        <f ca="1">+INDEX(Model!$A:$AQ,MATCH("Capex",Model!$A:$A,0),MATCH(DCF!I$51,Model!$3:$3,0))+INDEX(Model!$A:$AQ,MATCH("M&amp;A",Model!$A:$A,0),MATCH(DCF!I$51,Model!$3:$3,0))+INDEX(Model!$A:$AQ,MATCH("Operating Lease",Model!$A:$A,0),MATCH(DCF!I$51,Model!$3:$3,0))+INDEX(Model!$A:$AQ,MATCH("CSU 2.0",Model!$A:$A,0),MATCH(DCF!I$51,Model!$3:$3,0))</f>
        <v>-4222.622495811097</v>
      </c>
      <c r="J66" s="6">
        <f ca="1">+INDEX(Model!$A:$AQ,MATCH("Capex",Model!$A:$A,0),MATCH(DCF!J$51,Model!$3:$3,0))+INDEX(Model!$A:$AQ,MATCH("M&amp;A",Model!$A:$A,0),MATCH(DCF!J$51,Model!$3:$3,0))+INDEX(Model!$A:$AQ,MATCH("Operating Lease",Model!$A:$A,0),MATCH(DCF!J$51,Model!$3:$3,0))+INDEX(Model!$A:$AQ,MATCH("CSU 2.0",Model!$A:$A,0),MATCH(DCF!J$51,Model!$3:$3,0))</f>
        <v>-4686.0923789653616</v>
      </c>
      <c r="K66" s="6">
        <f ca="1">+INDEX(Model!$A:$AQ,MATCH("Capex",Model!$A:$A,0),MATCH(DCF!K$51,Model!$3:$3,0))+INDEX(Model!$A:$AQ,MATCH("M&amp;A",Model!$A:$A,0),MATCH(DCF!K$51,Model!$3:$3,0))+INDEX(Model!$A:$AQ,MATCH("Operating Lease",Model!$A:$A,0),MATCH(DCF!K$51,Model!$3:$3,0))+INDEX(Model!$A:$AQ,MATCH("CSU 2.0",Model!$A:$A,0),MATCH(DCF!K$51,Model!$3:$3,0))</f>
        <v>-5120.5343528919948</v>
      </c>
      <c r="L66" s="6">
        <f ca="1">+INDEX(Model!$A:$AQ,MATCH("Capex",Model!$A:$A,0),MATCH(DCF!L$51,Model!$3:$3,0))+INDEX(Model!$A:$AQ,MATCH("M&amp;A",Model!$A:$A,0),MATCH(DCF!L$51,Model!$3:$3,0))+INDEX(Model!$A:$AQ,MATCH("Operating Lease",Model!$A:$A,0),MATCH(DCF!L$51,Model!$3:$3,0))+INDEX(Model!$A:$AQ,MATCH("CSU 2.0",Model!$A:$A,0),MATCH(DCF!L$51,Model!$3:$3,0))</f>
        <v>-5505.5605232695052</v>
      </c>
      <c r="M66" s="123">
        <f ca="1">(M71*-INDEX($J$37:$L$37,MATCH($L$87,$J$36:$L$36,0)))-M67-M64</f>
        <v>-2102.5436543485539</v>
      </c>
    </row>
    <row r="67" spans="2:16383">
      <c r="B67" t="s">
        <v>122</v>
      </c>
      <c r="C67" s="6">
        <f>+INDEX(Model!$A:$AQ,MATCH("Change in NWC",Model!$A:$A,0),MATCH(DCF!C$51,Model!$3:$3,0))</f>
        <v>-43.308759194903359</v>
      </c>
      <c r="D67" s="6">
        <f>+INDEX(Model!$A:$AQ,MATCH("Change in NWC",Model!$A:$A,0),MATCH(DCF!D$51,Model!$3:$3,0))</f>
        <v>-18.915389897697423</v>
      </c>
      <c r="E67" s="6">
        <f>+INDEX(Model!$A:$AQ,MATCH("Change in NWC",Model!$A:$A,0),MATCH(DCF!E$51,Model!$3:$3,0))</f>
        <v>10.262295310581976</v>
      </c>
      <c r="F67" s="6">
        <f>+INDEX(Model!$A:$AQ,MATCH("Change in NWC",Model!$A:$A,0),MATCH(DCF!F$51,Model!$3:$3,0))</f>
        <v>15.322439201903023</v>
      </c>
      <c r="G67" s="6">
        <f>+INDEX(Model!$A:$AQ,MATCH("Change in NWC",Model!$A:$A,0),MATCH(DCF!G$51,Model!$3:$3,0))</f>
        <v>19.089260893716869</v>
      </c>
      <c r="H67" s="6">
        <f>+INDEX(Model!$A:$AQ,MATCH("Change in NWC",Model!$A:$A,0),MATCH(DCF!H$51,Model!$3:$3,0))</f>
        <v>24.268121060020064</v>
      </c>
      <c r="I67" s="6">
        <f>+INDEX(Model!$A:$AQ,MATCH("Change in NWC",Model!$A:$A,0),MATCH(DCF!I$51,Model!$3:$3,0))</f>
        <v>36.632494025688686</v>
      </c>
      <c r="J67" s="6">
        <f>+INDEX(Model!$A:$AQ,MATCH("Change in NWC",Model!$A:$A,0),MATCH(DCF!J$51,Model!$3:$3,0))</f>
        <v>48.140410767201615</v>
      </c>
      <c r="K67" s="6">
        <f>+INDEX(Model!$A:$AQ,MATCH("Change in NWC",Model!$A:$A,0),MATCH(DCF!K$51,Model!$3:$3,0))</f>
        <v>63.061251565048337</v>
      </c>
      <c r="L67" s="6">
        <f>+INDEX(Model!$A:$AQ,MATCH("Change in NWC",Model!$A:$A,0),MATCH(DCF!L$51,Model!$3:$3,0))</f>
        <v>80.684308251811672</v>
      </c>
      <c r="M67" s="6">
        <f>+INDEX(Model!$A:$AQ,MATCH("Change in NWC",Model!$A:$A,0),MATCH(DCF!M$51,Model!$3:$3,0))</f>
        <v>99.370032852190207</v>
      </c>
      <c r="O67" s="13"/>
      <c r="P67" s="13"/>
      <c r="Q67" s="13"/>
      <c r="R67" s="13"/>
      <c r="S67" s="13"/>
      <c r="T67" s="13"/>
      <c r="U67" s="13"/>
      <c r="V67" s="13"/>
    </row>
    <row r="68" spans="2:16383">
      <c r="B68" t="s">
        <v>104</v>
      </c>
      <c r="C68" s="6">
        <f ca="1">+INDEX(Model!$A:$AQ,MATCH("Deferred taxes",Model!$A:$A,0),MATCH(DCF!C$51,Model!$3:$3,0))</f>
        <v>0</v>
      </c>
      <c r="D68" s="6">
        <f ca="1">+INDEX(Model!$A:$AQ,MATCH("Deferred taxes",Model!$A:$A,0),MATCH(DCF!D$51,Model!$3:$3,0))</f>
        <v>0</v>
      </c>
      <c r="E68" s="6">
        <f ca="1">+INDEX(Model!$A:$AQ,MATCH("Deferred taxes",Model!$A:$A,0),MATCH(DCF!E$51,Model!$3:$3,0))</f>
        <v>0</v>
      </c>
      <c r="F68" s="6">
        <f ca="1">+INDEX(Model!$A:$AQ,MATCH("Deferred taxes",Model!$A:$A,0),MATCH(DCF!F$51,Model!$3:$3,0))</f>
        <v>0</v>
      </c>
      <c r="G68" s="6">
        <f ca="1">+INDEX(Model!$A:$AQ,MATCH("Deferred taxes",Model!$A:$A,0),MATCH(DCF!G$51,Model!$3:$3,0))</f>
        <v>0</v>
      </c>
      <c r="H68" s="6">
        <f ca="1">+INDEX(Model!$A:$AQ,MATCH("Deferred taxes",Model!$A:$A,0),MATCH(DCF!H$51,Model!$3:$3,0))</f>
        <v>0</v>
      </c>
      <c r="I68" s="6">
        <f ca="1">+INDEX(Model!$A:$AQ,MATCH("Deferred taxes",Model!$A:$A,0),MATCH(DCF!I$51,Model!$3:$3,0))</f>
        <v>0</v>
      </c>
      <c r="J68" s="6">
        <f ca="1">+INDEX(Model!$A:$AQ,MATCH("Deferred taxes",Model!$A:$A,0),MATCH(DCF!J$51,Model!$3:$3,0))</f>
        <v>0</v>
      </c>
      <c r="K68" s="6">
        <f ca="1">+INDEX(Model!$A:$AQ,MATCH("Deferred taxes",Model!$A:$A,0),MATCH(DCF!K$51,Model!$3:$3,0))</f>
        <v>0</v>
      </c>
      <c r="L68" s="6">
        <f ca="1">+INDEX(Model!$A:$AQ,MATCH("Deferred taxes",Model!$A:$A,0),MATCH(DCF!L$51,Model!$3:$3,0))</f>
        <v>0</v>
      </c>
      <c r="M68" s="6">
        <f ca="1">+INDEX(Model!$A:$AQ,MATCH("Deferred taxes",Model!$A:$A,0),MATCH(DCF!M$51,Model!$3:$3,0))</f>
        <v>0</v>
      </c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2:16383">
      <c r="B69" s="2" t="s">
        <v>10</v>
      </c>
      <c r="C69" s="7">
        <f ca="1">SUM(C63:C68)</f>
        <v>-36.533243833439201</v>
      </c>
      <c r="D69" s="7">
        <f t="shared" ref="D69:K69" ca="1" si="13">SUM(D63:D68)</f>
        <v>178.99642412308367</v>
      </c>
      <c r="E69" s="7">
        <f t="shared" ca="1" si="13"/>
        <v>319.8828617029526</v>
      </c>
      <c r="F69" s="7">
        <f t="shared" ca="1" si="13"/>
        <v>347.6059576762147</v>
      </c>
      <c r="G69" s="7">
        <f t="shared" ca="1" si="13"/>
        <v>422.56062549781643</v>
      </c>
      <c r="H69" s="7">
        <f t="shared" ca="1" si="13"/>
        <v>566.074689173043</v>
      </c>
      <c r="I69" s="7">
        <f t="shared" ca="1" si="13"/>
        <v>797.87223186394795</v>
      </c>
      <c r="J69" s="7">
        <f t="shared" ca="1" si="13"/>
        <v>1051.6487086281231</v>
      </c>
      <c r="K69" s="7">
        <f t="shared" ca="1" si="13"/>
        <v>1379.1391695443372</v>
      </c>
      <c r="L69" s="7">
        <f ca="1">SUM(L63:L68)</f>
        <v>1787.8636121073469</v>
      </c>
      <c r="M69" s="7">
        <f ca="1">SUM(M63:M68)</f>
        <v>5149.230729232997</v>
      </c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  <c r="IW69" s="13"/>
      <c r="IX69" s="13"/>
      <c r="IY69" s="13"/>
      <c r="IZ69" s="13"/>
      <c r="JA69" s="13"/>
      <c r="JB69" s="13"/>
      <c r="JC69" s="13"/>
      <c r="JD69" s="13"/>
      <c r="JE69" s="13"/>
      <c r="JF69" s="13"/>
      <c r="JG69" s="13"/>
      <c r="JH69" s="13"/>
      <c r="JI69" s="13"/>
      <c r="JJ69" s="13"/>
      <c r="JK69" s="13"/>
      <c r="JL69" s="13"/>
      <c r="JM69" s="13"/>
      <c r="JN69" s="13"/>
      <c r="JO69" s="13"/>
      <c r="JP69" s="13"/>
      <c r="JQ69" s="13"/>
      <c r="JR69" s="13"/>
      <c r="JS69" s="13"/>
      <c r="JT69" s="13"/>
      <c r="JU69" s="13"/>
      <c r="JV69" s="13"/>
      <c r="JW69" s="13"/>
      <c r="JX69" s="13"/>
      <c r="JY69" s="13"/>
      <c r="JZ69" s="13"/>
      <c r="KA69" s="13"/>
      <c r="KB69" s="13"/>
      <c r="KC69" s="13"/>
      <c r="KD69" s="13"/>
      <c r="KE69" s="13"/>
      <c r="KF69" s="13"/>
      <c r="KG69" s="13"/>
      <c r="KH69" s="13"/>
      <c r="KI69" s="13"/>
      <c r="KJ69" s="13"/>
      <c r="KK69" s="13"/>
      <c r="KL69" s="13"/>
      <c r="KM69" s="13"/>
      <c r="KN69" s="13"/>
      <c r="KO69" s="13"/>
      <c r="KP69" s="13"/>
      <c r="KQ69" s="13"/>
      <c r="KR69" s="13"/>
      <c r="KS69" s="13"/>
      <c r="KT69" s="13"/>
      <c r="KU69" s="13"/>
      <c r="KV69" s="13"/>
      <c r="KW69" s="13"/>
      <c r="KX69" s="13"/>
      <c r="KY69" s="13"/>
      <c r="KZ69" s="13"/>
      <c r="LA69" s="13"/>
      <c r="LB69" s="13"/>
      <c r="LC69" s="13"/>
      <c r="LD69" s="13"/>
      <c r="LE69" s="13"/>
      <c r="LF69" s="13"/>
      <c r="LG69" s="13"/>
      <c r="LH69" s="13"/>
      <c r="LI69" s="13"/>
      <c r="LJ69" s="13"/>
      <c r="LK69" s="13"/>
      <c r="LL69" s="13"/>
      <c r="LM69" s="13"/>
      <c r="LN69" s="13"/>
      <c r="LO69" s="13"/>
      <c r="LP69" s="13"/>
      <c r="LQ69" s="13"/>
      <c r="LR69" s="13"/>
      <c r="LS69" s="13"/>
      <c r="LT69" s="13"/>
      <c r="LU69" s="13"/>
      <c r="LV69" s="13"/>
      <c r="LW69" s="13"/>
      <c r="LX69" s="13"/>
      <c r="LY69" s="13"/>
      <c r="LZ69" s="13"/>
      <c r="MA69" s="13"/>
      <c r="MB69" s="13"/>
      <c r="MC69" s="13"/>
      <c r="MD69" s="13"/>
      <c r="ME69" s="13"/>
      <c r="MF69" s="13"/>
      <c r="MG69" s="13"/>
      <c r="MH69" s="13"/>
      <c r="MI69" s="13"/>
      <c r="MJ69" s="13"/>
      <c r="MK69" s="13"/>
      <c r="ML69" s="13"/>
      <c r="MM69" s="13"/>
      <c r="MN69" s="13"/>
      <c r="MO69" s="13"/>
      <c r="MP69" s="13"/>
      <c r="MQ69" s="13"/>
      <c r="MR69" s="13"/>
      <c r="MS69" s="13"/>
      <c r="MT69" s="13"/>
      <c r="MU69" s="13"/>
      <c r="MV69" s="13"/>
      <c r="MW69" s="13"/>
      <c r="MX69" s="13"/>
      <c r="MY69" s="13"/>
      <c r="MZ69" s="13"/>
      <c r="NA69" s="13"/>
      <c r="NB69" s="13"/>
      <c r="NC69" s="13"/>
      <c r="ND69" s="13"/>
      <c r="NE69" s="13"/>
      <c r="NF69" s="13"/>
      <c r="NG69" s="13"/>
      <c r="NH69" s="13"/>
      <c r="NI69" s="13"/>
      <c r="NJ69" s="13"/>
      <c r="NK69" s="13"/>
      <c r="NL69" s="13"/>
      <c r="NM69" s="13"/>
      <c r="NN69" s="13"/>
      <c r="NO69" s="13"/>
      <c r="NP69" s="13"/>
      <c r="NQ69" s="13"/>
      <c r="NR69" s="13"/>
      <c r="NS69" s="13"/>
      <c r="NT69" s="13"/>
      <c r="NU69" s="13"/>
      <c r="NV69" s="13"/>
      <c r="NW69" s="13"/>
      <c r="NX69" s="13"/>
      <c r="NY69" s="13"/>
      <c r="NZ69" s="13"/>
      <c r="OA69" s="13"/>
      <c r="OB69" s="13"/>
      <c r="OC69" s="13"/>
      <c r="OD69" s="13"/>
      <c r="OE69" s="13"/>
      <c r="OF69" s="13"/>
      <c r="OG69" s="13"/>
      <c r="OH69" s="13"/>
      <c r="OI69" s="13"/>
      <c r="OJ69" s="13"/>
      <c r="OK69" s="13"/>
      <c r="OL69" s="13"/>
      <c r="OM69" s="13"/>
      <c r="ON69" s="13"/>
      <c r="OO69" s="13"/>
      <c r="OP69" s="13"/>
      <c r="OQ69" s="13"/>
      <c r="OR69" s="13"/>
      <c r="OS69" s="13"/>
      <c r="OT69" s="13"/>
      <c r="OU69" s="13"/>
      <c r="OV69" s="13"/>
      <c r="OW69" s="13"/>
      <c r="OX69" s="13"/>
      <c r="OY69" s="13"/>
      <c r="OZ69" s="13"/>
      <c r="PA69" s="13"/>
      <c r="PB69" s="13"/>
      <c r="PC69" s="13"/>
      <c r="PD69" s="13"/>
      <c r="PE69" s="13"/>
      <c r="PF69" s="13"/>
      <c r="PG69" s="13"/>
      <c r="PH69" s="13"/>
      <c r="PI69" s="13"/>
      <c r="PJ69" s="13"/>
      <c r="PK69" s="13"/>
      <c r="PL69" s="13"/>
      <c r="PM69" s="13"/>
      <c r="PN69" s="13"/>
      <c r="PO69" s="13"/>
      <c r="PP69" s="13"/>
      <c r="PQ69" s="13"/>
      <c r="PR69" s="13"/>
      <c r="PS69" s="13"/>
      <c r="PT69" s="13"/>
      <c r="PU69" s="13"/>
      <c r="PV69" s="13"/>
      <c r="PW69" s="13"/>
      <c r="PX69" s="13"/>
      <c r="PY69" s="13"/>
      <c r="PZ69" s="13"/>
      <c r="QA69" s="13"/>
      <c r="QB69" s="13"/>
      <c r="QC69" s="13"/>
      <c r="QD69" s="13"/>
      <c r="QE69" s="13"/>
      <c r="QF69" s="13"/>
      <c r="QG69" s="13"/>
      <c r="QH69" s="13"/>
      <c r="QI69" s="13"/>
      <c r="QJ69" s="13"/>
      <c r="QK69" s="13"/>
      <c r="QL69" s="13"/>
      <c r="QM69" s="13"/>
      <c r="QN69" s="13"/>
      <c r="QO69" s="13"/>
      <c r="QP69" s="13"/>
      <c r="QQ69" s="13"/>
      <c r="QR69" s="13"/>
      <c r="QS69" s="13"/>
      <c r="QT69" s="13"/>
      <c r="QU69" s="13"/>
      <c r="QV69" s="13"/>
      <c r="QW69" s="13"/>
      <c r="QX69" s="13"/>
      <c r="QY69" s="13"/>
      <c r="QZ69" s="13"/>
      <c r="RA69" s="13"/>
      <c r="RB69" s="13"/>
      <c r="RC69" s="13"/>
      <c r="RD69" s="13"/>
      <c r="RE69" s="13"/>
      <c r="RF69" s="13"/>
      <c r="RG69" s="13"/>
      <c r="RH69" s="13"/>
      <c r="RI69" s="13"/>
      <c r="RJ69" s="13"/>
      <c r="RK69" s="13"/>
      <c r="RL69" s="13"/>
      <c r="RM69" s="13"/>
      <c r="RN69" s="13"/>
      <c r="RO69" s="13"/>
      <c r="RP69" s="13"/>
      <c r="RQ69" s="13"/>
      <c r="RR69" s="13"/>
      <c r="RS69" s="13"/>
      <c r="RT69" s="13"/>
      <c r="RU69" s="13"/>
      <c r="RV69" s="13"/>
      <c r="RW69" s="13"/>
      <c r="RX69" s="13"/>
      <c r="RY69" s="13"/>
      <c r="RZ69" s="13"/>
      <c r="SA69" s="13"/>
      <c r="SB69" s="13"/>
      <c r="SC69" s="13"/>
      <c r="SD69" s="13"/>
      <c r="SE69" s="13"/>
      <c r="SF69" s="13"/>
      <c r="SG69" s="13"/>
      <c r="SH69" s="13"/>
      <c r="SI69" s="13"/>
      <c r="SJ69" s="13"/>
      <c r="SK69" s="13"/>
      <c r="SL69" s="13"/>
      <c r="SM69" s="13"/>
      <c r="SN69" s="13"/>
      <c r="SO69" s="13"/>
      <c r="SP69" s="13"/>
      <c r="SQ69" s="13"/>
      <c r="SR69" s="13"/>
      <c r="SS69" s="13"/>
      <c r="ST69" s="13"/>
      <c r="SU69" s="13"/>
      <c r="SV69" s="13"/>
      <c r="SW69" s="13"/>
      <c r="SX69" s="13"/>
      <c r="SY69" s="13"/>
      <c r="SZ69" s="13"/>
      <c r="TA69" s="13"/>
      <c r="TB69" s="13"/>
      <c r="TC69" s="13"/>
      <c r="TD69" s="13"/>
      <c r="TE69" s="13"/>
      <c r="TF69" s="13"/>
      <c r="TG69" s="13"/>
      <c r="TH69" s="13"/>
      <c r="TI69" s="13"/>
      <c r="TJ69" s="13"/>
      <c r="TK69" s="13"/>
      <c r="TL69" s="13"/>
      <c r="TM69" s="13"/>
      <c r="TN69" s="13"/>
      <c r="TO69" s="13"/>
      <c r="TP69" s="13"/>
      <c r="TQ69" s="13"/>
      <c r="TR69" s="13"/>
      <c r="TS69" s="13"/>
      <c r="TT69" s="13"/>
      <c r="TU69" s="13"/>
      <c r="TV69" s="13"/>
      <c r="TW69" s="13"/>
      <c r="TX69" s="13"/>
      <c r="TY69" s="13"/>
      <c r="TZ69" s="13"/>
      <c r="UA69" s="13"/>
      <c r="UB69" s="13"/>
      <c r="UC69" s="13"/>
      <c r="UD69" s="13"/>
      <c r="UE69" s="13"/>
      <c r="UF69" s="13"/>
      <c r="UG69" s="13"/>
      <c r="UH69" s="13"/>
      <c r="UI69" s="13"/>
      <c r="UJ69" s="13"/>
      <c r="UK69" s="13"/>
      <c r="UL69" s="13"/>
      <c r="UM69" s="13"/>
      <c r="UN69" s="13"/>
      <c r="UO69" s="13"/>
      <c r="UP69" s="13"/>
      <c r="UQ69" s="13"/>
      <c r="UR69" s="13"/>
      <c r="US69" s="13"/>
      <c r="UT69" s="13"/>
      <c r="UU69" s="13"/>
      <c r="UV69" s="13"/>
      <c r="UW69" s="13"/>
      <c r="UX69" s="13"/>
      <c r="UY69" s="13"/>
      <c r="UZ69" s="13"/>
      <c r="VA69" s="13"/>
      <c r="VB69" s="13"/>
      <c r="VC69" s="13"/>
      <c r="VD69" s="13"/>
      <c r="VE69" s="13"/>
      <c r="VF69" s="13"/>
      <c r="VG69" s="13"/>
      <c r="VH69" s="13"/>
      <c r="VI69" s="13"/>
      <c r="VJ69" s="13"/>
      <c r="VK69" s="13"/>
      <c r="VL69" s="13"/>
      <c r="VM69" s="13"/>
      <c r="VN69" s="13"/>
      <c r="VO69" s="13"/>
      <c r="VP69" s="13"/>
      <c r="VQ69" s="13"/>
      <c r="VR69" s="13"/>
      <c r="VS69" s="13"/>
      <c r="VT69" s="13"/>
      <c r="VU69" s="13"/>
      <c r="VV69" s="13"/>
      <c r="VW69" s="13"/>
      <c r="VX69" s="13"/>
      <c r="VY69" s="13"/>
      <c r="VZ69" s="13"/>
      <c r="WA69" s="13"/>
      <c r="WB69" s="13"/>
      <c r="WC69" s="13"/>
      <c r="WD69" s="13"/>
      <c r="WE69" s="13"/>
      <c r="WF69" s="13"/>
      <c r="WG69" s="13"/>
      <c r="WH69" s="13"/>
      <c r="WI69" s="13"/>
      <c r="WJ69" s="13"/>
      <c r="WK69" s="13"/>
      <c r="WL69" s="13"/>
      <c r="WM69" s="13"/>
      <c r="WN69" s="13"/>
      <c r="WO69" s="13"/>
      <c r="WP69" s="13"/>
      <c r="WQ69" s="13"/>
      <c r="WR69" s="13"/>
      <c r="WS69" s="13"/>
      <c r="WT69" s="13"/>
      <c r="WU69" s="13"/>
      <c r="WV69" s="13"/>
      <c r="WW69" s="13"/>
      <c r="WX69" s="13"/>
      <c r="WY69" s="13"/>
      <c r="WZ69" s="13"/>
      <c r="XA69" s="13"/>
      <c r="XB69" s="13"/>
      <c r="XC69" s="13"/>
      <c r="XD69" s="13"/>
      <c r="XE69" s="13"/>
      <c r="XF69" s="13"/>
      <c r="XG69" s="13"/>
      <c r="XH69" s="13"/>
      <c r="XI69" s="13"/>
      <c r="XJ69" s="13"/>
      <c r="XK69" s="13"/>
      <c r="XL69" s="13"/>
      <c r="XM69" s="13"/>
      <c r="XN69" s="13"/>
      <c r="XO69" s="13"/>
      <c r="XP69" s="13"/>
      <c r="XQ69" s="13"/>
      <c r="XR69" s="13"/>
      <c r="XS69" s="13"/>
      <c r="XT69" s="13"/>
      <c r="XU69" s="13"/>
      <c r="XV69" s="13"/>
      <c r="XW69" s="13"/>
      <c r="XX69" s="13"/>
      <c r="XY69" s="13"/>
      <c r="XZ69" s="13"/>
      <c r="YA69" s="13"/>
      <c r="YB69" s="13"/>
      <c r="YC69" s="13"/>
      <c r="YD69" s="13"/>
      <c r="YE69" s="13"/>
      <c r="YF69" s="13"/>
      <c r="YG69" s="13"/>
      <c r="YH69" s="13"/>
      <c r="YI69" s="13"/>
      <c r="YJ69" s="13"/>
      <c r="YK69" s="13"/>
      <c r="YL69" s="13"/>
      <c r="YM69" s="13"/>
      <c r="YN69" s="13"/>
      <c r="YO69" s="13"/>
      <c r="YP69" s="13"/>
      <c r="YQ69" s="13"/>
      <c r="YR69" s="13"/>
      <c r="YS69" s="13"/>
      <c r="YT69" s="13"/>
      <c r="YU69" s="13"/>
      <c r="YV69" s="13"/>
      <c r="YW69" s="13"/>
      <c r="YX69" s="13"/>
      <c r="YY69" s="13"/>
      <c r="YZ69" s="13"/>
      <c r="ZA69" s="13"/>
      <c r="ZB69" s="13"/>
      <c r="ZC69" s="13"/>
      <c r="ZD69" s="13"/>
      <c r="ZE69" s="13"/>
      <c r="ZF69" s="13"/>
      <c r="ZG69" s="13"/>
      <c r="ZH69" s="13"/>
      <c r="ZI69" s="13"/>
      <c r="ZJ69" s="13"/>
      <c r="ZK69" s="13"/>
      <c r="ZL69" s="13"/>
      <c r="ZM69" s="13"/>
      <c r="ZN69" s="13"/>
      <c r="ZO69" s="13"/>
      <c r="ZP69" s="13"/>
      <c r="ZQ69" s="13"/>
      <c r="ZR69" s="13"/>
      <c r="ZS69" s="13"/>
      <c r="ZT69" s="13"/>
      <c r="ZU69" s="13"/>
      <c r="ZV69" s="13"/>
      <c r="ZW69" s="13"/>
      <c r="ZX69" s="13"/>
      <c r="ZY69" s="13"/>
      <c r="ZZ69" s="13"/>
      <c r="AAA69" s="13"/>
      <c r="AAB69" s="13"/>
      <c r="AAC69" s="13"/>
      <c r="AAD69" s="13"/>
      <c r="AAE69" s="13"/>
      <c r="AAF69" s="13"/>
      <c r="AAG69" s="13"/>
      <c r="AAH69" s="13"/>
      <c r="AAI69" s="13"/>
      <c r="AAJ69" s="13"/>
      <c r="AAK69" s="13"/>
      <c r="AAL69" s="13"/>
      <c r="AAM69" s="13"/>
      <c r="AAN69" s="13"/>
      <c r="AAO69" s="13"/>
      <c r="AAP69" s="13"/>
      <c r="AAQ69" s="13"/>
      <c r="AAR69" s="13"/>
      <c r="AAS69" s="13"/>
      <c r="AAT69" s="13"/>
      <c r="AAU69" s="13"/>
      <c r="AAV69" s="13"/>
      <c r="AAW69" s="13"/>
      <c r="AAX69" s="13"/>
      <c r="AAY69" s="13"/>
      <c r="AAZ69" s="13"/>
      <c r="ABA69" s="13"/>
      <c r="ABB69" s="13"/>
      <c r="ABC69" s="13"/>
      <c r="ABD69" s="13"/>
      <c r="ABE69" s="13"/>
      <c r="ABF69" s="13"/>
      <c r="ABG69" s="13"/>
      <c r="ABH69" s="13"/>
      <c r="ABI69" s="13"/>
      <c r="ABJ69" s="13"/>
      <c r="ABK69" s="13"/>
      <c r="ABL69" s="13"/>
      <c r="ABM69" s="13"/>
      <c r="ABN69" s="13"/>
      <c r="ABO69" s="13"/>
      <c r="ABP69" s="13"/>
      <c r="ABQ69" s="13"/>
      <c r="ABR69" s="13"/>
      <c r="ABS69" s="13"/>
      <c r="ABT69" s="13"/>
      <c r="ABU69" s="13"/>
      <c r="ABV69" s="13"/>
      <c r="ABW69" s="13"/>
      <c r="ABX69" s="13"/>
      <c r="ABY69" s="13"/>
      <c r="ABZ69" s="13"/>
      <c r="ACA69" s="13"/>
      <c r="ACB69" s="13"/>
      <c r="ACC69" s="13"/>
      <c r="ACD69" s="13"/>
      <c r="ACE69" s="13"/>
      <c r="ACF69" s="13"/>
      <c r="ACG69" s="13"/>
      <c r="ACH69" s="13"/>
      <c r="ACI69" s="13"/>
      <c r="ACJ69" s="13"/>
      <c r="ACK69" s="13"/>
      <c r="ACL69" s="13"/>
      <c r="ACM69" s="13"/>
      <c r="ACN69" s="13"/>
      <c r="ACO69" s="13"/>
      <c r="ACP69" s="13"/>
      <c r="ACQ69" s="13"/>
      <c r="ACR69" s="13"/>
      <c r="ACS69" s="13"/>
      <c r="ACT69" s="13"/>
      <c r="ACU69" s="13"/>
      <c r="ACV69" s="13"/>
      <c r="ACW69" s="13"/>
      <c r="ACX69" s="13"/>
      <c r="ACY69" s="13"/>
      <c r="ACZ69" s="13"/>
      <c r="ADA69" s="13"/>
      <c r="ADB69" s="13"/>
      <c r="ADC69" s="13"/>
      <c r="ADD69" s="13"/>
      <c r="ADE69" s="13"/>
      <c r="ADF69" s="13"/>
      <c r="ADG69" s="13"/>
      <c r="ADH69" s="13"/>
      <c r="ADI69" s="13"/>
      <c r="ADJ69" s="13"/>
      <c r="ADK69" s="13"/>
      <c r="ADL69" s="13"/>
      <c r="ADM69" s="13"/>
      <c r="ADN69" s="13"/>
      <c r="ADO69" s="13"/>
      <c r="ADP69" s="13"/>
      <c r="ADQ69" s="13"/>
      <c r="ADR69" s="13"/>
      <c r="ADS69" s="13"/>
      <c r="ADT69" s="13"/>
      <c r="ADU69" s="13"/>
      <c r="ADV69" s="13"/>
      <c r="ADW69" s="13"/>
      <c r="ADX69" s="13"/>
      <c r="ADY69" s="13"/>
      <c r="ADZ69" s="13"/>
      <c r="AEA69" s="13"/>
      <c r="AEB69" s="13"/>
      <c r="AEC69" s="13"/>
      <c r="AED69" s="13"/>
      <c r="AEE69" s="13"/>
      <c r="AEF69" s="13"/>
      <c r="AEG69" s="13"/>
      <c r="AEH69" s="13"/>
      <c r="AEI69" s="13"/>
      <c r="AEJ69" s="13"/>
      <c r="AEK69" s="13"/>
      <c r="AEL69" s="13"/>
      <c r="AEM69" s="13"/>
      <c r="AEN69" s="13"/>
      <c r="AEO69" s="13"/>
      <c r="AEP69" s="13"/>
      <c r="AEQ69" s="13"/>
      <c r="AER69" s="13"/>
      <c r="AES69" s="13"/>
      <c r="AET69" s="13"/>
      <c r="AEU69" s="13"/>
      <c r="AEV69" s="13"/>
      <c r="AEW69" s="13"/>
      <c r="AEX69" s="13"/>
      <c r="AEY69" s="13"/>
      <c r="AEZ69" s="13"/>
      <c r="AFA69" s="13"/>
      <c r="AFB69" s="13"/>
      <c r="AFC69" s="13"/>
      <c r="AFD69" s="13"/>
      <c r="AFE69" s="13"/>
      <c r="AFF69" s="13"/>
      <c r="AFG69" s="13"/>
      <c r="AFH69" s="13"/>
      <c r="AFI69" s="13"/>
      <c r="AFJ69" s="13"/>
      <c r="AFK69" s="13"/>
      <c r="AFL69" s="13"/>
      <c r="AFM69" s="13"/>
      <c r="AFN69" s="13"/>
      <c r="AFO69" s="13"/>
      <c r="AFP69" s="13"/>
      <c r="AFQ69" s="13"/>
      <c r="AFR69" s="13"/>
      <c r="AFS69" s="13"/>
      <c r="AFT69" s="13"/>
      <c r="AFU69" s="13"/>
      <c r="AFV69" s="13"/>
      <c r="AFW69" s="13"/>
      <c r="AFX69" s="13"/>
      <c r="AFY69" s="13"/>
      <c r="AFZ69" s="13"/>
      <c r="AGA69" s="13"/>
      <c r="AGB69" s="13"/>
      <c r="AGC69" s="13"/>
      <c r="AGD69" s="13"/>
      <c r="AGE69" s="13"/>
      <c r="AGF69" s="13"/>
      <c r="AGG69" s="13"/>
      <c r="AGH69" s="13"/>
      <c r="AGI69" s="13"/>
      <c r="AGJ69" s="13"/>
      <c r="AGK69" s="13"/>
      <c r="AGL69" s="13"/>
      <c r="AGM69" s="13"/>
      <c r="AGN69" s="13"/>
      <c r="AGO69" s="13"/>
      <c r="AGP69" s="13"/>
      <c r="AGQ69" s="13"/>
      <c r="AGR69" s="13"/>
      <c r="AGS69" s="13"/>
      <c r="AGT69" s="13"/>
      <c r="AGU69" s="13"/>
      <c r="AGV69" s="13"/>
      <c r="AGW69" s="13"/>
      <c r="AGX69" s="13"/>
      <c r="AGY69" s="13"/>
      <c r="AGZ69" s="13"/>
      <c r="AHA69" s="13"/>
      <c r="AHB69" s="13"/>
      <c r="AHC69" s="13"/>
      <c r="AHD69" s="13"/>
      <c r="AHE69" s="13"/>
      <c r="AHF69" s="13"/>
      <c r="AHG69" s="13"/>
      <c r="AHH69" s="13"/>
      <c r="AHI69" s="13"/>
      <c r="AHJ69" s="13"/>
      <c r="AHK69" s="13"/>
      <c r="AHL69" s="13"/>
      <c r="AHM69" s="13"/>
      <c r="AHN69" s="13"/>
      <c r="AHO69" s="13"/>
      <c r="AHP69" s="13"/>
      <c r="AHQ69" s="13"/>
      <c r="AHR69" s="13"/>
      <c r="AHS69" s="13"/>
      <c r="AHT69" s="13"/>
      <c r="AHU69" s="13"/>
      <c r="AHV69" s="13"/>
      <c r="AHW69" s="13"/>
      <c r="AHX69" s="13"/>
      <c r="AHY69" s="13"/>
      <c r="AHZ69" s="13"/>
      <c r="AIA69" s="13"/>
      <c r="AIB69" s="13"/>
      <c r="AIC69" s="13"/>
      <c r="AID69" s="13"/>
      <c r="AIE69" s="13"/>
      <c r="AIF69" s="13"/>
      <c r="AIG69" s="13"/>
      <c r="AIH69" s="13"/>
      <c r="AII69" s="13"/>
      <c r="AIJ69" s="13"/>
      <c r="AIK69" s="13"/>
      <c r="AIL69" s="13"/>
      <c r="AIM69" s="13"/>
      <c r="AIN69" s="13"/>
      <c r="AIO69" s="13"/>
      <c r="AIP69" s="13"/>
      <c r="AIQ69" s="13"/>
      <c r="AIR69" s="13"/>
      <c r="AIS69" s="13"/>
      <c r="AIT69" s="13"/>
      <c r="AIU69" s="13"/>
      <c r="AIV69" s="13"/>
      <c r="AIW69" s="13"/>
      <c r="AIX69" s="13"/>
      <c r="AIY69" s="13"/>
      <c r="AIZ69" s="13"/>
      <c r="AJA69" s="13"/>
      <c r="AJB69" s="13"/>
      <c r="AJC69" s="13"/>
      <c r="AJD69" s="13"/>
      <c r="AJE69" s="13"/>
      <c r="AJF69" s="13"/>
      <c r="AJG69" s="13"/>
      <c r="AJH69" s="13"/>
      <c r="AJI69" s="13"/>
      <c r="AJJ69" s="13"/>
      <c r="AJK69" s="13"/>
      <c r="AJL69" s="13"/>
      <c r="AJM69" s="13"/>
      <c r="AJN69" s="13"/>
      <c r="AJO69" s="13"/>
      <c r="AJP69" s="13"/>
      <c r="AJQ69" s="13"/>
      <c r="AJR69" s="13"/>
      <c r="AJS69" s="13"/>
      <c r="AJT69" s="13"/>
      <c r="AJU69" s="13"/>
      <c r="AJV69" s="13"/>
      <c r="AJW69" s="13"/>
      <c r="AJX69" s="13"/>
      <c r="AJY69" s="13"/>
      <c r="AJZ69" s="13"/>
      <c r="AKA69" s="13"/>
      <c r="AKB69" s="13"/>
      <c r="AKC69" s="13"/>
      <c r="AKD69" s="13"/>
      <c r="AKE69" s="13"/>
      <c r="AKF69" s="13"/>
      <c r="AKG69" s="13"/>
      <c r="AKH69" s="13"/>
      <c r="AKI69" s="13"/>
      <c r="AKJ69" s="13"/>
      <c r="AKK69" s="13"/>
      <c r="AKL69" s="13"/>
      <c r="AKM69" s="13"/>
      <c r="AKN69" s="13"/>
      <c r="AKO69" s="13"/>
      <c r="AKP69" s="13"/>
      <c r="AKQ69" s="13"/>
      <c r="AKR69" s="13"/>
      <c r="AKS69" s="13"/>
      <c r="AKT69" s="13"/>
      <c r="AKU69" s="13"/>
      <c r="AKV69" s="13"/>
      <c r="AKW69" s="13"/>
      <c r="AKX69" s="13"/>
      <c r="AKY69" s="13"/>
      <c r="AKZ69" s="13"/>
      <c r="ALA69" s="13"/>
      <c r="ALB69" s="13"/>
      <c r="ALC69" s="13"/>
      <c r="ALD69" s="13"/>
      <c r="ALE69" s="13"/>
      <c r="ALF69" s="13"/>
      <c r="ALG69" s="13"/>
      <c r="ALH69" s="13"/>
      <c r="ALI69" s="13"/>
      <c r="ALJ69" s="13"/>
      <c r="ALK69" s="13"/>
      <c r="ALL69" s="13"/>
      <c r="ALM69" s="13"/>
      <c r="ALN69" s="13"/>
      <c r="ALO69" s="13"/>
      <c r="ALP69" s="13"/>
      <c r="ALQ69" s="13"/>
      <c r="ALR69" s="13"/>
      <c r="ALS69" s="13"/>
      <c r="ALT69" s="13"/>
      <c r="ALU69" s="13"/>
      <c r="ALV69" s="13"/>
      <c r="ALW69" s="13"/>
      <c r="ALX69" s="13"/>
      <c r="ALY69" s="13"/>
      <c r="ALZ69" s="13"/>
      <c r="AMA69" s="13"/>
      <c r="AMB69" s="13"/>
      <c r="AMC69" s="13"/>
      <c r="AMD69" s="13"/>
      <c r="AME69" s="13"/>
      <c r="AMF69" s="13"/>
      <c r="AMG69" s="13"/>
      <c r="AMH69" s="13"/>
      <c r="AMI69" s="13"/>
      <c r="AMJ69" s="13"/>
      <c r="AMK69" s="13"/>
      <c r="AML69" s="13"/>
      <c r="AMM69" s="13"/>
      <c r="AMN69" s="13"/>
      <c r="AMO69" s="13"/>
      <c r="AMP69" s="13"/>
      <c r="AMQ69" s="13"/>
      <c r="AMR69" s="13"/>
      <c r="AMS69" s="13"/>
      <c r="AMT69" s="13"/>
      <c r="AMU69" s="13"/>
      <c r="AMV69" s="13"/>
      <c r="AMW69" s="13"/>
      <c r="AMX69" s="13"/>
      <c r="AMY69" s="13"/>
      <c r="AMZ69" s="13"/>
      <c r="ANA69" s="13"/>
      <c r="ANB69" s="13"/>
      <c r="ANC69" s="13"/>
      <c r="AND69" s="13"/>
      <c r="ANE69" s="13"/>
      <c r="ANF69" s="13"/>
      <c r="ANG69" s="13"/>
      <c r="ANH69" s="13"/>
      <c r="ANI69" s="13"/>
      <c r="ANJ69" s="13"/>
      <c r="ANK69" s="13"/>
      <c r="ANL69" s="13"/>
      <c r="ANM69" s="13"/>
      <c r="ANN69" s="13"/>
      <c r="ANO69" s="13"/>
      <c r="ANP69" s="13"/>
      <c r="ANQ69" s="13"/>
      <c r="ANR69" s="13"/>
      <c r="ANS69" s="13"/>
      <c r="ANT69" s="13"/>
      <c r="ANU69" s="13"/>
      <c r="ANV69" s="13"/>
      <c r="ANW69" s="13"/>
      <c r="ANX69" s="13"/>
      <c r="ANY69" s="13"/>
      <c r="ANZ69" s="13"/>
      <c r="AOA69" s="13"/>
      <c r="AOB69" s="13"/>
      <c r="AOC69" s="13"/>
      <c r="AOD69" s="13"/>
      <c r="AOE69" s="13"/>
      <c r="AOF69" s="13"/>
      <c r="AOG69" s="13"/>
      <c r="AOH69" s="13"/>
      <c r="AOI69" s="13"/>
      <c r="AOJ69" s="13"/>
      <c r="AOK69" s="13"/>
      <c r="AOL69" s="13"/>
      <c r="AOM69" s="13"/>
      <c r="AON69" s="13"/>
      <c r="AOO69" s="13"/>
      <c r="AOP69" s="13"/>
      <c r="AOQ69" s="13"/>
      <c r="AOR69" s="13"/>
      <c r="AOS69" s="13"/>
      <c r="AOT69" s="13"/>
      <c r="AOU69" s="13"/>
      <c r="AOV69" s="13"/>
      <c r="AOW69" s="13"/>
      <c r="AOX69" s="13"/>
      <c r="AOY69" s="13"/>
      <c r="AOZ69" s="13"/>
      <c r="APA69" s="13"/>
      <c r="APB69" s="13"/>
      <c r="APC69" s="13"/>
      <c r="APD69" s="13"/>
      <c r="APE69" s="13"/>
      <c r="APF69" s="13"/>
      <c r="APG69" s="13"/>
      <c r="APH69" s="13"/>
      <c r="API69" s="13"/>
      <c r="APJ69" s="13"/>
      <c r="APK69" s="13"/>
      <c r="APL69" s="13"/>
      <c r="APM69" s="13"/>
      <c r="APN69" s="13"/>
      <c r="APO69" s="13"/>
      <c r="APP69" s="13"/>
      <c r="APQ69" s="13"/>
      <c r="APR69" s="13"/>
      <c r="APS69" s="13"/>
      <c r="APT69" s="13"/>
      <c r="APU69" s="13"/>
      <c r="APV69" s="13"/>
      <c r="APW69" s="13"/>
      <c r="APX69" s="13"/>
      <c r="APY69" s="13"/>
      <c r="APZ69" s="13"/>
      <c r="AQA69" s="13"/>
      <c r="AQB69" s="13"/>
      <c r="AQC69" s="13"/>
      <c r="AQD69" s="13"/>
      <c r="AQE69" s="13"/>
      <c r="AQF69" s="13"/>
      <c r="AQG69" s="13"/>
      <c r="AQH69" s="13"/>
      <c r="AQI69" s="13"/>
      <c r="AQJ69" s="13"/>
      <c r="AQK69" s="13"/>
      <c r="AQL69" s="13"/>
      <c r="AQM69" s="13"/>
      <c r="AQN69" s="13"/>
      <c r="AQO69" s="13"/>
      <c r="AQP69" s="13"/>
      <c r="AQQ69" s="13"/>
      <c r="AQR69" s="13"/>
      <c r="AQS69" s="13"/>
      <c r="AQT69" s="13"/>
      <c r="AQU69" s="13"/>
      <c r="AQV69" s="13"/>
      <c r="AQW69" s="13"/>
      <c r="AQX69" s="13"/>
      <c r="AQY69" s="13"/>
      <c r="AQZ69" s="13"/>
      <c r="ARA69" s="13"/>
      <c r="ARB69" s="13"/>
      <c r="ARC69" s="13"/>
      <c r="ARD69" s="13"/>
      <c r="ARE69" s="13"/>
      <c r="ARF69" s="13"/>
      <c r="ARG69" s="13"/>
      <c r="ARH69" s="13"/>
      <c r="ARI69" s="13"/>
      <c r="ARJ69" s="13"/>
      <c r="ARK69" s="13"/>
      <c r="ARL69" s="13"/>
      <c r="ARM69" s="13"/>
      <c r="ARN69" s="13"/>
      <c r="ARO69" s="13"/>
      <c r="ARP69" s="13"/>
      <c r="ARQ69" s="13"/>
      <c r="ARR69" s="13"/>
      <c r="ARS69" s="13"/>
      <c r="ART69" s="13"/>
      <c r="ARU69" s="13"/>
      <c r="ARV69" s="13"/>
      <c r="ARW69" s="13"/>
      <c r="ARX69" s="13"/>
      <c r="ARY69" s="13"/>
      <c r="ARZ69" s="13"/>
      <c r="ASA69" s="13"/>
      <c r="ASB69" s="13"/>
      <c r="ASC69" s="13"/>
      <c r="ASD69" s="13"/>
      <c r="ASE69" s="13"/>
      <c r="ASF69" s="13"/>
      <c r="ASG69" s="13"/>
      <c r="ASH69" s="13"/>
      <c r="ASI69" s="13"/>
      <c r="ASJ69" s="13"/>
      <c r="ASK69" s="13"/>
      <c r="ASL69" s="13"/>
      <c r="ASM69" s="13"/>
      <c r="ASN69" s="13"/>
      <c r="ASO69" s="13"/>
      <c r="ASP69" s="13"/>
      <c r="ASQ69" s="13"/>
      <c r="ASR69" s="13"/>
      <c r="ASS69" s="13"/>
      <c r="AST69" s="13"/>
      <c r="ASU69" s="13"/>
      <c r="ASV69" s="13"/>
      <c r="ASW69" s="13"/>
      <c r="ASX69" s="13"/>
      <c r="ASY69" s="13"/>
      <c r="ASZ69" s="13"/>
      <c r="ATA69" s="13"/>
      <c r="ATB69" s="13"/>
      <c r="ATC69" s="13"/>
      <c r="ATD69" s="13"/>
      <c r="ATE69" s="13"/>
      <c r="ATF69" s="13"/>
      <c r="ATG69" s="13"/>
      <c r="ATH69" s="13"/>
      <c r="ATI69" s="13"/>
      <c r="ATJ69" s="13"/>
      <c r="ATK69" s="13"/>
      <c r="ATL69" s="13"/>
      <c r="ATM69" s="13"/>
      <c r="ATN69" s="13"/>
      <c r="ATO69" s="13"/>
      <c r="ATP69" s="13"/>
      <c r="ATQ69" s="13"/>
      <c r="ATR69" s="13"/>
      <c r="ATS69" s="13"/>
      <c r="ATT69" s="13"/>
      <c r="ATU69" s="13"/>
      <c r="ATV69" s="13"/>
      <c r="ATW69" s="13"/>
      <c r="ATX69" s="13"/>
      <c r="ATY69" s="13"/>
      <c r="ATZ69" s="13"/>
      <c r="AUA69" s="13"/>
      <c r="AUB69" s="13"/>
      <c r="AUC69" s="13"/>
      <c r="AUD69" s="13"/>
      <c r="AUE69" s="13"/>
      <c r="AUF69" s="13"/>
      <c r="AUG69" s="13"/>
      <c r="AUH69" s="13"/>
      <c r="AUI69" s="13"/>
      <c r="AUJ69" s="13"/>
      <c r="AUK69" s="13"/>
      <c r="AUL69" s="13"/>
      <c r="AUM69" s="13"/>
      <c r="AUN69" s="13"/>
      <c r="AUO69" s="13"/>
      <c r="AUP69" s="13"/>
      <c r="AUQ69" s="13"/>
      <c r="AUR69" s="13"/>
      <c r="AUS69" s="13"/>
      <c r="AUT69" s="13"/>
      <c r="AUU69" s="13"/>
      <c r="AUV69" s="13"/>
      <c r="AUW69" s="13"/>
      <c r="AUX69" s="13"/>
      <c r="AUY69" s="13"/>
      <c r="AUZ69" s="13"/>
      <c r="AVA69" s="13"/>
      <c r="AVB69" s="13"/>
      <c r="AVC69" s="13"/>
      <c r="AVD69" s="13"/>
      <c r="AVE69" s="13"/>
      <c r="AVF69" s="13"/>
      <c r="AVG69" s="13"/>
      <c r="AVH69" s="13"/>
      <c r="AVI69" s="13"/>
      <c r="AVJ69" s="13"/>
      <c r="AVK69" s="13"/>
      <c r="AVL69" s="13"/>
      <c r="AVM69" s="13"/>
      <c r="AVN69" s="13"/>
      <c r="AVO69" s="13"/>
      <c r="AVP69" s="13"/>
      <c r="AVQ69" s="13"/>
      <c r="AVR69" s="13"/>
      <c r="AVS69" s="13"/>
      <c r="AVT69" s="13"/>
      <c r="AVU69" s="13"/>
      <c r="AVV69" s="13"/>
      <c r="AVW69" s="13"/>
      <c r="AVX69" s="13"/>
      <c r="AVY69" s="13"/>
      <c r="AVZ69" s="13"/>
      <c r="AWA69" s="13"/>
      <c r="AWB69" s="13"/>
      <c r="AWC69" s="13"/>
      <c r="AWD69" s="13"/>
      <c r="AWE69" s="13"/>
      <c r="AWF69" s="13"/>
      <c r="AWG69" s="13"/>
      <c r="AWH69" s="13"/>
      <c r="AWI69" s="13"/>
      <c r="AWJ69" s="13"/>
      <c r="AWK69" s="13"/>
      <c r="AWL69" s="13"/>
      <c r="AWM69" s="13"/>
      <c r="AWN69" s="13"/>
      <c r="AWO69" s="13"/>
      <c r="AWP69" s="13"/>
      <c r="AWQ69" s="13"/>
      <c r="AWR69" s="13"/>
      <c r="AWS69" s="13"/>
      <c r="AWT69" s="13"/>
      <c r="AWU69" s="13"/>
      <c r="AWV69" s="13"/>
      <c r="AWW69" s="13"/>
      <c r="AWX69" s="13"/>
      <c r="AWY69" s="13"/>
      <c r="AWZ69" s="13"/>
      <c r="AXA69" s="13"/>
      <c r="AXB69" s="13"/>
      <c r="AXC69" s="13"/>
      <c r="AXD69" s="13"/>
      <c r="AXE69" s="13"/>
      <c r="AXF69" s="13"/>
      <c r="AXG69" s="13"/>
      <c r="AXH69" s="13"/>
      <c r="AXI69" s="13"/>
      <c r="AXJ69" s="13"/>
      <c r="AXK69" s="13"/>
      <c r="AXL69" s="13"/>
      <c r="AXM69" s="13"/>
      <c r="AXN69" s="13"/>
      <c r="AXO69" s="13"/>
      <c r="AXP69" s="13"/>
      <c r="AXQ69" s="13"/>
      <c r="AXR69" s="13"/>
      <c r="AXS69" s="13"/>
      <c r="AXT69" s="13"/>
      <c r="AXU69" s="13"/>
      <c r="AXV69" s="13"/>
      <c r="AXW69" s="13"/>
      <c r="AXX69" s="13"/>
      <c r="AXY69" s="13"/>
      <c r="AXZ69" s="13"/>
      <c r="AYA69" s="13"/>
      <c r="AYB69" s="13"/>
      <c r="AYC69" s="13"/>
      <c r="AYD69" s="13"/>
      <c r="AYE69" s="13"/>
      <c r="AYF69" s="13"/>
      <c r="AYG69" s="13"/>
      <c r="AYH69" s="13"/>
      <c r="AYI69" s="13"/>
      <c r="AYJ69" s="13"/>
      <c r="AYK69" s="13"/>
      <c r="AYL69" s="13"/>
      <c r="AYM69" s="13"/>
      <c r="AYN69" s="13"/>
      <c r="AYO69" s="13"/>
      <c r="AYP69" s="13"/>
      <c r="AYQ69" s="13"/>
      <c r="AYR69" s="13"/>
      <c r="AYS69" s="13"/>
      <c r="AYT69" s="13"/>
      <c r="AYU69" s="13"/>
      <c r="AYV69" s="13"/>
      <c r="AYW69" s="13"/>
      <c r="AYX69" s="13"/>
      <c r="AYY69" s="13"/>
      <c r="AYZ69" s="13"/>
      <c r="AZA69" s="13"/>
      <c r="AZB69" s="13"/>
      <c r="AZC69" s="13"/>
      <c r="AZD69" s="13"/>
      <c r="AZE69" s="13"/>
      <c r="AZF69" s="13"/>
      <c r="AZG69" s="13"/>
      <c r="AZH69" s="13"/>
      <c r="AZI69" s="13"/>
      <c r="AZJ69" s="13"/>
      <c r="AZK69" s="13"/>
      <c r="AZL69" s="13"/>
      <c r="AZM69" s="13"/>
      <c r="AZN69" s="13"/>
      <c r="AZO69" s="13"/>
      <c r="AZP69" s="13"/>
      <c r="AZQ69" s="13"/>
      <c r="AZR69" s="13"/>
      <c r="AZS69" s="13"/>
      <c r="AZT69" s="13"/>
      <c r="AZU69" s="13"/>
      <c r="AZV69" s="13"/>
      <c r="AZW69" s="13"/>
      <c r="AZX69" s="13"/>
      <c r="AZY69" s="13"/>
      <c r="AZZ69" s="13"/>
      <c r="BAA69" s="13"/>
      <c r="BAB69" s="13"/>
      <c r="BAC69" s="13"/>
      <c r="BAD69" s="13"/>
      <c r="BAE69" s="13"/>
      <c r="BAF69" s="13"/>
      <c r="BAG69" s="13"/>
      <c r="BAH69" s="13"/>
      <c r="BAI69" s="13"/>
      <c r="BAJ69" s="13"/>
      <c r="BAK69" s="13"/>
      <c r="BAL69" s="13"/>
      <c r="BAM69" s="13"/>
      <c r="BAN69" s="13"/>
      <c r="BAO69" s="13"/>
      <c r="BAP69" s="13"/>
      <c r="BAQ69" s="13"/>
      <c r="BAR69" s="13"/>
      <c r="BAS69" s="13"/>
      <c r="BAT69" s="13"/>
      <c r="BAU69" s="13"/>
      <c r="BAV69" s="13"/>
      <c r="BAW69" s="13"/>
      <c r="BAX69" s="13"/>
      <c r="BAY69" s="13"/>
      <c r="BAZ69" s="13"/>
      <c r="BBA69" s="13"/>
      <c r="BBB69" s="13"/>
      <c r="BBC69" s="13"/>
      <c r="BBD69" s="13"/>
      <c r="BBE69" s="13"/>
      <c r="BBF69" s="13"/>
      <c r="BBG69" s="13"/>
      <c r="BBH69" s="13"/>
      <c r="BBI69" s="13"/>
      <c r="BBJ69" s="13"/>
      <c r="BBK69" s="13"/>
      <c r="BBL69" s="13"/>
      <c r="BBM69" s="13"/>
      <c r="BBN69" s="13"/>
      <c r="BBO69" s="13"/>
      <c r="BBP69" s="13"/>
      <c r="BBQ69" s="13"/>
      <c r="BBR69" s="13"/>
      <c r="BBS69" s="13"/>
      <c r="BBT69" s="13"/>
      <c r="BBU69" s="13"/>
      <c r="BBV69" s="13"/>
      <c r="BBW69" s="13"/>
      <c r="BBX69" s="13"/>
      <c r="BBY69" s="13"/>
      <c r="BBZ69" s="13"/>
      <c r="BCA69" s="13"/>
      <c r="BCB69" s="13"/>
      <c r="BCC69" s="13"/>
      <c r="BCD69" s="13"/>
      <c r="BCE69" s="13"/>
      <c r="BCF69" s="13"/>
      <c r="BCG69" s="13"/>
      <c r="BCH69" s="13"/>
      <c r="BCI69" s="13"/>
      <c r="BCJ69" s="13"/>
      <c r="BCK69" s="13"/>
      <c r="BCL69" s="13"/>
      <c r="BCM69" s="13"/>
      <c r="BCN69" s="13"/>
      <c r="BCO69" s="13"/>
      <c r="BCP69" s="13"/>
      <c r="BCQ69" s="13"/>
      <c r="BCR69" s="13"/>
      <c r="BCS69" s="13"/>
      <c r="BCT69" s="13"/>
      <c r="BCU69" s="13"/>
      <c r="BCV69" s="13"/>
      <c r="BCW69" s="13"/>
      <c r="BCX69" s="13"/>
      <c r="BCY69" s="13"/>
      <c r="BCZ69" s="13"/>
      <c r="BDA69" s="13"/>
      <c r="BDB69" s="13"/>
      <c r="BDC69" s="13"/>
      <c r="BDD69" s="13"/>
      <c r="BDE69" s="13"/>
      <c r="BDF69" s="13"/>
      <c r="BDG69" s="13"/>
      <c r="BDH69" s="13"/>
      <c r="BDI69" s="13"/>
      <c r="BDJ69" s="13"/>
      <c r="BDK69" s="13"/>
      <c r="BDL69" s="13"/>
      <c r="BDM69" s="13"/>
      <c r="BDN69" s="13"/>
      <c r="BDO69" s="13"/>
      <c r="BDP69" s="13"/>
      <c r="BDQ69" s="13"/>
      <c r="BDR69" s="13"/>
      <c r="BDS69" s="13"/>
      <c r="BDT69" s="13"/>
      <c r="BDU69" s="13"/>
      <c r="BDV69" s="13"/>
      <c r="BDW69" s="13"/>
      <c r="BDX69" s="13"/>
      <c r="BDY69" s="13"/>
      <c r="BDZ69" s="13"/>
      <c r="BEA69" s="13"/>
      <c r="BEB69" s="13"/>
      <c r="BEC69" s="13"/>
      <c r="BED69" s="13"/>
      <c r="BEE69" s="13"/>
      <c r="BEF69" s="13"/>
      <c r="BEG69" s="13"/>
      <c r="BEH69" s="13"/>
      <c r="BEI69" s="13"/>
      <c r="BEJ69" s="13"/>
      <c r="BEK69" s="13"/>
      <c r="BEL69" s="13"/>
      <c r="BEM69" s="13"/>
      <c r="BEN69" s="13"/>
      <c r="BEO69" s="13"/>
      <c r="BEP69" s="13"/>
      <c r="BEQ69" s="13"/>
      <c r="BER69" s="13"/>
      <c r="BES69" s="13"/>
      <c r="BET69" s="13"/>
      <c r="BEU69" s="13"/>
      <c r="BEV69" s="13"/>
      <c r="BEW69" s="13"/>
      <c r="BEX69" s="13"/>
      <c r="BEY69" s="13"/>
      <c r="BEZ69" s="13"/>
      <c r="BFA69" s="13"/>
      <c r="BFB69" s="13"/>
      <c r="BFC69" s="13"/>
      <c r="BFD69" s="13"/>
      <c r="BFE69" s="13"/>
      <c r="BFF69" s="13"/>
      <c r="BFG69" s="13"/>
      <c r="BFH69" s="13"/>
      <c r="BFI69" s="13"/>
      <c r="BFJ69" s="13"/>
      <c r="BFK69" s="13"/>
      <c r="BFL69" s="13"/>
      <c r="BFM69" s="13"/>
      <c r="BFN69" s="13"/>
      <c r="BFO69" s="13"/>
      <c r="BFP69" s="13"/>
      <c r="BFQ69" s="13"/>
      <c r="BFR69" s="13"/>
      <c r="BFS69" s="13"/>
      <c r="BFT69" s="13"/>
      <c r="BFU69" s="13"/>
      <c r="BFV69" s="13"/>
      <c r="BFW69" s="13"/>
      <c r="BFX69" s="13"/>
      <c r="BFY69" s="13"/>
      <c r="BFZ69" s="13"/>
      <c r="BGA69" s="13"/>
      <c r="BGB69" s="13"/>
      <c r="BGC69" s="13"/>
      <c r="BGD69" s="13"/>
      <c r="BGE69" s="13"/>
      <c r="BGF69" s="13"/>
      <c r="BGG69" s="13"/>
      <c r="BGH69" s="13"/>
      <c r="BGI69" s="13"/>
      <c r="BGJ69" s="13"/>
      <c r="BGK69" s="13"/>
      <c r="BGL69" s="13"/>
      <c r="BGM69" s="13"/>
      <c r="BGN69" s="13"/>
      <c r="BGO69" s="13"/>
      <c r="BGP69" s="13"/>
      <c r="BGQ69" s="13"/>
      <c r="BGR69" s="13"/>
      <c r="BGS69" s="13"/>
      <c r="BGT69" s="13"/>
      <c r="BGU69" s="13"/>
      <c r="BGV69" s="13"/>
      <c r="BGW69" s="13"/>
      <c r="BGX69" s="13"/>
      <c r="BGY69" s="13"/>
      <c r="BGZ69" s="13"/>
      <c r="BHA69" s="13"/>
      <c r="BHB69" s="13"/>
      <c r="BHC69" s="13"/>
      <c r="BHD69" s="13"/>
      <c r="BHE69" s="13"/>
      <c r="BHF69" s="13"/>
      <c r="BHG69" s="13"/>
      <c r="BHH69" s="13"/>
      <c r="BHI69" s="13"/>
      <c r="BHJ69" s="13"/>
      <c r="BHK69" s="13"/>
      <c r="BHL69" s="13"/>
      <c r="BHM69" s="13"/>
      <c r="BHN69" s="13"/>
      <c r="BHO69" s="13"/>
      <c r="BHP69" s="13"/>
      <c r="BHQ69" s="13"/>
      <c r="BHR69" s="13"/>
      <c r="BHS69" s="13"/>
      <c r="BHT69" s="13"/>
      <c r="BHU69" s="13"/>
      <c r="BHV69" s="13"/>
      <c r="BHW69" s="13"/>
      <c r="BHX69" s="13"/>
      <c r="BHY69" s="13"/>
      <c r="BHZ69" s="13"/>
      <c r="BIA69" s="13"/>
      <c r="BIB69" s="13"/>
      <c r="BIC69" s="13"/>
      <c r="BID69" s="13"/>
      <c r="BIE69" s="13"/>
      <c r="BIF69" s="13"/>
      <c r="BIG69" s="13"/>
      <c r="BIH69" s="13"/>
      <c r="BII69" s="13"/>
      <c r="BIJ69" s="13"/>
      <c r="BIK69" s="13"/>
      <c r="BIL69" s="13"/>
      <c r="BIM69" s="13"/>
      <c r="BIN69" s="13"/>
      <c r="BIO69" s="13"/>
      <c r="BIP69" s="13"/>
      <c r="BIQ69" s="13"/>
      <c r="BIR69" s="13"/>
      <c r="BIS69" s="13"/>
      <c r="BIT69" s="13"/>
      <c r="BIU69" s="13"/>
      <c r="BIV69" s="13"/>
      <c r="BIW69" s="13"/>
      <c r="BIX69" s="13"/>
      <c r="BIY69" s="13"/>
      <c r="BIZ69" s="13"/>
      <c r="BJA69" s="13"/>
      <c r="BJB69" s="13"/>
      <c r="BJC69" s="13"/>
      <c r="BJD69" s="13"/>
      <c r="BJE69" s="13"/>
      <c r="BJF69" s="13"/>
      <c r="BJG69" s="13"/>
      <c r="BJH69" s="13"/>
      <c r="BJI69" s="13"/>
      <c r="BJJ69" s="13"/>
      <c r="BJK69" s="13"/>
      <c r="BJL69" s="13"/>
      <c r="BJM69" s="13"/>
      <c r="BJN69" s="13"/>
      <c r="BJO69" s="13"/>
      <c r="BJP69" s="13"/>
      <c r="BJQ69" s="13"/>
      <c r="BJR69" s="13"/>
      <c r="BJS69" s="13"/>
      <c r="BJT69" s="13"/>
      <c r="BJU69" s="13"/>
      <c r="BJV69" s="13"/>
      <c r="BJW69" s="13"/>
      <c r="BJX69" s="13"/>
      <c r="BJY69" s="13"/>
      <c r="BJZ69" s="13"/>
      <c r="BKA69" s="13"/>
      <c r="BKB69" s="13"/>
      <c r="BKC69" s="13"/>
      <c r="BKD69" s="13"/>
      <c r="BKE69" s="13"/>
      <c r="BKF69" s="13"/>
      <c r="BKG69" s="13"/>
      <c r="BKH69" s="13"/>
      <c r="BKI69" s="13"/>
      <c r="BKJ69" s="13"/>
      <c r="BKK69" s="13"/>
      <c r="BKL69" s="13"/>
      <c r="BKM69" s="13"/>
      <c r="BKN69" s="13"/>
      <c r="BKO69" s="13"/>
      <c r="BKP69" s="13"/>
      <c r="BKQ69" s="13"/>
      <c r="BKR69" s="13"/>
      <c r="BKS69" s="13"/>
      <c r="BKT69" s="13"/>
      <c r="BKU69" s="13"/>
      <c r="BKV69" s="13"/>
      <c r="BKW69" s="13"/>
      <c r="BKX69" s="13"/>
      <c r="BKY69" s="13"/>
      <c r="BKZ69" s="13"/>
      <c r="BLA69" s="13"/>
      <c r="BLB69" s="13"/>
      <c r="BLC69" s="13"/>
      <c r="BLD69" s="13"/>
      <c r="BLE69" s="13"/>
      <c r="BLF69" s="13"/>
      <c r="BLG69" s="13"/>
      <c r="BLH69" s="13"/>
      <c r="BLI69" s="13"/>
      <c r="BLJ69" s="13"/>
      <c r="BLK69" s="13"/>
      <c r="BLL69" s="13"/>
      <c r="BLM69" s="13"/>
      <c r="BLN69" s="13"/>
      <c r="BLO69" s="13"/>
      <c r="BLP69" s="13"/>
      <c r="BLQ69" s="13"/>
      <c r="BLR69" s="13"/>
      <c r="BLS69" s="13"/>
      <c r="BLT69" s="13"/>
      <c r="BLU69" s="13"/>
      <c r="BLV69" s="13"/>
      <c r="BLW69" s="13"/>
      <c r="BLX69" s="13"/>
      <c r="BLY69" s="13"/>
      <c r="BLZ69" s="13"/>
      <c r="BMA69" s="13"/>
      <c r="BMB69" s="13"/>
      <c r="BMC69" s="13"/>
      <c r="BMD69" s="13"/>
      <c r="BME69" s="13"/>
      <c r="BMF69" s="13"/>
      <c r="BMG69" s="13"/>
      <c r="BMH69" s="13"/>
      <c r="BMI69" s="13"/>
      <c r="BMJ69" s="13"/>
      <c r="BMK69" s="13"/>
      <c r="BML69" s="13"/>
      <c r="BMM69" s="13"/>
      <c r="BMN69" s="13"/>
      <c r="BMO69" s="13"/>
      <c r="BMP69" s="13"/>
      <c r="BMQ69" s="13"/>
      <c r="BMR69" s="13"/>
      <c r="BMS69" s="13"/>
      <c r="BMT69" s="13"/>
      <c r="BMU69" s="13"/>
      <c r="BMV69" s="13"/>
      <c r="BMW69" s="13"/>
      <c r="BMX69" s="13"/>
      <c r="BMY69" s="13"/>
      <c r="BMZ69" s="13"/>
      <c r="BNA69" s="13"/>
      <c r="BNB69" s="13"/>
      <c r="BNC69" s="13"/>
      <c r="BND69" s="13"/>
      <c r="BNE69" s="13"/>
      <c r="BNF69" s="13"/>
      <c r="BNG69" s="13"/>
      <c r="BNH69" s="13"/>
      <c r="BNI69" s="13"/>
      <c r="BNJ69" s="13"/>
      <c r="BNK69" s="13"/>
      <c r="BNL69" s="13"/>
      <c r="BNM69" s="13"/>
      <c r="BNN69" s="13"/>
      <c r="BNO69" s="13"/>
      <c r="BNP69" s="13"/>
      <c r="BNQ69" s="13"/>
      <c r="BNR69" s="13"/>
      <c r="BNS69" s="13"/>
      <c r="BNT69" s="13"/>
      <c r="BNU69" s="13"/>
      <c r="BNV69" s="13"/>
      <c r="BNW69" s="13"/>
      <c r="BNX69" s="13"/>
      <c r="BNY69" s="13"/>
      <c r="BNZ69" s="13"/>
      <c r="BOA69" s="13"/>
      <c r="BOB69" s="13"/>
      <c r="BOC69" s="13"/>
      <c r="BOD69" s="13"/>
      <c r="BOE69" s="13"/>
      <c r="BOF69" s="13"/>
      <c r="BOG69" s="13"/>
      <c r="BOH69" s="13"/>
      <c r="BOI69" s="13"/>
      <c r="BOJ69" s="13"/>
      <c r="BOK69" s="13"/>
      <c r="BOL69" s="13"/>
      <c r="BOM69" s="13"/>
      <c r="BON69" s="13"/>
      <c r="BOO69" s="13"/>
      <c r="BOP69" s="13"/>
      <c r="BOQ69" s="13"/>
      <c r="BOR69" s="13"/>
      <c r="BOS69" s="13"/>
      <c r="BOT69" s="13"/>
      <c r="BOU69" s="13"/>
      <c r="BOV69" s="13"/>
      <c r="BOW69" s="13"/>
      <c r="BOX69" s="13"/>
      <c r="BOY69" s="13"/>
      <c r="BOZ69" s="13"/>
      <c r="BPA69" s="13"/>
      <c r="BPB69" s="13"/>
      <c r="BPC69" s="13"/>
      <c r="BPD69" s="13"/>
      <c r="BPE69" s="13"/>
      <c r="BPF69" s="13"/>
      <c r="BPG69" s="13"/>
      <c r="BPH69" s="13"/>
      <c r="BPI69" s="13"/>
      <c r="BPJ69" s="13"/>
      <c r="BPK69" s="13"/>
      <c r="BPL69" s="13"/>
      <c r="BPM69" s="13"/>
      <c r="BPN69" s="13"/>
      <c r="BPO69" s="13"/>
      <c r="BPP69" s="13"/>
      <c r="BPQ69" s="13"/>
      <c r="BPR69" s="13"/>
      <c r="BPS69" s="13"/>
      <c r="BPT69" s="13"/>
      <c r="BPU69" s="13"/>
      <c r="BPV69" s="13"/>
      <c r="BPW69" s="13"/>
      <c r="BPX69" s="13"/>
      <c r="BPY69" s="13"/>
      <c r="BPZ69" s="13"/>
      <c r="BQA69" s="13"/>
      <c r="BQB69" s="13"/>
      <c r="BQC69" s="13"/>
      <c r="BQD69" s="13"/>
      <c r="BQE69" s="13"/>
      <c r="BQF69" s="13"/>
      <c r="BQG69" s="13"/>
      <c r="BQH69" s="13"/>
      <c r="BQI69" s="13"/>
      <c r="BQJ69" s="13"/>
      <c r="BQK69" s="13"/>
      <c r="BQL69" s="13"/>
      <c r="BQM69" s="13"/>
      <c r="BQN69" s="13"/>
      <c r="BQO69" s="13"/>
      <c r="BQP69" s="13"/>
      <c r="BQQ69" s="13"/>
      <c r="BQR69" s="13"/>
      <c r="BQS69" s="13"/>
      <c r="BQT69" s="13"/>
      <c r="BQU69" s="13"/>
      <c r="BQV69" s="13"/>
      <c r="BQW69" s="13"/>
      <c r="BQX69" s="13"/>
      <c r="BQY69" s="13"/>
      <c r="BQZ69" s="13"/>
      <c r="BRA69" s="13"/>
      <c r="BRB69" s="13"/>
      <c r="BRC69" s="13"/>
      <c r="BRD69" s="13"/>
      <c r="BRE69" s="13"/>
      <c r="BRF69" s="13"/>
      <c r="BRG69" s="13"/>
      <c r="BRH69" s="13"/>
      <c r="BRI69" s="13"/>
      <c r="BRJ69" s="13"/>
      <c r="BRK69" s="13"/>
      <c r="BRL69" s="13"/>
      <c r="BRM69" s="13"/>
      <c r="BRN69" s="13"/>
      <c r="BRO69" s="13"/>
      <c r="BRP69" s="13"/>
      <c r="BRQ69" s="13"/>
      <c r="BRR69" s="13"/>
      <c r="BRS69" s="13"/>
      <c r="BRT69" s="13"/>
      <c r="BRU69" s="13"/>
      <c r="BRV69" s="13"/>
      <c r="BRW69" s="13"/>
      <c r="BRX69" s="13"/>
      <c r="BRY69" s="13"/>
      <c r="BRZ69" s="13"/>
      <c r="BSA69" s="13"/>
      <c r="BSB69" s="13"/>
      <c r="BSC69" s="13"/>
      <c r="BSD69" s="13"/>
      <c r="BSE69" s="13"/>
      <c r="BSF69" s="13"/>
      <c r="BSG69" s="13"/>
      <c r="BSH69" s="13"/>
      <c r="BSI69" s="13"/>
      <c r="BSJ69" s="13"/>
      <c r="BSK69" s="13"/>
      <c r="BSL69" s="13"/>
      <c r="BSM69" s="13"/>
      <c r="BSN69" s="13"/>
      <c r="BSO69" s="13"/>
      <c r="BSP69" s="13"/>
      <c r="BSQ69" s="13"/>
      <c r="BSR69" s="13"/>
      <c r="BSS69" s="13"/>
      <c r="BST69" s="13"/>
      <c r="BSU69" s="13"/>
      <c r="BSV69" s="13"/>
      <c r="BSW69" s="13"/>
      <c r="BSX69" s="13"/>
      <c r="BSY69" s="13"/>
      <c r="BSZ69" s="13"/>
      <c r="BTA69" s="13"/>
      <c r="BTB69" s="13"/>
      <c r="BTC69" s="13"/>
      <c r="BTD69" s="13"/>
      <c r="BTE69" s="13"/>
      <c r="BTF69" s="13"/>
      <c r="BTG69" s="13"/>
      <c r="BTH69" s="13"/>
      <c r="BTI69" s="13"/>
      <c r="BTJ69" s="13"/>
      <c r="BTK69" s="13"/>
      <c r="BTL69" s="13"/>
      <c r="BTM69" s="13"/>
      <c r="BTN69" s="13"/>
      <c r="BTO69" s="13"/>
      <c r="BTP69" s="13"/>
      <c r="BTQ69" s="13"/>
      <c r="BTR69" s="13"/>
      <c r="BTS69" s="13"/>
      <c r="BTT69" s="13"/>
      <c r="BTU69" s="13"/>
      <c r="BTV69" s="13"/>
      <c r="BTW69" s="13"/>
      <c r="BTX69" s="13"/>
      <c r="BTY69" s="13"/>
      <c r="BTZ69" s="13"/>
      <c r="BUA69" s="13"/>
      <c r="BUB69" s="13"/>
      <c r="BUC69" s="13"/>
      <c r="BUD69" s="13"/>
      <c r="BUE69" s="13"/>
      <c r="BUF69" s="13"/>
      <c r="BUG69" s="13"/>
      <c r="BUH69" s="13"/>
      <c r="BUI69" s="13"/>
      <c r="BUJ69" s="13"/>
      <c r="BUK69" s="13"/>
      <c r="BUL69" s="13"/>
      <c r="BUM69" s="13"/>
      <c r="BUN69" s="13"/>
      <c r="BUO69" s="13"/>
      <c r="BUP69" s="13"/>
      <c r="BUQ69" s="13"/>
      <c r="BUR69" s="13"/>
      <c r="BUS69" s="13"/>
      <c r="BUT69" s="13"/>
      <c r="BUU69" s="13"/>
      <c r="BUV69" s="13"/>
      <c r="BUW69" s="13"/>
      <c r="BUX69" s="13"/>
      <c r="BUY69" s="13"/>
      <c r="BUZ69" s="13"/>
      <c r="BVA69" s="13"/>
      <c r="BVB69" s="13"/>
      <c r="BVC69" s="13"/>
      <c r="BVD69" s="13"/>
      <c r="BVE69" s="13"/>
      <c r="BVF69" s="13"/>
      <c r="BVG69" s="13"/>
      <c r="BVH69" s="13"/>
      <c r="BVI69" s="13"/>
      <c r="BVJ69" s="13"/>
      <c r="BVK69" s="13"/>
      <c r="BVL69" s="13"/>
      <c r="BVM69" s="13"/>
      <c r="BVN69" s="13"/>
      <c r="BVO69" s="13"/>
      <c r="BVP69" s="13"/>
      <c r="BVQ69" s="13"/>
      <c r="BVR69" s="13"/>
      <c r="BVS69" s="13"/>
      <c r="BVT69" s="13"/>
      <c r="BVU69" s="13"/>
      <c r="BVV69" s="13"/>
      <c r="BVW69" s="13"/>
      <c r="BVX69" s="13"/>
      <c r="BVY69" s="13"/>
      <c r="BVZ69" s="13"/>
      <c r="BWA69" s="13"/>
      <c r="BWB69" s="13"/>
      <c r="BWC69" s="13"/>
      <c r="BWD69" s="13"/>
      <c r="BWE69" s="13"/>
      <c r="BWF69" s="13"/>
      <c r="BWG69" s="13"/>
      <c r="BWH69" s="13"/>
      <c r="BWI69" s="13"/>
      <c r="BWJ69" s="13"/>
      <c r="BWK69" s="13"/>
      <c r="BWL69" s="13"/>
      <c r="BWM69" s="13"/>
      <c r="BWN69" s="13"/>
      <c r="BWO69" s="13"/>
      <c r="BWP69" s="13"/>
      <c r="BWQ69" s="13"/>
      <c r="BWR69" s="13"/>
      <c r="BWS69" s="13"/>
      <c r="BWT69" s="13"/>
      <c r="BWU69" s="13"/>
      <c r="BWV69" s="13"/>
      <c r="BWW69" s="13"/>
      <c r="BWX69" s="13"/>
      <c r="BWY69" s="13"/>
      <c r="BWZ69" s="13"/>
      <c r="BXA69" s="13"/>
      <c r="BXB69" s="13"/>
      <c r="BXC69" s="13"/>
      <c r="BXD69" s="13"/>
      <c r="BXE69" s="13"/>
      <c r="BXF69" s="13"/>
      <c r="BXG69" s="13"/>
      <c r="BXH69" s="13"/>
      <c r="BXI69" s="13"/>
      <c r="BXJ69" s="13"/>
      <c r="BXK69" s="13"/>
      <c r="BXL69" s="13"/>
      <c r="BXM69" s="13"/>
      <c r="BXN69" s="13"/>
      <c r="BXO69" s="13"/>
      <c r="BXP69" s="13"/>
      <c r="BXQ69" s="13"/>
      <c r="BXR69" s="13"/>
      <c r="BXS69" s="13"/>
      <c r="BXT69" s="13"/>
      <c r="BXU69" s="13"/>
      <c r="BXV69" s="13"/>
      <c r="BXW69" s="13"/>
      <c r="BXX69" s="13"/>
      <c r="BXY69" s="13"/>
      <c r="BXZ69" s="13"/>
      <c r="BYA69" s="13"/>
      <c r="BYB69" s="13"/>
      <c r="BYC69" s="13"/>
      <c r="BYD69" s="13"/>
      <c r="BYE69" s="13"/>
      <c r="BYF69" s="13"/>
      <c r="BYG69" s="13"/>
      <c r="BYH69" s="13"/>
      <c r="BYI69" s="13"/>
      <c r="BYJ69" s="13"/>
      <c r="BYK69" s="13"/>
      <c r="BYL69" s="13"/>
      <c r="BYM69" s="13"/>
      <c r="BYN69" s="13"/>
      <c r="BYO69" s="13"/>
      <c r="BYP69" s="13"/>
      <c r="BYQ69" s="13"/>
      <c r="BYR69" s="13"/>
      <c r="BYS69" s="13"/>
      <c r="BYT69" s="13"/>
      <c r="BYU69" s="13"/>
      <c r="BYV69" s="13"/>
      <c r="BYW69" s="13"/>
      <c r="BYX69" s="13"/>
      <c r="BYY69" s="13"/>
      <c r="BYZ69" s="13"/>
      <c r="BZA69" s="13"/>
      <c r="BZB69" s="13"/>
      <c r="BZC69" s="13"/>
      <c r="BZD69" s="13"/>
      <c r="BZE69" s="13"/>
      <c r="BZF69" s="13"/>
      <c r="BZG69" s="13"/>
      <c r="BZH69" s="13"/>
      <c r="BZI69" s="13"/>
      <c r="BZJ69" s="13"/>
      <c r="BZK69" s="13"/>
      <c r="BZL69" s="13"/>
      <c r="BZM69" s="13"/>
      <c r="BZN69" s="13"/>
      <c r="BZO69" s="13"/>
      <c r="BZP69" s="13"/>
      <c r="BZQ69" s="13"/>
      <c r="BZR69" s="13"/>
      <c r="BZS69" s="13"/>
      <c r="BZT69" s="13"/>
      <c r="BZU69" s="13"/>
      <c r="BZV69" s="13"/>
      <c r="BZW69" s="13"/>
      <c r="BZX69" s="13"/>
      <c r="BZY69" s="13"/>
      <c r="BZZ69" s="13"/>
      <c r="CAA69" s="13"/>
      <c r="CAB69" s="13"/>
      <c r="CAC69" s="13"/>
      <c r="CAD69" s="13"/>
      <c r="CAE69" s="13"/>
      <c r="CAF69" s="13"/>
      <c r="CAG69" s="13"/>
      <c r="CAH69" s="13"/>
      <c r="CAI69" s="13"/>
      <c r="CAJ69" s="13"/>
      <c r="CAK69" s="13"/>
      <c r="CAL69" s="13"/>
      <c r="CAM69" s="13"/>
      <c r="CAN69" s="13"/>
      <c r="CAO69" s="13"/>
      <c r="CAP69" s="13"/>
      <c r="CAQ69" s="13"/>
      <c r="CAR69" s="13"/>
      <c r="CAS69" s="13"/>
      <c r="CAT69" s="13"/>
      <c r="CAU69" s="13"/>
      <c r="CAV69" s="13"/>
      <c r="CAW69" s="13"/>
      <c r="CAX69" s="13"/>
      <c r="CAY69" s="13"/>
      <c r="CAZ69" s="13"/>
      <c r="CBA69" s="13"/>
      <c r="CBB69" s="13"/>
      <c r="CBC69" s="13"/>
      <c r="CBD69" s="13"/>
      <c r="CBE69" s="13"/>
      <c r="CBF69" s="13"/>
      <c r="CBG69" s="13"/>
      <c r="CBH69" s="13"/>
      <c r="CBI69" s="13"/>
      <c r="CBJ69" s="13"/>
      <c r="CBK69" s="13"/>
      <c r="CBL69" s="13"/>
      <c r="CBM69" s="13"/>
      <c r="CBN69" s="13"/>
      <c r="CBO69" s="13"/>
      <c r="CBP69" s="13"/>
      <c r="CBQ69" s="13"/>
      <c r="CBR69" s="13"/>
      <c r="CBS69" s="13"/>
      <c r="CBT69" s="13"/>
      <c r="CBU69" s="13"/>
      <c r="CBV69" s="13"/>
      <c r="CBW69" s="13"/>
      <c r="CBX69" s="13"/>
      <c r="CBY69" s="13"/>
      <c r="CBZ69" s="13"/>
      <c r="CCA69" s="13"/>
      <c r="CCB69" s="13"/>
      <c r="CCC69" s="13"/>
      <c r="CCD69" s="13"/>
      <c r="CCE69" s="13"/>
      <c r="CCF69" s="13"/>
      <c r="CCG69" s="13"/>
      <c r="CCH69" s="13"/>
      <c r="CCI69" s="13"/>
      <c r="CCJ69" s="13"/>
      <c r="CCK69" s="13"/>
      <c r="CCL69" s="13"/>
      <c r="CCM69" s="13"/>
      <c r="CCN69" s="13"/>
      <c r="CCO69" s="13"/>
      <c r="CCP69" s="13"/>
      <c r="CCQ69" s="13"/>
      <c r="CCR69" s="13"/>
      <c r="CCS69" s="13"/>
      <c r="CCT69" s="13"/>
      <c r="CCU69" s="13"/>
      <c r="CCV69" s="13"/>
      <c r="CCW69" s="13"/>
      <c r="CCX69" s="13"/>
      <c r="CCY69" s="13"/>
      <c r="CCZ69" s="13"/>
      <c r="CDA69" s="13"/>
      <c r="CDB69" s="13"/>
      <c r="CDC69" s="13"/>
      <c r="CDD69" s="13"/>
      <c r="CDE69" s="13"/>
      <c r="CDF69" s="13"/>
      <c r="CDG69" s="13"/>
      <c r="CDH69" s="13"/>
      <c r="CDI69" s="13"/>
      <c r="CDJ69" s="13"/>
      <c r="CDK69" s="13"/>
      <c r="CDL69" s="13"/>
      <c r="CDM69" s="13"/>
      <c r="CDN69" s="13"/>
      <c r="CDO69" s="13"/>
      <c r="CDP69" s="13"/>
      <c r="CDQ69" s="13"/>
      <c r="CDR69" s="13"/>
      <c r="CDS69" s="13"/>
      <c r="CDT69" s="13"/>
      <c r="CDU69" s="13"/>
      <c r="CDV69" s="13"/>
      <c r="CDW69" s="13"/>
      <c r="CDX69" s="13"/>
      <c r="CDY69" s="13"/>
      <c r="CDZ69" s="13"/>
      <c r="CEA69" s="13"/>
      <c r="CEB69" s="13"/>
      <c r="CEC69" s="13"/>
      <c r="CED69" s="13"/>
      <c r="CEE69" s="13"/>
      <c r="CEF69" s="13"/>
      <c r="CEG69" s="13"/>
      <c r="CEH69" s="13"/>
      <c r="CEI69" s="13"/>
      <c r="CEJ69" s="13"/>
      <c r="CEK69" s="13"/>
      <c r="CEL69" s="13"/>
      <c r="CEM69" s="13"/>
      <c r="CEN69" s="13"/>
      <c r="CEO69" s="13"/>
      <c r="CEP69" s="13"/>
      <c r="CEQ69" s="13"/>
      <c r="CER69" s="13"/>
      <c r="CES69" s="13"/>
      <c r="CET69" s="13"/>
      <c r="CEU69" s="13"/>
      <c r="CEV69" s="13"/>
      <c r="CEW69" s="13"/>
      <c r="CEX69" s="13"/>
      <c r="CEY69" s="13"/>
      <c r="CEZ69" s="13"/>
      <c r="CFA69" s="13"/>
      <c r="CFB69" s="13"/>
      <c r="CFC69" s="13"/>
      <c r="CFD69" s="13"/>
      <c r="CFE69" s="13"/>
      <c r="CFF69" s="13"/>
      <c r="CFG69" s="13"/>
      <c r="CFH69" s="13"/>
      <c r="CFI69" s="13"/>
      <c r="CFJ69" s="13"/>
      <c r="CFK69" s="13"/>
      <c r="CFL69" s="13"/>
      <c r="CFM69" s="13"/>
      <c r="CFN69" s="13"/>
      <c r="CFO69" s="13"/>
      <c r="CFP69" s="13"/>
      <c r="CFQ69" s="13"/>
      <c r="CFR69" s="13"/>
      <c r="CFS69" s="13"/>
      <c r="CFT69" s="13"/>
      <c r="CFU69" s="13"/>
      <c r="CFV69" s="13"/>
      <c r="CFW69" s="13"/>
      <c r="CFX69" s="13"/>
      <c r="CFY69" s="13"/>
      <c r="CFZ69" s="13"/>
      <c r="CGA69" s="13"/>
      <c r="CGB69" s="13"/>
      <c r="CGC69" s="13"/>
      <c r="CGD69" s="13"/>
      <c r="CGE69" s="13"/>
      <c r="CGF69" s="13"/>
      <c r="CGG69" s="13"/>
      <c r="CGH69" s="13"/>
      <c r="CGI69" s="13"/>
      <c r="CGJ69" s="13"/>
      <c r="CGK69" s="13"/>
      <c r="CGL69" s="13"/>
      <c r="CGM69" s="13"/>
      <c r="CGN69" s="13"/>
      <c r="CGO69" s="13"/>
      <c r="CGP69" s="13"/>
      <c r="CGQ69" s="13"/>
      <c r="CGR69" s="13"/>
      <c r="CGS69" s="13"/>
      <c r="CGT69" s="13"/>
      <c r="CGU69" s="13"/>
      <c r="CGV69" s="13"/>
      <c r="CGW69" s="13"/>
      <c r="CGX69" s="13"/>
      <c r="CGY69" s="13"/>
      <c r="CGZ69" s="13"/>
      <c r="CHA69" s="13"/>
      <c r="CHB69" s="13"/>
      <c r="CHC69" s="13"/>
      <c r="CHD69" s="13"/>
      <c r="CHE69" s="13"/>
      <c r="CHF69" s="13"/>
      <c r="CHG69" s="13"/>
      <c r="CHH69" s="13"/>
      <c r="CHI69" s="13"/>
      <c r="CHJ69" s="13"/>
      <c r="CHK69" s="13"/>
      <c r="CHL69" s="13"/>
      <c r="CHM69" s="13"/>
      <c r="CHN69" s="13"/>
      <c r="CHO69" s="13"/>
      <c r="CHP69" s="13"/>
      <c r="CHQ69" s="13"/>
      <c r="CHR69" s="13"/>
      <c r="CHS69" s="13"/>
      <c r="CHT69" s="13"/>
      <c r="CHU69" s="13"/>
      <c r="CHV69" s="13"/>
      <c r="CHW69" s="13"/>
      <c r="CHX69" s="13"/>
      <c r="CHY69" s="13"/>
      <c r="CHZ69" s="13"/>
      <c r="CIA69" s="13"/>
      <c r="CIB69" s="13"/>
      <c r="CIC69" s="13"/>
      <c r="CID69" s="13"/>
      <c r="CIE69" s="13"/>
      <c r="CIF69" s="13"/>
      <c r="CIG69" s="13"/>
      <c r="CIH69" s="13"/>
      <c r="CII69" s="13"/>
      <c r="CIJ69" s="13"/>
      <c r="CIK69" s="13"/>
      <c r="CIL69" s="13"/>
      <c r="CIM69" s="13"/>
      <c r="CIN69" s="13"/>
      <c r="CIO69" s="13"/>
      <c r="CIP69" s="13"/>
      <c r="CIQ69" s="13"/>
      <c r="CIR69" s="13"/>
      <c r="CIS69" s="13"/>
      <c r="CIT69" s="13"/>
      <c r="CIU69" s="13"/>
      <c r="CIV69" s="13"/>
      <c r="CIW69" s="13"/>
      <c r="CIX69" s="13"/>
      <c r="CIY69" s="13"/>
      <c r="CIZ69" s="13"/>
      <c r="CJA69" s="13"/>
      <c r="CJB69" s="13"/>
      <c r="CJC69" s="13"/>
      <c r="CJD69" s="13"/>
      <c r="CJE69" s="13"/>
      <c r="CJF69" s="13"/>
      <c r="CJG69" s="13"/>
      <c r="CJH69" s="13"/>
      <c r="CJI69" s="13"/>
      <c r="CJJ69" s="13"/>
      <c r="CJK69" s="13"/>
      <c r="CJL69" s="13"/>
      <c r="CJM69" s="13"/>
      <c r="CJN69" s="13"/>
      <c r="CJO69" s="13"/>
      <c r="CJP69" s="13"/>
      <c r="CJQ69" s="13"/>
      <c r="CJR69" s="13"/>
      <c r="CJS69" s="13"/>
      <c r="CJT69" s="13"/>
      <c r="CJU69" s="13"/>
      <c r="CJV69" s="13"/>
      <c r="CJW69" s="13"/>
      <c r="CJX69" s="13"/>
      <c r="CJY69" s="13"/>
      <c r="CJZ69" s="13"/>
      <c r="CKA69" s="13"/>
      <c r="CKB69" s="13"/>
      <c r="CKC69" s="13"/>
      <c r="CKD69" s="13"/>
      <c r="CKE69" s="13"/>
      <c r="CKF69" s="13"/>
      <c r="CKG69" s="13"/>
      <c r="CKH69" s="13"/>
      <c r="CKI69" s="13"/>
      <c r="CKJ69" s="13"/>
      <c r="CKK69" s="13"/>
      <c r="CKL69" s="13"/>
      <c r="CKM69" s="13"/>
      <c r="CKN69" s="13"/>
      <c r="CKO69" s="13"/>
      <c r="CKP69" s="13"/>
      <c r="CKQ69" s="13"/>
      <c r="CKR69" s="13"/>
      <c r="CKS69" s="13"/>
      <c r="CKT69" s="13"/>
      <c r="CKU69" s="13"/>
      <c r="CKV69" s="13"/>
      <c r="CKW69" s="13"/>
      <c r="CKX69" s="13"/>
      <c r="CKY69" s="13"/>
      <c r="CKZ69" s="13"/>
      <c r="CLA69" s="13"/>
      <c r="CLB69" s="13"/>
      <c r="CLC69" s="13"/>
      <c r="CLD69" s="13"/>
      <c r="CLE69" s="13"/>
      <c r="CLF69" s="13"/>
      <c r="CLG69" s="13"/>
      <c r="CLH69" s="13"/>
      <c r="CLI69" s="13"/>
      <c r="CLJ69" s="13"/>
      <c r="CLK69" s="13"/>
      <c r="CLL69" s="13"/>
      <c r="CLM69" s="13"/>
      <c r="CLN69" s="13"/>
      <c r="CLO69" s="13"/>
      <c r="CLP69" s="13"/>
      <c r="CLQ69" s="13"/>
      <c r="CLR69" s="13"/>
      <c r="CLS69" s="13"/>
      <c r="CLT69" s="13"/>
      <c r="CLU69" s="13"/>
      <c r="CLV69" s="13"/>
      <c r="CLW69" s="13"/>
      <c r="CLX69" s="13"/>
      <c r="CLY69" s="13"/>
      <c r="CLZ69" s="13"/>
      <c r="CMA69" s="13"/>
      <c r="CMB69" s="13"/>
      <c r="CMC69" s="13"/>
      <c r="CMD69" s="13"/>
      <c r="CME69" s="13"/>
      <c r="CMF69" s="13"/>
      <c r="CMG69" s="13"/>
      <c r="CMH69" s="13"/>
      <c r="CMI69" s="13"/>
      <c r="CMJ69" s="13"/>
      <c r="CMK69" s="13"/>
      <c r="CML69" s="13"/>
      <c r="CMM69" s="13"/>
      <c r="CMN69" s="13"/>
      <c r="CMO69" s="13"/>
      <c r="CMP69" s="13"/>
      <c r="CMQ69" s="13"/>
      <c r="CMR69" s="13"/>
      <c r="CMS69" s="13"/>
      <c r="CMT69" s="13"/>
      <c r="CMU69" s="13"/>
      <c r="CMV69" s="13"/>
      <c r="CMW69" s="13"/>
      <c r="CMX69" s="13"/>
      <c r="CMY69" s="13"/>
      <c r="CMZ69" s="13"/>
      <c r="CNA69" s="13"/>
      <c r="CNB69" s="13"/>
      <c r="CNC69" s="13"/>
      <c r="CND69" s="13"/>
      <c r="CNE69" s="13"/>
      <c r="CNF69" s="13"/>
      <c r="CNG69" s="13"/>
      <c r="CNH69" s="13"/>
      <c r="CNI69" s="13"/>
      <c r="CNJ69" s="13"/>
      <c r="CNK69" s="13"/>
      <c r="CNL69" s="13"/>
      <c r="CNM69" s="13"/>
      <c r="CNN69" s="13"/>
      <c r="CNO69" s="13"/>
      <c r="CNP69" s="13"/>
      <c r="CNQ69" s="13"/>
      <c r="CNR69" s="13"/>
      <c r="CNS69" s="13"/>
      <c r="CNT69" s="13"/>
      <c r="CNU69" s="13"/>
      <c r="CNV69" s="13"/>
      <c r="CNW69" s="13"/>
      <c r="CNX69" s="13"/>
      <c r="CNY69" s="13"/>
      <c r="CNZ69" s="13"/>
      <c r="COA69" s="13"/>
      <c r="COB69" s="13"/>
      <c r="COC69" s="13"/>
      <c r="COD69" s="13"/>
      <c r="COE69" s="13"/>
      <c r="COF69" s="13"/>
      <c r="COG69" s="13"/>
      <c r="COH69" s="13"/>
      <c r="COI69" s="13"/>
      <c r="COJ69" s="13"/>
      <c r="COK69" s="13"/>
      <c r="COL69" s="13"/>
      <c r="COM69" s="13"/>
      <c r="CON69" s="13"/>
      <c r="COO69" s="13"/>
      <c r="COP69" s="13"/>
      <c r="COQ69" s="13"/>
      <c r="COR69" s="13"/>
      <c r="COS69" s="13"/>
      <c r="COT69" s="13"/>
      <c r="COU69" s="13"/>
      <c r="COV69" s="13"/>
      <c r="COW69" s="13"/>
      <c r="COX69" s="13"/>
      <c r="COY69" s="13"/>
      <c r="COZ69" s="13"/>
      <c r="CPA69" s="13"/>
      <c r="CPB69" s="13"/>
      <c r="CPC69" s="13"/>
      <c r="CPD69" s="13"/>
      <c r="CPE69" s="13"/>
      <c r="CPF69" s="13"/>
      <c r="CPG69" s="13"/>
      <c r="CPH69" s="13"/>
      <c r="CPI69" s="13"/>
      <c r="CPJ69" s="13"/>
      <c r="CPK69" s="13"/>
      <c r="CPL69" s="13"/>
      <c r="CPM69" s="13"/>
      <c r="CPN69" s="13"/>
      <c r="CPO69" s="13"/>
      <c r="CPP69" s="13"/>
      <c r="CPQ69" s="13"/>
      <c r="CPR69" s="13"/>
      <c r="CPS69" s="13"/>
      <c r="CPT69" s="13"/>
      <c r="CPU69" s="13"/>
      <c r="CPV69" s="13"/>
      <c r="CPW69" s="13"/>
      <c r="CPX69" s="13"/>
      <c r="CPY69" s="13"/>
      <c r="CPZ69" s="13"/>
      <c r="CQA69" s="13"/>
      <c r="CQB69" s="13"/>
      <c r="CQC69" s="13"/>
      <c r="CQD69" s="13"/>
      <c r="CQE69" s="13"/>
      <c r="CQF69" s="13"/>
      <c r="CQG69" s="13"/>
      <c r="CQH69" s="13"/>
      <c r="CQI69" s="13"/>
      <c r="CQJ69" s="13"/>
      <c r="CQK69" s="13"/>
      <c r="CQL69" s="13"/>
      <c r="CQM69" s="13"/>
      <c r="CQN69" s="13"/>
      <c r="CQO69" s="13"/>
      <c r="CQP69" s="13"/>
      <c r="CQQ69" s="13"/>
      <c r="CQR69" s="13"/>
      <c r="CQS69" s="13"/>
      <c r="CQT69" s="13"/>
      <c r="CQU69" s="13"/>
      <c r="CQV69" s="13"/>
      <c r="CQW69" s="13"/>
      <c r="CQX69" s="13"/>
      <c r="CQY69" s="13"/>
      <c r="CQZ69" s="13"/>
      <c r="CRA69" s="13"/>
      <c r="CRB69" s="13"/>
      <c r="CRC69" s="13"/>
      <c r="CRD69" s="13"/>
      <c r="CRE69" s="13"/>
      <c r="CRF69" s="13"/>
      <c r="CRG69" s="13"/>
      <c r="CRH69" s="13"/>
      <c r="CRI69" s="13"/>
      <c r="CRJ69" s="13"/>
      <c r="CRK69" s="13"/>
      <c r="CRL69" s="13"/>
      <c r="CRM69" s="13"/>
      <c r="CRN69" s="13"/>
      <c r="CRO69" s="13"/>
      <c r="CRP69" s="13"/>
      <c r="CRQ69" s="13"/>
      <c r="CRR69" s="13"/>
      <c r="CRS69" s="13"/>
      <c r="CRT69" s="13"/>
      <c r="CRU69" s="13"/>
      <c r="CRV69" s="13"/>
      <c r="CRW69" s="13"/>
      <c r="CRX69" s="13"/>
      <c r="CRY69" s="13"/>
      <c r="CRZ69" s="13"/>
      <c r="CSA69" s="13"/>
      <c r="CSB69" s="13"/>
      <c r="CSC69" s="13"/>
      <c r="CSD69" s="13"/>
      <c r="CSE69" s="13"/>
      <c r="CSF69" s="13"/>
      <c r="CSG69" s="13"/>
      <c r="CSH69" s="13"/>
      <c r="CSI69" s="13"/>
      <c r="CSJ69" s="13"/>
      <c r="CSK69" s="13"/>
      <c r="CSL69" s="13"/>
      <c r="CSM69" s="13"/>
      <c r="CSN69" s="13"/>
      <c r="CSO69" s="13"/>
      <c r="CSP69" s="13"/>
      <c r="CSQ69" s="13"/>
      <c r="CSR69" s="13"/>
      <c r="CSS69" s="13"/>
      <c r="CST69" s="13"/>
      <c r="CSU69" s="13"/>
      <c r="CSV69" s="13"/>
      <c r="CSW69" s="13"/>
      <c r="CSX69" s="13"/>
      <c r="CSY69" s="13"/>
      <c r="CSZ69" s="13"/>
      <c r="CTA69" s="13"/>
      <c r="CTB69" s="13"/>
      <c r="CTC69" s="13"/>
      <c r="CTD69" s="13"/>
      <c r="CTE69" s="13"/>
      <c r="CTF69" s="13"/>
      <c r="CTG69" s="13"/>
      <c r="CTH69" s="13"/>
      <c r="CTI69" s="13"/>
      <c r="CTJ69" s="13"/>
      <c r="CTK69" s="13"/>
      <c r="CTL69" s="13"/>
      <c r="CTM69" s="13"/>
      <c r="CTN69" s="13"/>
      <c r="CTO69" s="13"/>
      <c r="CTP69" s="13"/>
      <c r="CTQ69" s="13"/>
      <c r="CTR69" s="13"/>
      <c r="CTS69" s="13"/>
      <c r="CTT69" s="13"/>
      <c r="CTU69" s="13"/>
      <c r="CTV69" s="13"/>
      <c r="CTW69" s="13"/>
      <c r="CTX69" s="13"/>
      <c r="CTY69" s="13"/>
      <c r="CTZ69" s="13"/>
      <c r="CUA69" s="13"/>
      <c r="CUB69" s="13"/>
      <c r="CUC69" s="13"/>
      <c r="CUD69" s="13"/>
      <c r="CUE69" s="13"/>
      <c r="CUF69" s="13"/>
      <c r="CUG69" s="13"/>
      <c r="CUH69" s="13"/>
      <c r="CUI69" s="13"/>
      <c r="CUJ69" s="13"/>
      <c r="CUK69" s="13"/>
      <c r="CUL69" s="13"/>
      <c r="CUM69" s="13"/>
      <c r="CUN69" s="13"/>
      <c r="CUO69" s="13"/>
      <c r="CUP69" s="13"/>
      <c r="CUQ69" s="13"/>
      <c r="CUR69" s="13"/>
      <c r="CUS69" s="13"/>
      <c r="CUT69" s="13"/>
      <c r="CUU69" s="13"/>
      <c r="CUV69" s="13"/>
      <c r="CUW69" s="13"/>
      <c r="CUX69" s="13"/>
      <c r="CUY69" s="13"/>
      <c r="CUZ69" s="13"/>
      <c r="CVA69" s="13"/>
      <c r="CVB69" s="13"/>
      <c r="CVC69" s="13"/>
      <c r="CVD69" s="13"/>
      <c r="CVE69" s="13"/>
      <c r="CVF69" s="13"/>
      <c r="CVG69" s="13"/>
      <c r="CVH69" s="13"/>
      <c r="CVI69" s="13"/>
      <c r="CVJ69" s="13"/>
      <c r="CVK69" s="13"/>
      <c r="CVL69" s="13"/>
      <c r="CVM69" s="13"/>
      <c r="CVN69" s="13"/>
      <c r="CVO69" s="13"/>
      <c r="CVP69" s="13"/>
      <c r="CVQ69" s="13"/>
      <c r="CVR69" s="13"/>
      <c r="CVS69" s="13"/>
      <c r="CVT69" s="13"/>
      <c r="CVU69" s="13"/>
      <c r="CVV69" s="13"/>
      <c r="CVW69" s="13"/>
      <c r="CVX69" s="13"/>
      <c r="CVY69" s="13"/>
      <c r="CVZ69" s="13"/>
      <c r="CWA69" s="13"/>
      <c r="CWB69" s="13"/>
      <c r="CWC69" s="13"/>
      <c r="CWD69" s="13"/>
      <c r="CWE69" s="13"/>
      <c r="CWF69" s="13"/>
      <c r="CWG69" s="13"/>
      <c r="CWH69" s="13"/>
      <c r="CWI69" s="13"/>
      <c r="CWJ69" s="13"/>
      <c r="CWK69" s="13"/>
      <c r="CWL69" s="13"/>
      <c r="CWM69" s="13"/>
      <c r="CWN69" s="13"/>
      <c r="CWO69" s="13"/>
      <c r="CWP69" s="13"/>
      <c r="CWQ69" s="13"/>
      <c r="CWR69" s="13"/>
      <c r="CWS69" s="13"/>
      <c r="CWT69" s="13"/>
      <c r="CWU69" s="13"/>
      <c r="CWV69" s="13"/>
      <c r="CWW69" s="13"/>
      <c r="CWX69" s="13"/>
      <c r="CWY69" s="13"/>
      <c r="CWZ69" s="13"/>
      <c r="CXA69" s="13"/>
      <c r="CXB69" s="13"/>
      <c r="CXC69" s="13"/>
      <c r="CXD69" s="13"/>
      <c r="CXE69" s="13"/>
      <c r="CXF69" s="13"/>
      <c r="CXG69" s="13"/>
      <c r="CXH69" s="13"/>
      <c r="CXI69" s="13"/>
      <c r="CXJ69" s="13"/>
      <c r="CXK69" s="13"/>
      <c r="CXL69" s="13"/>
      <c r="CXM69" s="13"/>
      <c r="CXN69" s="13"/>
      <c r="CXO69" s="13"/>
      <c r="CXP69" s="13"/>
      <c r="CXQ69" s="13"/>
      <c r="CXR69" s="13"/>
      <c r="CXS69" s="13"/>
      <c r="CXT69" s="13"/>
      <c r="CXU69" s="13"/>
      <c r="CXV69" s="13"/>
      <c r="CXW69" s="13"/>
      <c r="CXX69" s="13"/>
      <c r="CXY69" s="13"/>
      <c r="CXZ69" s="13"/>
      <c r="CYA69" s="13"/>
      <c r="CYB69" s="13"/>
      <c r="CYC69" s="13"/>
      <c r="CYD69" s="13"/>
      <c r="CYE69" s="13"/>
      <c r="CYF69" s="13"/>
      <c r="CYG69" s="13"/>
      <c r="CYH69" s="13"/>
      <c r="CYI69" s="13"/>
      <c r="CYJ69" s="13"/>
      <c r="CYK69" s="13"/>
      <c r="CYL69" s="13"/>
      <c r="CYM69" s="13"/>
      <c r="CYN69" s="13"/>
      <c r="CYO69" s="13"/>
      <c r="CYP69" s="13"/>
      <c r="CYQ69" s="13"/>
      <c r="CYR69" s="13"/>
      <c r="CYS69" s="13"/>
      <c r="CYT69" s="13"/>
      <c r="CYU69" s="13"/>
      <c r="CYV69" s="13"/>
      <c r="CYW69" s="13"/>
      <c r="CYX69" s="13"/>
      <c r="CYY69" s="13"/>
      <c r="CYZ69" s="13"/>
      <c r="CZA69" s="13"/>
      <c r="CZB69" s="13"/>
      <c r="CZC69" s="13"/>
      <c r="CZD69" s="13"/>
      <c r="CZE69" s="13"/>
      <c r="CZF69" s="13"/>
      <c r="CZG69" s="13"/>
      <c r="CZH69" s="13"/>
      <c r="CZI69" s="13"/>
      <c r="CZJ69" s="13"/>
      <c r="CZK69" s="13"/>
      <c r="CZL69" s="13"/>
      <c r="CZM69" s="13"/>
      <c r="CZN69" s="13"/>
      <c r="CZO69" s="13"/>
      <c r="CZP69" s="13"/>
      <c r="CZQ69" s="13"/>
      <c r="CZR69" s="13"/>
      <c r="CZS69" s="13"/>
      <c r="CZT69" s="13"/>
      <c r="CZU69" s="13"/>
      <c r="CZV69" s="13"/>
      <c r="CZW69" s="13"/>
      <c r="CZX69" s="13"/>
      <c r="CZY69" s="13"/>
      <c r="CZZ69" s="13"/>
      <c r="DAA69" s="13"/>
      <c r="DAB69" s="13"/>
      <c r="DAC69" s="13"/>
      <c r="DAD69" s="13"/>
      <c r="DAE69" s="13"/>
      <c r="DAF69" s="13"/>
      <c r="DAG69" s="13"/>
      <c r="DAH69" s="13"/>
      <c r="DAI69" s="13"/>
      <c r="DAJ69" s="13"/>
      <c r="DAK69" s="13"/>
      <c r="DAL69" s="13"/>
      <c r="DAM69" s="13"/>
      <c r="DAN69" s="13"/>
      <c r="DAO69" s="13"/>
      <c r="DAP69" s="13"/>
      <c r="DAQ69" s="13"/>
      <c r="DAR69" s="13"/>
      <c r="DAS69" s="13"/>
      <c r="DAT69" s="13"/>
      <c r="DAU69" s="13"/>
      <c r="DAV69" s="13"/>
      <c r="DAW69" s="13"/>
      <c r="DAX69" s="13"/>
      <c r="DAY69" s="13"/>
      <c r="DAZ69" s="13"/>
      <c r="DBA69" s="13"/>
      <c r="DBB69" s="13"/>
      <c r="DBC69" s="13"/>
      <c r="DBD69" s="13"/>
      <c r="DBE69" s="13"/>
      <c r="DBF69" s="13"/>
      <c r="DBG69" s="13"/>
      <c r="DBH69" s="13"/>
      <c r="DBI69" s="13"/>
      <c r="DBJ69" s="13"/>
      <c r="DBK69" s="13"/>
      <c r="DBL69" s="13"/>
      <c r="DBM69" s="13"/>
      <c r="DBN69" s="13"/>
      <c r="DBO69" s="13"/>
      <c r="DBP69" s="13"/>
      <c r="DBQ69" s="13"/>
      <c r="DBR69" s="13"/>
      <c r="DBS69" s="13"/>
      <c r="DBT69" s="13"/>
      <c r="DBU69" s="13"/>
      <c r="DBV69" s="13"/>
      <c r="DBW69" s="13"/>
      <c r="DBX69" s="13"/>
      <c r="DBY69" s="13"/>
      <c r="DBZ69" s="13"/>
      <c r="DCA69" s="13"/>
      <c r="DCB69" s="13"/>
      <c r="DCC69" s="13"/>
      <c r="DCD69" s="13"/>
      <c r="DCE69" s="13"/>
      <c r="DCF69" s="13"/>
      <c r="DCG69" s="13"/>
      <c r="DCH69" s="13"/>
      <c r="DCI69" s="13"/>
      <c r="DCJ69" s="13"/>
      <c r="DCK69" s="13"/>
      <c r="DCL69" s="13"/>
      <c r="DCM69" s="13"/>
      <c r="DCN69" s="13"/>
      <c r="DCO69" s="13"/>
      <c r="DCP69" s="13"/>
      <c r="DCQ69" s="13"/>
      <c r="DCR69" s="13"/>
      <c r="DCS69" s="13"/>
      <c r="DCT69" s="13"/>
      <c r="DCU69" s="13"/>
      <c r="DCV69" s="13"/>
      <c r="DCW69" s="13"/>
      <c r="DCX69" s="13"/>
      <c r="DCY69" s="13"/>
      <c r="DCZ69" s="13"/>
      <c r="DDA69" s="13"/>
      <c r="DDB69" s="13"/>
      <c r="DDC69" s="13"/>
      <c r="DDD69" s="13"/>
      <c r="DDE69" s="13"/>
      <c r="DDF69" s="13"/>
      <c r="DDG69" s="13"/>
      <c r="DDH69" s="13"/>
      <c r="DDI69" s="13"/>
      <c r="DDJ69" s="13"/>
      <c r="DDK69" s="13"/>
      <c r="DDL69" s="13"/>
      <c r="DDM69" s="13"/>
      <c r="DDN69" s="13"/>
      <c r="DDO69" s="13"/>
      <c r="DDP69" s="13"/>
      <c r="DDQ69" s="13"/>
      <c r="DDR69" s="13"/>
      <c r="DDS69" s="13"/>
      <c r="DDT69" s="13"/>
      <c r="DDU69" s="13"/>
      <c r="DDV69" s="13"/>
      <c r="DDW69" s="13"/>
      <c r="DDX69" s="13"/>
      <c r="DDY69" s="13"/>
      <c r="DDZ69" s="13"/>
      <c r="DEA69" s="13"/>
      <c r="DEB69" s="13"/>
      <c r="DEC69" s="13"/>
      <c r="DED69" s="13"/>
      <c r="DEE69" s="13"/>
      <c r="DEF69" s="13"/>
      <c r="DEG69" s="13"/>
      <c r="DEH69" s="13"/>
      <c r="DEI69" s="13"/>
      <c r="DEJ69" s="13"/>
      <c r="DEK69" s="13"/>
      <c r="DEL69" s="13"/>
      <c r="DEM69" s="13"/>
      <c r="DEN69" s="13"/>
      <c r="DEO69" s="13"/>
      <c r="DEP69" s="13"/>
      <c r="DEQ69" s="13"/>
      <c r="DER69" s="13"/>
      <c r="DES69" s="13"/>
      <c r="DET69" s="13"/>
      <c r="DEU69" s="13"/>
      <c r="DEV69" s="13"/>
      <c r="DEW69" s="13"/>
      <c r="DEX69" s="13"/>
      <c r="DEY69" s="13"/>
      <c r="DEZ69" s="13"/>
      <c r="DFA69" s="13"/>
      <c r="DFB69" s="13"/>
      <c r="DFC69" s="13"/>
      <c r="DFD69" s="13"/>
      <c r="DFE69" s="13"/>
      <c r="DFF69" s="13"/>
      <c r="DFG69" s="13"/>
      <c r="DFH69" s="13"/>
      <c r="DFI69" s="13"/>
      <c r="DFJ69" s="13"/>
      <c r="DFK69" s="13"/>
      <c r="DFL69" s="13"/>
      <c r="DFM69" s="13"/>
      <c r="DFN69" s="13"/>
      <c r="DFO69" s="13"/>
      <c r="DFP69" s="13"/>
      <c r="DFQ69" s="13"/>
      <c r="DFR69" s="13"/>
      <c r="DFS69" s="13"/>
      <c r="DFT69" s="13"/>
      <c r="DFU69" s="13"/>
      <c r="DFV69" s="13"/>
      <c r="DFW69" s="13"/>
      <c r="DFX69" s="13"/>
      <c r="DFY69" s="13"/>
      <c r="DFZ69" s="13"/>
      <c r="DGA69" s="13"/>
      <c r="DGB69" s="13"/>
      <c r="DGC69" s="13"/>
      <c r="DGD69" s="13"/>
      <c r="DGE69" s="13"/>
      <c r="DGF69" s="13"/>
      <c r="DGG69" s="13"/>
      <c r="DGH69" s="13"/>
      <c r="DGI69" s="13"/>
      <c r="DGJ69" s="13"/>
      <c r="DGK69" s="13"/>
      <c r="DGL69" s="13"/>
      <c r="DGM69" s="13"/>
      <c r="DGN69" s="13"/>
      <c r="DGO69" s="13"/>
      <c r="DGP69" s="13"/>
      <c r="DGQ69" s="13"/>
      <c r="DGR69" s="13"/>
      <c r="DGS69" s="13"/>
      <c r="DGT69" s="13"/>
      <c r="DGU69" s="13"/>
      <c r="DGV69" s="13"/>
      <c r="DGW69" s="13"/>
      <c r="DGX69" s="13"/>
      <c r="DGY69" s="13"/>
      <c r="DGZ69" s="13"/>
      <c r="DHA69" s="13"/>
      <c r="DHB69" s="13"/>
      <c r="DHC69" s="13"/>
      <c r="DHD69" s="13"/>
      <c r="DHE69" s="13"/>
      <c r="DHF69" s="13"/>
      <c r="DHG69" s="13"/>
      <c r="DHH69" s="13"/>
      <c r="DHI69" s="13"/>
      <c r="DHJ69" s="13"/>
      <c r="DHK69" s="13"/>
      <c r="DHL69" s="13"/>
      <c r="DHM69" s="13"/>
      <c r="DHN69" s="13"/>
      <c r="DHO69" s="13"/>
      <c r="DHP69" s="13"/>
      <c r="DHQ69" s="13"/>
      <c r="DHR69" s="13"/>
      <c r="DHS69" s="13"/>
      <c r="DHT69" s="13"/>
      <c r="DHU69" s="13"/>
      <c r="DHV69" s="13"/>
      <c r="DHW69" s="13"/>
      <c r="DHX69" s="13"/>
      <c r="DHY69" s="13"/>
      <c r="DHZ69" s="13"/>
      <c r="DIA69" s="13"/>
      <c r="DIB69" s="13"/>
      <c r="DIC69" s="13"/>
      <c r="DID69" s="13"/>
      <c r="DIE69" s="13"/>
      <c r="DIF69" s="13"/>
      <c r="DIG69" s="13"/>
      <c r="DIH69" s="13"/>
      <c r="DII69" s="13"/>
      <c r="DIJ69" s="13"/>
      <c r="DIK69" s="13"/>
      <c r="DIL69" s="13"/>
      <c r="DIM69" s="13"/>
      <c r="DIN69" s="13"/>
      <c r="DIO69" s="13"/>
      <c r="DIP69" s="13"/>
      <c r="DIQ69" s="13"/>
      <c r="DIR69" s="13"/>
      <c r="DIS69" s="13"/>
      <c r="DIT69" s="13"/>
      <c r="DIU69" s="13"/>
      <c r="DIV69" s="13"/>
      <c r="DIW69" s="13"/>
      <c r="DIX69" s="13"/>
      <c r="DIY69" s="13"/>
      <c r="DIZ69" s="13"/>
      <c r="DJA69" s="13"/>
      <c r="DJB69" s="13"/>
      <c r="DJC69" s="13"/>
      <c r="DJD69" s="13"/>
      <c r="DJE69" s="13"/>
      <c r="DJF69" s="13"/>
      <c r="DJG69" s="13"/>
      <c r="DJH69" s="13"/>
      <c r="DJI69" s="13"/>
      <c r="DJJ69" s="13"/>
      <c r="DJK69" s="13"/>
      <c r="DJL69" s="13"/>
      <c r="DJM69" s="13"/>
      <c r="DJN69" s="13"/>
      <c r="DJO69" s="13"/>
      <c r="DJP69" s="13"/>
      <c r="DJQ69" s="13"/>
      <c r="DJR69" s="13"/>
      <c r="DJS69" s="13"/>
      <c r="DJT69" s="13"/>
      <c r="DJU69" s="13"/>
      <c r="DJV69" s="13"/>
      <c r="DJW69" s="13"/>
      <c r="DJX69" s="13"/>
      <c r="DJY69" s="13"/>
      <c r="DJZ69" s="13"/>
      <c r="DKA69" s="13"/>
      <c r="DKB69" s="13"/>
      <c r="DKC69" s="13"/>
      <c r="DKD69" s="13"/>
      <c r="DKE69" s="13"/>
      <c r="DKF69" s="13"/>
      <c r="DKG69" s="13"/>
      <c r="DKH69" s="13"/>
      <c r="DKI69" s="13"/>
      <c r="DKJ69" s="13"/>
      <c r="DKK69" s="13"/>
      <c r="DKL69" s="13"/>
      <c r="DKM69" s="13"/>
      <c r="DKN69" s="13"/>
      <c r="DKO69" s="13"/>
      <c r="DKP69" s="13"/>
      <c r="DKQ69" s="13"/>
      <c r="DKR69" s="13"/>
      <c r="DKS69" s="13"/>
      <c r="DKT69" s="13"/>
      <c r="DKU69" s="13"/>
      <c r="DKV69" s="13"/>
      <c r="DKW69" s="13"/>
      <c r="DKX69" s="13"/>
      <c r="DKY69" s="13"/>
      <c r="DKZ69" s="13"/>
      <c r="DLA69" s="13"/>
      <c r="DLB69" s="13"/>
      <c r="DLC69" s="13"/>
      <c r="DLD69" s="13"/>
      <c r="DLE69" s="13"/>
      <c r="DLF69" s="13"/>
      <c r="DLG69" s="13"/>
      <c r="DLH69" s="13"/>
      <c r="DLI69" s="13"/>
      <c r="DLJ69" s="13"/>
      <c r="DLK69" s="13"/>
      <c r="DLL69" s="13"/>
      <c r="DLM69" s="13"/>
      <c r="DLN69" s="13"/>
      <c r="DLO69" s="13"/>
      <c r="DLP69" s="13"/>
      <c r="DLQ69" s="13"/>
      <c r="DLR69" s="13"/>
      <c r="DLS69" s="13"/>
      <c r="DLT69" s="13"/>
      <c r="DLU69" s="13"/>
      <c r="DLV69" s="13"/>
      <c r="DLW69" s="13"/>
      <c r="DLX69" s="13"/>
      <c r="DLY69" s="13"/>
      <c r="DLZ69" s="13"/>
      <c r="DMA69" s="13"/>
      <c r="DMB69" s="13"/>
      <c r="DMC69" s="13"/>
      <c r="DMD69" s="13"/>
      <c r="DME69" s="13"/>
      <c r="DMF69" s="13"/>
      <c r="DMG69" s="13"/>
      <c r="DMH69" s="13"/>
      <c r="DMI69" s="13"/>
      <c r="DMJ69" s="13"/>
      <c r="DMK69" s="13"/>
      <c r="DML69" s="13"/>
      <c r="DMM69" s="13"/>
      <c r="DMN69" s="13"/>
      <c r="DMO69" s="13"/>
      <c r="DMP69" s="13"/>
      <c r="DMQ69" s="13"/>
      <c r="DMR69" s="13"/>
      <c r="DMS69" s="13"/>
      <c r="DMT69" s="13"/>
      <c r="DMU69" s="13"/>
      <c r="DMV69" s="13"/>
      <c r="DMW69" s="13"/>
      <c r="DMX69" s="13"/>
      <c r="DMY69" s="13"/>
      <c r="DMZ69" s="13"/>
      <c r="DNA69" s="13"/>
      <c r="DNB69" s="13"/>
      <c r="DNC69" s="13"/>
      <c r="DND69" s="13"/>
      <c r="DNE69" s="13"/>
      <c r="DNF69" s="13"/>
      <c r="DNG69" s="13"/>
      <c r="DNH69" s="13"/>
      <c r="DNI69" s="13"/>
      <c r="DNJ69" s="13"/>
      <c r="DNK69" s="13"/>
      <c r="DNL69" s="13"/>
      <c r="DNM69" s="13"/>
      <c r="DNN69" s="13"/>
      <c r="DNO69" s="13"/>
      <c r="DNP69" s="13"/>
      <c r="DNQ69" s="13"/>
      <c r="DNR69" s="13"/>
      <c r="DNS69" s="13"/>
      <c r="DNT69" s="13"/>
      <c r="DNU69" s="13"/>
      <c r="DNV69" s="13"/>
      <c r="DNW69" s="13"/>
      <c r="DNX69" s="13"/>
      <c r="DNY69" s="13"/>
      <c r="DNZ69" s="13"/>
      <c r="DOA69" s="13"/>
      <c r="DOB69" s="13"/>
      <c r="DOC69" s="13"/>
      <c r="DOD69" s="13"/>
      <c r="DOE69" s="13"/>
      <c r="DOF69" s="13"/>
      <c r="DOG69" s="13"/>
      <c r="DOH69" s="13"/>
      <c r="DOI69" s="13"/>
      <c r="DOJ69" s="13"/>
      <c r="DOK69" s="13"/>
      <c r="DOL69" s="13"/>
      <c r="DOM69" s="13"/>
      <c r="DON69" s="13"/>
      <c r="DOO69" s="13"/>
      <c r="DOP69" s="13"/>
      <c r="DOQ69" s="13"/>
      <c r="DOR69" s="13"/>
      <c r="DOS69" s="13"/>
      <c r="DOT69" s="13"/>
      <c r="DOU69" s="13"/>
      <c r="DOV69" s="13"/>
      <c r="DOW69" s="13"/>
      <c r="DOX69" s="13"/>
      <c r="DOY69" s="13"/>
      <c r="DOZ69" s="13"/>
      <c r="DPA69" s="13"/>
      <c r="DPB69" s="13"/>
      <c r="DPC69" s="13"/>
      <c r="DPD69" s="13"/>
      <c r="DPE69" s="13"/>
      <c r="DPF69" s="13"/>
      <c r="DPG69" s="13"/>
      <c r="DPH69" s="13"/>
      <c r="DPI69" s="13"/>
      <c r="DPJ69" s="13"/>
      <c r="DPK69" s="13"/>
      <c r="DPL69" s="13"/>
      <c r="DPM69" s="13"/>
      <c r="DPN69" s="13"/>
      <c r="DPO69" s="13"/>
      <c r="DPP69" s="13"/>
      <c r="DPQ69" s="13"/>
      <c r="DPR69" s="13"/>
      <c r="DPS69" s="13"/>
      <c r="DPT69" s="13"/>
      <c r="DPU69" s="13"/>
      <c r="DPV69" s="13"/>
      <c r="DPW69" s="13"/>
      <c r="DPX69" s="13"/>
      <c r="DPY69" s="13"/>
      <c r="DPZ69" s="13"/>
      <c r="DQA69" s="13"/>
      <c r="DQB69" s="13"/>
      <c r="DQC69" s="13"/>
      <c r="DQD69" s="13"/>
      <c r="DQE69" s="13"/>
      <c r="DQF69" s="13"/>
      <c r="DQG69" s="13"/>
      <c r="DQH69" s="13"/>
      <c r="DQI69" s="13"/>
      <c r="DQJ69" s="13"/>
      <c r="DQK69" s="13"/>
      <c r="DQL69" s="13"/>
      <c r="DQM69" s="13"/>
      <c r="DQN69" s="13"/>
      <c r="DQO69" s="13"/>
      <c r="DQP69" s="13"/>
      <c r="DQQ69" s="13"/>
      <c r="DQR69" s="13"/>
      <c r="DQS69" s="13"/>
      <c r="DQT69" s="13"/>
      <c r="DQU69" s="13"/>
      <c r="DQV69" s="13"/>
      <c r="DQW69" s="13"/>
      <c r="DQX69" s="13"/>
      <c r="DQY69" s="13"/>
      <c r="DQZ69" s="13"/>
      <c r="DRA69" s="13"/>
      <c r="DRB69" s="13"/>
      <c r="DRC69" s="13"/>
      <c r="DRD69" s="13"/>
      <c r="DRE69" s="13"/>
      <c r="DRF69" s="13"/>
      <c r="DRG69" s="13"/>
      <c r="DRH69" s="13"/>
      <c r="DRI69" s="13"/>
      <c r="DRJ69" s="13"/>
      <c r="DRK69" s="13"/>
      <c r="DRL69" s="13"/>
      <c r="DRM69" s="13"/>
      <c r="DRN69" s="13"/>
      <c r="DRO69" s="13"/>
      <c r="DRP69" s="13"/>
      <c r="DRQ69" s="13"/>
      <c r="DRR69" s="13"/>
      <c r="DRS69" s="13"/>
      <c r="DRT69" s="13"/>
      <c r="DRU69" s="13"/>
      <c r="DRV69" s="13"/>
      <c r="DRW69" s="13"/>
      <c r="DRX69" s="13"/>
      <c r="DRY69" s="13"/>
      <c r="DRZ69" s="13"/>
      <c r="DSA69" s="13"/>
      <c r="DSB69" s="13"/>
      <c r="DSC69" s="13"/>
      <c r="DSD69" s="13"/>
      <c r="DSE69" s="13"/>
      <c r="DSF69" s="13"/>
      <c r="DSG69" s="13"/>
      <c r="DSH69" s="13"/>
      <c r="DSI69" s="13"/>
      <c r="DSJ69" s="13"/>
      <c r="DSK69" s="13"/>
      <c r="DSL69" s="13"/>
      <c r="DSM69" s="13"/>
      <c r="DSN69" s="13"/>
      <c r="DSO69" s="13"/>
      <c r="DSP69" s="13"/>
      <c r="DSQ69" s="13"/>
      <c r="DSR69" s="13"/>
      <c r="DSS69" s="13"/>
      <c r="DST69" s="13"/>
      <c r="DSU69" s="13"/>
      <c r="DSV69" s="13"/>
      <c r="DSW69" s="13"/>
      <c r="DSX69" s="13"/>
      <c r="DSY69" s="13"/>
      <c r="DSZ69" s="13"/>
      <c r="DTA69" s="13"/>
      <c r="DTB69" s="13"/>
      <c r="DTC69" s="13"/>
      <c r="DTD69" s="13"/>
      <c r="DTE69" s="13"/>
      <c r="DTF69" s="13"/>
      <c r="DTG69" s="13"/>
      <c r="DTH69" s="13"/>
      <c r="DTI69" s="13"/>
      <c r="DTJ69" s="13"/>
      <c r="DTK69" s="13"/>
      <c r="DTL69" s="13"/>
      <c r="DTM69" s="13"/>
      <c r="DTN69" s="13"/>
      <c r="DTO69" s="13"/>
      <c r="DTP69" s="13"/>
      <c r="DTQ69" s="13"/>
      <c r="DTR69" s="13"/>
      <c r="DTS69" s="13"/>
      <c r="DTT69" s="13"/>
      <c r="DTU69" s="13"/>
      <c r="DTV69" s="13"/>
      <c r="DTW69" s="13"/>
      <c r="DTX69" s="13"/>
      <c r="DTY69" s="13"/>
      <c r="DTZ69" s="13"/>
      <c r="DUA69" s="13"/>
      <c r="DUB69" s="13"/>
      <c r="DUC69" s="13"/>
      <c r="DUD69" s="13"/>
      <c r="DUE69" s="13"/>
      <c r="DUF69" s="13"/>
      <c r="DUG69" s="13"/>
      <c r="DUH69" s="13"/>
      <c r="DUI69" s="13"/>
      <c r="DUJ69" s="13"/>
      <c r="DUK69" s="13"/>
      <c r="DUL69" s="13"/>
      <c r="DUM69" s="13"/>
      <c r="DUN69" s="13"/>
      <c r="DUO69" s="13"/>
      <c r="DUP69" s="13"/>
      <c r="DUQ69" s="13"/>
      <c r="DUR69" s="13"/>
      <c r="DUS69" s="13"/>
      <c r="DUT69" s="13"/>
      <c r="DUU69" s="13"/>
      <c r="DUV69" s="13"/>
      <c r="DUW69" s="13"/>
      <c r="DUX69" s="13"/>
      <c r="DUY69" s="13"/>
      <c r="DUZ69" s="13"/>
      <c r="DVA69" s="13"/>
      <c r="DVB69" s="13"/>
      <c r="DVC69" s="13"/>
      <c r="DVD69" s="13"/>
      <c r="DVE69" s="13"/>
      <c r="DVF69" s="13"/>
      <c r="DVG69" s="13"/>
      <c r="DVH69" s="13"/>
      <c r="DVI69" s="13"/>
      <c r="DVJ69" s="13"/>
      <c r="DVK69" s="13"/>
      <c r="DVL69" s="13"/>
      <c r="DVM69" s="13"/>
      <c r="DVN69" s="13"/>
      <c r="DVO69" s="13"/>
      <c r="DVP69" s="13"/>
      <c r="DVQ69" s="13"/>
      <c r="DVR69" s="13"/>
      <c r="DVS69" s="13"/>
      <c r="DVT69" s="13"/>
      <c r="DVU69" s="13"/>
      <c r="DVV69" s="13"/>
      <c r="DVW69" s="13"/>
      <c r="DVX69" s="13"/>
      <c r="DVY69" s="13"/>
      <c r="DVZ69" s="13"/>
      <c r="DWA69" s="13"/>
      <c r="DWB69" s="13"/>
      <c r="DWC69" s="13"/>
      <c r="DWD69" s="13"/>
      <c r="DWE69" s="13"/>
      <c r="DWF69" s="13"/>
      <c r="DWG69" s="13"/>
      <c r="DWH69" s="13"/>
      <c r="DWI69" s="13"/>
      <c r="DWJ69" s="13"/>
      <c r="DWK69" s="13"/>
      <c r="DWL69" s="13"/>
      <c r="DWM69" s="13"/>
      <c r="DWN69" s="13"/>
      <c r="DWO69" s="13"/>
      <c r="DWP69" s="13"/>
      <c r="DWQ69" s="13"/>
      <c r="DWR69" s="13"/>
      <c r="DWS69" s="13"/>
      <c r="DWT69" s="13"/>
      <c r="DWU69" s="13"/>
      <c r="DWV69" s="13"/>
      <c r="DWW69" s="13"/>
      <c r="DWX69" s="13"/>
      <c r="DWY69" s="13"/>
      <c r="DWZ69" s="13"/>
      <c r="DXA69" s="13"/>
      <c r="DXB69" s="13"/>
      <c r="DXC69" s="13"/>
      <c r="DXD69" s="13"/>
      <c r="DXE69" s="13"/>
      <c r="DXF69" s="13"/>
      <c r="DXG69" s="13"/>
      <c r="DXH69" s="13"/>
      <c r="DXI69" s="13"/>
      <c r="DXJ69" s="13"/>
      <c r="DXK69" s="13"/>
      <c r="DXL69" s="13"/>
      <c r="DXM69" s="13"/>
      <c r="DXN69" s="13"/>
      <c r="DXO69" s="13"/>
      <c r="DXP69" s="13"/>
      <c r="DXQ69" s="13"/>
      <c r="DXR69" s="13"/>
      <c r="DXS69" s="13"/>
      <c r="DXT69" s="13"/>
      <c r="DXU69" s="13"/>
      <c r="DXV69" s="13"/>
      <c r="DXW69" s="13"/>
      <c r="DXX69" s="13"/>
      <c r="DXY69" s="13"/>
      <c r="DXZ69" s="13"/>
      <c r="DYA69" s="13"/>
      <c r="DYB69" s="13"/>
      <c r="DYC69" s="13"/>
      <c r="DYD69" s="13"/>
      <c r="DYE69" s="13"/>
      <c r="DYF69" s="13"/>
      <c r="DYG69" s="13"/>
      <c r="DYH69" s="13"/>
      <c r="DYI69" s="13"/>
      <c r="DYJ69" s="13"/>
      <c r="DYK69" s="13"/>
      <c r="DYL69" s="13"/>
      <c r="DYM69" s="13"/>
      <c r="DYN69" s="13"/>
      <c r="DYO69" s="13"/>
      <c r="DYP69" s="13"/>
      <c r="DYQ69" s="13"/>
      <c r="DYR69" s="13"/>
      <c r="DYS69" s="13"/>
      <c r="DYT69" s="13"/>
      <c r="DYU69" s="13"/>
      <c r="DYV69" s="13"/>
      <c r="DYW69" s="13"/>
      <c r="DYX69" s="13"/>
      <c r="DYY69" s="13"/>
      <c r="DYZ69" s="13"/>
      <c r="DZA69" s="13"/>
      <c r="DZB69" s="13"/>
      <c r="DZC69" s="13"/>
      <c r="DZD69" s="13"/>
      <c r="DZE69" s="13"/>
      <c r="DZF69" s="13"/>
      <c r="DZG69" s="13"/>
      <c r="DZH69" s="13"/>
      <c r="DZI69" s="13"/>
      <c r="DZJ69" s="13"/>
      <c r="DZK69" s="13"/>
      <c r="DZL69" s="13"/>
      <c r="DZM69" s="13"/>
      <c r="DZN69" s="13"/>
      <c r="DZO69" s="13"/>
      <c r="DZP69" s="13"/>
      <c r="DZQ69" s="13"/>
      <c r="DZR69" s="13"/>
      <c r="DZS69" s="13"/>
      <c r="DZT69" s="13"/>
      <c r="DZU69" s="13"/>
      <c r="DZV69" s="13"/>
      <c r="DZW69" s="13"/>
      <c r="DZX69" s="13"/>
      <c r="DZY69" s="13"/>
      <c r="DZZ69" s="13"/>
      <c r="EAA69" s="13"/>
      <c r="EAB69" s="13"/>
      <c r="EAC69" s="13"/>
      <c r="EAD69" s="13"/>
      <c r="EAE69" s="13"/>
      <c r="EAF69" s="13"/>
      <c r="EAG69" s="13"/>
      <c r="EAH69" s="13"/>
      <c r="EAI69" s="13"/>
      <c r="EAJ69" s="13"/>
      <c r="EAK69" s="13"/>
      <c r="EAL69" s="13"/>
      <c r="EAM69" s="13"/>
      <c r="EAN69" s="13"/>
      <c r="EAO69" s="13"/>
      <c r="EAP69" s="13"/>
      <c r="EAQ69" s="13"/>
      <c r="EAR69" s="13"/>
      <c r="EAS69" s="13"/>
      <c r="EAT69" s="13"/>
      <c r="EAU69" s="13"/>
      <c r="EAV69" s="13"/>
      <c r="EAW69" s="13"/>
      <c r="EAX69" s="13"/>
      <c r="EAY69" s="13"/>
      <c r="EAZ69" s="13"/>
      <c r="EBA69" s="13"/>
      <c r="EBB69" s="13"/>
      <c r="EBC69" s="13"/>
      <c r="EBD69" s="13"/>
      <c r="EBE69" s="13"/>
      <c r="EBF69" s="13"/>
      <c r="EBG69" s="13"/>
      <c r="EBH69" s="13"/>
      <c r="EBI69" s="13"/>
      <c r="EBJ69" s="13"/>
      <c r="EBK69" s="13"/>
      <c r="EBL69" s="13"/>
      <c r="EBM69" s="13"/>
      <c r="EBN69" s="13"/>
      <c r="EBO69" s="13"/>
      <c r="EBP69" s="13"/>
      <c r="EBQ69" s="13"/>
      <c r="EBR69" s="13"/>
      <c r="EBS69" s="13"/>
      <c r="EBT69" s="13"/>
      <c r="EBU69" s="13"/>
      <c r="EBV69" s="13"/>
      <c r="EBW69" s="13"/>
      <c r="EBX69" s="13"/>
      <c r="EBY69" s="13"/>
      <c r="EBZ69" s="13"/>
      <c r="ECA69" s="13"/>
      <c r="ECB69" s="13"/>
      <c r="ECC69" s="13"/>
      <c r="ECD69" s="13"/>
      <c r="ECE69" s="13"/>
      <c r="ECF69" s="13"/>
      <c r="ECG69" s="13"/>
      <c r="ECH69" s="13"/>
      <c r="ECI69" s="13"/>
      <c r="ECJ69" s="13"/>
      <c r="ECK69" s="13"/>
      <c r="ECL69" s="13"/>
      <c r="ECM69" s="13"/>
      <c r="ECN69" s="13"/>
      <c r="ECO69" s="13"/>
      <c r="ECP69" s="13"/>
      <c r="ECQ69" s="13"/>
      <c r="ECR69" s="13"/>
      <c r="ECS69" s="13"/>
      <c r="ECT69" s="13"/>
      <c r="ECU69" s="13"/>
      <c r="ECV69" s="13"/>
      <c r="ECW69" s="13"/>
      <c r="ECX69" s="13"/>
      <c r="ECY69" s="13"/>
      <c r="ECZ69" s="13"/>
      <c r="EDA69" s="13"/>
      <c r="EDB69" s="13"/>
      <c r="EDC69" s="13"/>
      <c r="EDD69" s="13"/>
      <c r="EDE69" s="13"/>
      <c r="EDF69" s="13"/>
      <c r="EDG69" s="13"/>
      <c r="EDH69" s="13"/>
      <c r="EDI69" s="13"/>
      <c r="EDJ69" s="13"/>
      <c r="EDK69" s="13"/>
      <c r="EDL69" s="13"/>
      <c r="EDM69" s="13"/>
      <c r="EDN69" s="13"/>
      <c r="EDO69" s="13"/>
      <c r="EDP69" s="13"/>
      <c r="EDQ69" s="13"/>
      <c r="EDR69" s="13"/>
      <c r="EDS69" s="13"/>
      <c r="EDT69" s="13"/>
      <c r="EDU69" s="13"/>
      <c r="EDV69" s="13"/>
      <c r="EDW69" s="13"/>
      <c r="EDX69" s="13"/>
      <c r="EDY69" s="13"/>
      <c r="EDZ69" s="13"/>
      <c r="EEA69" s="13"/>
      <c r="EEB69" s="13"/>
      <c r="EEC69" s="13"/>
      <c r="EED69" s="13"/>
      <c r="EEE69" s="13"/>
      <c r="EEF69" s="13"/>
      <c r="EEG69" s="13"/>
      <c r="EEH69" s="13"/>
      <c r="EEI69" s="13"/>
      <c r="EEJ69" s="13"/>
      <c r="EEK69" s="13"/>
      <c r="EEL69" s="13"/>
      <c r="EEM69" s="13"/>
      <c r="EEN69" s="13"/>
      <c r="EEO69" s="13"/>
      <c r="EEP69" s="13"/>
      <c r="EEQ69" s="13"/>
      <c r="EER69" s="13"/>
      <c r="EES69" s="13"/>
      <c r="EET69" s="13"/>
      <c r="EEU69" s="13"/>
      <c r="EEV69" s="13"/>
      <c r="EEW69" s="13"/>
      <c r="EEX69" s="13"/>
      <c r="EEY69" s="13"/>
      <c r="EEZ69" s="13"/>
      <c r="EFA69" s="13"/>
      <c r="EFB69" s="13"/>
      <c r="EFC69" s="13"/>
      <c r="EFD69" s="13"/>
      <c r="EFE69" s="13"/>
      <c r="EFF69" s="13"/>
      <c r="EFG69" s="13"/>
      <c r="EFH69" s="13"/>
      <c r="EFI69" s="13"/>
      <c r="EFJ69" s="13"/>
      <c r="EFK69" s="13"/>
      <c r="EFL69" s="13"/>
      <c r="EFM69" s="13"/>
      <c r="EFN69" s="13"/>
      <c r="EFO69" s="13"/>
      <c r="EFP69" s="13"/>
      <c r="EFQ69" s="13"/>
      <c r="EFR69" s="13"/>
      <c r="EFS69" s="13"/>
      <c r="EFT69" s="13"/>
      <c r="EFU69" s="13"/>
      <c r="EFV69" s="13"/>
      <c r="EFW69" s="13"/>
      <c r="EFX69" s="13"/>
      <c r="EFY69" s="13"/>
      <c r="EFZ69" s="13"/>
      <c r="EGA69" s="13"/>
      <c r="EGB69" s="13"/>
      <c r="EGC69" s="13"/>
      <c r="EGD69" s="13"/>
      <c r="EGE69" s="13"/>
      <c r="EGF69" s="13"/>
      <c r="EGG69" s="13"/>
      <c r="EGH69" s="13"/>
      <c r="EGI69" s="13"/>
      <c r="EGJ69" s="13"/>
      <c r="EGK69" s="13"/>
      <c r="EGL69" s="13"/>
      <c r="EGM69" s="13"/>
      <c r="EGN69" s="13"/>
      <c r="EGO69" s="13"/>
      <c r="EGP69" s="13"/>
      <c r="EGQ69" s="13"/>
      <c r="EGR69" s="13"/>
      <c r="EGS69" s="13"/>
      <c r="EGT69" s="13"/>
      <c r="EGU69" s="13"/>
      <c r="EGV69" s="13"/>
      <c r="EGW69" s="13"/>
      <c r="EGX69" s="13"/>
      <c r="EGY69" s="13"/>
      <c r="EGZ69" s="13"/>
      <c r="EHA69" s="13"/>
      <c r="EHB69" s="13"/>
      <c r="EHC69" s="13"/>
      <c r="EHD69" s="13"/>
      <c r="EHE69" s="13"/>
      <c r="EHF69" s="13"/>
      <c r="EHG69" s="13"/>
      <c r="EHH69" s="13"/>
      <c r="EHI69" s="13"/>
      <c r="EHJ69" s="13"/>
      <c r="EHK69" s="13"/>
      <c r="EHL69" s="13"/>
      <c r="EHM69" s="13"/>
      <c r="EHN69" s="13"/>
      <c r="EHO69" s="13"/>
      <c r="EHP69" s="13"/>
      <c r="EHQ69" s="13"/>
      <c r="EHR69" s="13"/>
      <c r="EHS69" s="13"/>
      <c r="EHT69" s="13"/>
      <c r="EHU69" s="13"/>
      <c r="EHV69" s="13"/>
      <c r="EHW69" s="13"/>
      <c r="EHX69" s="13"/>
      <c r="EHY69" s="13"/>
      <c r="EHZ69" s="13"/>
      <c r="EIA69" s="13"/>
      <c r="EIB69" s="13"/>
      <c r="EIC69" s="13"/>
      <c r="EID69" s="13"/>
      <c r="EIE69" s="13"/>
      <c r="EIF69" s="13"/>
      <c r="EIG69" s="13"/>
      <c r="EIH69" s="13"/>
      <c r="EII69" s="13"/>
      <c r="EIJ69" s="13"/>
      <c r="EIK69" s="13"/>
      <c r="EIL69" s="13"/>
      <c r="EIM69" s="13"/>
      <c r="EIN69" s="13"/>
      <c r="EIO69" s="13"/>
      <c r="EIP69" s="13"/>
      <c r="EIQ69" s="13"/>
      <c r="EIR69" s="13"/>
      <c r="EIS69" s="13"/>
      <c r="EIT69" s="13"/>
      <c r="EIU69" s="13"/>
      <c r="EIV69" s="13"/>
      <c r="EIW69" s="13"/>
      <c r="EIX69" s="13"/>
      <c r="EIY69" s="13"/>
      <c r="EIZ69" s="13"/>
      <c r="EJA69" s="13"/>
      <c r="EJB69" s="13"/>
      <c r="EJC69" s="13"/>
      <c r="EJD69" s="13"/>
      <c r="EJE69" s="13"/>
      <c r="EJF69" s="13"/>
      <c r="EJG69" s="13"/>
      <c r="EJH69" s="13"/>
      <c r="EJI69" s="13"/>
      <c r="EJJ69" s="13"/>
      <c r="EJK69" s="13"/>
      <c r="EJL69" s="13"/>
      <c r="EJM69" s="13"/>
      <c r="EJN69" s="13"/>
      <c r="EJO69" s="13"/>
      <c r="EJP69" s="13"/>
      <c r="EJQ69" s="13"/>
      <c r="EJR69" s="13"/>
      <c r="EJS69" s="13"/>
      <c r="EJT69" s="13"/>
      <c r="EJU69" s="13"/>
      <c r="EJV69" s="13"/>
      <c r="EJW69" s="13"/>
      <c r="EJX69" s="13"/>
      <c r="EJY69" s="13"/>
      <c r="EJZ69" s="13"/>
      <c r="EKA69" s="13"/>
      <c r="EKB69" s="13"/>
      <c r="EKC69" s="13"/>
      <c r="EKD69" s="13"/>
      <c r="EKE69" s="13"/>
      <c r="EKF69" s="13"/>
      <c r="EKG69" s="13"/>
      <c r="EKH69" s="13"/>
      <c r="EKI69" s="13"/>
      <c r="EKJ69" s="13"/>
      <c r="EKK69" s="13"/>
      <c r="EKL69" s="13"/>
      <c r="EKM69" s="13"/>
      <c r="EKN69" s="13"/>
      <c r="EKO69" s="13"/>
      <c r="EKP69" s="13"/>
      <c r="EKQ69" s="13"/>
      <c r="EKR69" s="13"/>
      <c r="EKS69" s="13"/>
      <c r="EKT69" s="13"/>
      <c r="EKU69" s="13"/>
      <c r="EKV69" s="13"/>
      <c r="EKW69" s="13"/>
      <c r="EKX69" s="13"/>
      <c r="EKY69" s="13"/>
      <c r="EKZ69" s="13"/>
      <c r="ELA69" s="13"/>
      <c r="ELB69" s="13"/>
      <c r="ELC69" s="13"/>
      <c r="ELD69" s="13"/>
      <c r="ELE69" s="13"/>
      <c r="ELF69" s="13"/>
      <c r="ELG69" s="13"/>
      <c r="ELH69" s="13"/>
      <c r="ELI69" s="13"/>
      <c r="ELJ69" s="13"/>
      <c r="ELK69" s="13"/>
      <c r="ELL69" s="13"/>
      <c r="ELM69" s="13"/>
      <c r="ELN69" s="13"/>
      <c r="ELO69" s="13"/>
      <c r="ELP69" s="13"/>
      <c r="ELQ69" s="13"/>
      <c r="ELR69" s="13"/>
      <c r="ELS69" s="13"/>
      <c r="ELT69" s="13"/>
      <c r="ELU69" s="13"/>
      <c r="ELV69" s="13"/>
      <c r="ELW69" s="13"/>
      <c r="ELX69" s="13"/>
      <c r="ELY69" s="13"/>
      <c r="ELZ69" s="13"/>
      <c r="EMA69" s="13"/>
      <c r="EMB69" s="13"/>
      <c r="EMC69" s="13"/>
      <c r="EMD69" s="13"/>
      <c r="EME69" s="13"/>
      <c r="EMF69" s="13"/>
      <c r="EMG69" s="13"/>
      <c r="EMH69" s="13"/>
      <c r="EMI69" s="13"/>
      <c r="EMJ69" s="13"/>
      <c r="EMK69" s="13"/>
      <c r="EML69" s="13"/>
      <c r="EMM69" s="13"/>
      <c r="EMN69" s="13"/>
      <c r="EMO69" s="13"/>
      <c r="EMP69" s="13"/>
      <c r="EMQ69" s="13"/>
      <c r="EMR69" s="13"/>
      <c r="EMS69" s="13"/>
      <c r="EMT69" s="13"/>
      <c r="EMU69" s="13"/>
      <c r="EMV69" s="13"/>
      <c r="EMW69" s="13"/>
      <c r="EMX69" s="13"/>
      <c r="EMY69" s="13"/>
      <c r="EMZ69" s="13"/>
      <c r="ENA69" s="13"/>
      <c r="ENB69" s="13"/>
      <c r="ENC69" s="13"/>
      <c r="END69" s="13"/>
      <c r="ENE69" s="13"/>
      <c r="ENF69" s="13"/>
      <c r="ENG69" s="13"/>
      <c r="ENH69" s="13"/>
      <c r="ENI69" s="13"/>
      <c r="ENJ69" s="13"/>
      <c r="ENK69" s="13"/>
      <c r="ENL69" s="13"/>
      <c r="ENM69" s="13"/>
      <c r="ENN69" s="13"/>
      <c r="ENO69" s="13"/>
      <c r="ENP69" s="13"/>
      <c r="ENQ69" s="13"/>
      <c r="ENR69" s="13"/>
      <c r="ENS69" s="13"/>
      <c r="ENT69" s="13"/>
      <c r="ENU69" s="13"/>
      <c r="ENV69" s="13"/>
      <c r="ENW69" s="13"/>
      <c r="ENX69" s="13"/>
      <c r="ENY69" s="13"/>
      <c r="ENZ69" s="13"/>
      <c r="EOA69" s="13"/>
      <c r="EOB69" s="13"/>
      <c r="EOC69" s="13"/>
      <c r="EOD69" s="13"/>
      <c r="EOE69" s="13"/>
      <c r="EOF69" s="13"/>
      <c r="EOG69" s="13"/>
      <c r="EOH69" s="13"/>
      <c r="EOI69" s="13"/>
      <c r="EOJ69" s="13"/>
      <c r="EOK69" s="13"/>
      <c r="EOL69" s="13"/>
      <c r="EOM69" s="13"/>
      <c r="EON69" s="13"/>
      <c r="EOO69" s="13"/>
      <c r="EOP69" s="13"/>
      <c r="EOQ69" s="13"/>
      <c r="EOR69" s="13"/>
      <c r="EOS69" s="13"/>
      <c r="EOT69" s="13"/>
      <c r="EOU69" s="13"/>
      <c r="EOV69" s="13"/>
      <c r="EOW69" s="13"/>
      <c r="EOX69" s="13"/>
      <c r="EOY69" s="13"/>
      <c r="EOZ69" s="13"/>
      <c r="EPA69" s="13"/>
      <c r="EPB69" s="13"/>
      <c r="EPC69" s="13"/>
      <c r="EPD69" s="13"/>
      <c r="EPE69" s="13"/>
      <c r="EPF69" s="13"/>
      <c r="EPG69" s="13"/>
      <c r="EPH69" s="13"/>
      <c r="EPI69" s="13"/>
      <c r="EPJ69" s="13"/>
      <c r="EPK69" s="13"/>
      <c r="EPL69" s="13"/>
      <c r="EPM69" s="13"/>
      <c r="EPN69" s="13"/>
      <c r="EPO69" s="13"/>
      <c r="EPP69" s="13"/>
      <c r="EPQ69" s="13"/>
      <c r="EPR69" s="13"/>
      <c r="EPS69" s="13"/>
      <c r="EPT69" s="13"/>
      <c r="EPU69" s="13"/>
      <c r="EPV69" s="13"/>
      <c r="EPW69" s="13"/>
      <c r="EPX69" s="13"/>
      <c r="EPY69" s="13"/>
      <c r="EPZ69" s="13"/>
      <c r="EQA69" s="13"/>
      <c r="EQB69" s="13"/>
      <c r="EQC69" s="13"/>
      <c r="EQD69" s="13"/>
      <c r="EQE69" s="13"/>
      <c r="EQF69" s="13"/>
      <c r="EQG69" s="13"/>
      <c r="EQH69" s="13"/>
      <c r="EQI69" s="13"/>
      <c r="EQJ69" s="13"/>
      <c r="EQK69" s="13"/>
      <c r="EQL69" s="13"/>
      <c r="EQM69" s="13"/>
      <c r="EQN69" s="13"/>
      <c r="EQO69" s="13"/>
      <c r="EQP69" s="13"/>
      <c r="EQQ69" s="13"/>
      <c r="EQR69" s="13"/>
      <c r="EQS69" s="13"/>
      <c r="EQT69" s="13"/>
      <c r="EQU69" s="13"/>
      <c r="EQV69" s="13"/>
      <c r="EQW69" s="13"/>
      <c r="EQX69" s="13"/>
      <c r="EQY69" s="13"/>
      <c r="EQZ69" s="13"/>
      <c r="ERA69" s="13"/>
      <c r="ERB69" s="13"/>
      <c r="ERC69" s="13"/>
      <c r="ERD69" s="13"/>
      <c r="ERE69" s="13"/>
      <c r="ERF69" s="13"/>
      <c r="ERG69" s="13"/>
      <c r="ERH69" s="13"/>
      <c r="ERI69" s="13"/>
      <c r="ERJ69" s="13"/>
      <c r="ERK69" s="13"/>
      <c r="ERL69" s="13"/>
      <c r="ERM69" s="13"/>
      <c r="ERN69" s="13"/>
      <c r="ERO69" s="13"/>
      <c r="ERP69" s="13"/>
      <c r="ERQ69" s="13"/>
      <c r="ERR69" s="13"/>
      <c r="ERS69" s="13"/>
      <c r="ERT69" s="13"/>
      <c r="ERU69" s="13"/>
      <c r="ERV69" s="13"/>
      <c r="ERW69" s="13"/>
      <c r="ERX69" s="13"/>
      <c r="ERY69" s="13"/>
      <c r="ERZ69" s="13"/>
      <c r="ESA69" s="13"/>
      <c r="ESB69" s="13"/>
      <c r="ESC69" s="13"/>
      <c r="ESD69" s="13"/>
      <c r="ESE69" s="13"/>
      <c r="ESF69" s="13"/>
      <c r="ESG69" s="13"/>
      <c r="ESH69" s="13"/>
      <c r="ESI69" s="13"/>
      <c r="ESJ69" s="13"/>
      <c r="ESK69" s="13"/>
      <c r="ESL69" s="13"/>
      <c r="ESM69" s="13"/>
      <c r="ESN69" s="13"/>
      <c r="ESO69" s="13"/>
      <c r="ESP69" s="13"/>
      <c r="ESQ69" s="13"/>
      <c r="ESR69" s="13"/>
      <c r="ESS69" s="13"/>
      <c r="EST69" s="13"/>
      <c r="ESU69" s="13"/>
      <c r="ESV69" s="13"/>
      <c r="ESW69" s="13"/>
      <c r="ESX69" s="13"/>
      <c r="ESY69" s="13"/>
      <c r="ESZ69" s="13"/>
      <c r="ETA69" s="13"/>
      <c r="ETB69" s="13"/>
      <c r="ETC69" s="13"/>
      <c r="ETD69" s="13"/>
      <c r="ETE69" s="13"/>
      <c r="ETF69" s="13"/>
      <c r="ETG69" s="13"/>
      <c r="ETH69" s="13"/>
      <c r="ETI69" s="13"/>
      <c r="ETJ69" s="13"/>
      <c r="ETK69" s="13"/>
      <c r="ETL69" s="13"/>
      <c r="ETM69" s="13"/>
      <c r="ETN69" s="13"/>
      <c r="ETO69" s="13"/>
      <c r="ETP69" s="13"/>
      <c r="ETQ69" s="13"/>
      <c r="ETR69" s="13"/>
      <c r="ETS69" s="13"/>
      <c r="ETT69" s="13"/>
      <c r="ETU69" s="13"/>
      <c r="ETV69" s="13"/>
      <c r="ETW69" s="13"/>
      <c r="ETX69" s="13"/>
      <c r="ETY69" s="13"/>
      <c r="ETZ69" s="13"/>
      <c r="EUA69" s="13"/>
      <c r="EUB69" s="13"/>
      <c r="EUC69" s="13"/>
      <c r="EUD69" s="13"/>
      <c r="EUE69" s="13"/>
      <c r="EUF69" s="13"/>
      <c r="EUG69" s="13"/>
      <c r="EUH69" s="13"/>
      <c r="EUI69" s="13"/>
      <c r="EUJ69" s="13"/>
      <c r="EUK69" s="13"/>
      <c r="EUL69" s="13"/>
      <c r="EUM69" s="13"/>
      <c r="EUN69" s="13"/>
      <c r="EUO69" s="13"/>
      <c r="EUP69" s="13"/>
      <c r="EUQ69" s="13"/>
      <c r="EUR69" s="13"/>
      <c r="EUS69" s="13"/>
      <c r="EUT69" s="13"/>
      <c r="EUU69" s="13"/>
      <c r="EUV69" s="13"/>
      <c r="EUW69" s="13"/>
      <c r="EUX69" s="13"/>
      <c r="EUY69" s="13"/>
      <c r="EUZ69" s="13"/>
      <c r="EVA69" s="13"/>
      <c r="EVB69" s="13"/>
      <c r="EVC69" s="13"/>
      <c r="EVD69" s="13"/>
      <c r="EVE69" s="13"/>
      <c r="EVF69" s="13"/>
      <c r="EVG69" s="13"/>
      <c r="EVH69" s="13"/>
      <c r="EVI69" s="13"/>
      <c r="EVJ69" s="13"/>
      <c r="EVK69" s="13"/>
      <c r="EVL69" s="13"/>
      <c r="EVM69" s="13"/>
      <c r="EVN69" s="13"/>
      <c r="EVO69" s="13"/>
      <c r="EVP69" s="13"/>
      <c r="EVQ69" s="13"/>
      <c r="EVR69" s="13"/>
      <c r="EVS69" s="13"/>
      <c r="EVT69" s="13"/>
      <c r="EVU69" s="13"/>
      <c r="EVV69" s="13"/>
      <c r="EVW69" s="13"/>
      <c r="EVX69" s="13"/>
      <c r="EVY69" s="13"/>
      <c r="EVZ69" s="13"/>
      <c r="EWA69" s="13"/>
      <c r="EWB69" s="13"/>
      <c r="EWC69" s="13"/>
      <c r="EWD69" s="13"/>
      <c r="EWE69" s="13"/>
      <c r="EWF69" s="13"/>
      <c r="EWG69" s="13"/>
      <c r="EWH69" s="13"/>
      <c r="EWI69" s="13"/>
      <c r="EWJ69" s="13"/>
      <c r="EWK69" s="13"/>
      <c r="EWL69" s="13"/>
      <c r="EWM69" s="13"/>
      <c r="EWN69" s="13"/>
      <c r="EWO69" s="13"/>
      <c r="EWP69" s="13"/>
      <c r="EWQ69" s="13"/>
      <c r="EWR69" s="13"/>
      <c r="EWS69" s="13"/>
      <c r="EWT69" s="13"/>
      <c r="EWU69" s="13"/>
      <c r="EWV69" s="13"/>
      <c r="EWW69" s="13"/>
      <c r="EWX69" s="13"/>
      <c r="EWY69" s="13"/>
      <c r="EWZ69" s="13"/>
      <c r="EXA69" s="13"/>
      <c r="EXB69" s="13"/>
      <c r="EXC69" s="13"/>
      <c r="EXD69" s="13"/>
      <c r="EXE69" s="13"/>
      <c r="EXF69" s="13"/>
      <c r="EXG69" s="13"/>
      <c r="EXH69" s="13"/>
      <c r="EXI69" s="13"/>
      <c r="EXJ69" s="13"/>
      <c r="EXK69" s="13"/>
      <c r="EXL69" s="13"/>
      <c r="EXM69" s="13"/>
      <c r="EXN69" s="13"/>
      <c r="EXO69" s="13"/>
      <c r="EXP69" s="13"/>
      <c r="EXQ69" s="13"/>
      <c r="EXR69" s="13"/>
      <c r="EXS69" s="13"/>
      <c r="EXT69" s="13"/>
      <c r="EXU69" s="13"/>
      <c r="EXV69" s="13"/>
      <c r="EXW69" s="13"/>
      <c r="EXX69" s="13"/>
      <c r="EXY69" s="13"/>
      <c r="EXZ69" s="13"/>
      <c r="EYA69" s="13"/>
      <c r="EYB69" s="13"/>
      <c r="EYC69" s="13"/>
      <c r="EYD69" s="13"/>
      <c r="EYE69" s="13"/>
      <c r="EYF69" s="13"/>
      <c r="EYG69" s="13"/>
      <c r="EYH69" s="13"/>
      <c r="EYI69" s="13"/>
      <c r="EYJ69" s="13"/>
      <c r="EYK69" s="13"/>
      <c r="EYL69" s="13"/>
      <c r="EYM69" s="13"/>
      <c r="EYN69" s="13"/>
      <c r="EYO69" s="13"/>
      <c r="EYP69" s="13"/>
      <c r="EYQ69" s="13"/>
      <c r="EYR69" s="13"/>
      <c r="EYS69" s="13"/>
      <c r="EYT69" s="13"/>
      <c r="EYU69" s="13"/>
      <c r="EYV69" s="13"/>
      <c r="EYW69" s="13"/>
      <c r="EYX69" s="13"/>
      <c r="EYY69" s="13"/>
      <c r="EYZ69" s="13"/>
      <c r="EZA69" s="13"/>
      <c r="EZB69" s="13"/>
      <c r="EZC69" s="13"/>
      <c r="EZD69" s="13"/>
      <c r="EZE69" s="13"/>
      <c r="EZF69" s="13"/>
      <c r="EZG69" s="13"/>
      <c r="EZH69" s="13"/>
      <c r="EZI69" s="13"/>
      <c r="EZJ69" s="13"/>
      <c r="EZK69" s="13"/>
      <c r="EZL69" s="13"/>
      <c r="EZM69" s="13"/>
      <c r="EZN69" s="13"/>
      <c r="EZO69" s="13"/>
      <c r="EZP69" s="13"/>
      <c r="EZQ69" s="13"/>
      <c r="EZR69" s="13"/>
      <c r="EZS69" s="13"/>
      <c r="EZT69" s="13"/>
      <c r="EZU69" s="13"/>
      <c r="EZV69" s="13"/>
      <c r="EZW69" s="13"/>
      <c r="EZX69" s="13"/>
      <c r="EZY69" s="13"/>
      <c r="EZZ69" s="13"/>
      <c r="FAA69" s="13"/>
      <c r="FAB69" s="13"/>
      <c r="FAC69" s="13"/>
      <c r="FAD69" s="13"/>
      <c r="FAE69" s="13"/>
      <c r="FAF69" s="13"/>
      <c r="FAG69" s="13"/>
      <c r="FAH69" s="13"/>
      <c r="FAI69" s="13"/>
      <c r="FAJ69" s="13"/>
      <c r="FAK69" s="13"/>
      <c r="FAL69" s="13"/>
      <c r="FAM69" s="13"/>
      <c r="FAN69" s="13"/>
      <c r="FAO69" s="13"/>
      <c r="FAP69" s="13"/>
      <c r="FAQ69" s="13"/>
      <c r="FAR69" s="13"/>
      <c r="FAS69" s="13"/>
      <c r="FAT69" s="13"/>
      <c r="FAU69" s="13"/>
      <c r="FAV69" s="13"/>
      <c r="FAW69" s="13"/>
      <c r="FAX69" s="13"/>
      <c r="FAY69" s="13"/>
      <c r="FAZ69" s="13"/>
      <c r="FBA69" s="13"/>
      <c r="FBB69" s="13"/>
      <c r="FBC69" s="13"/>
      <c r="FBD69" s="13"/>
      <c r="FBE69" s="13"/>
      <c r="FBF69" s="13"/>
      <c r="FBG69" s="13"/>
      <c r="FBH69" s="13"/>
      <c r="FBI69" s="13"/>
      <c r="FBJ69" s="13"/>
      <c r="FBK69" s="13"/>
      <c r="FBL69" s="13"/>
      <c r="FBM69" s="13"/>
      <c r="FBN69" s="13"/>
      <c r="FBO69" s="13"/>
      <c r="FBP69" s="13"/>
      <c r="FBQ69" s="13"/>
      <c r="FBR69" s="13"/>
      <c r="FBS69" s="13"/>
      <c r="FBT69" s="13"/>
      <c r="FBU69" s="13"/>
      <c r="FBV69" s="13"/>
      <c r="FBW69" s="13"/>
      <c r="FBX69" s="13"/>
      <c r="FBY69" s="13"/>
      <c r="FBZ69" s="13"/>
      <c r="FCA69" s="13"/>
      <c r="FCB69" s="13"/>
      <c r="FCC69" s="13"/>
      <c r="FCD69" s="13"/>
      <c r="FCE69" s="13"/>
      <c r="FCF69" s="13"/>
      <c r="FCG69" s="13"/>
      <c r="FCH69" s="13"/>
      <c r="FCI69" s="13"/>
      <c r="FCJ69" s="13"/>
      <c r="FCK69" s="13"/>
      <c r="FCL69" s="13"/>
      <c r="FCM69" s="13"/>
      <c r="FCN69" s="13"/>
      <c r="FCO69" s="13"/>
      <c r="FCP69" s="13"/>
      <c r="FCQ69" s="13"/>
      <c r="FCR69" s="13"/>
      <c r="FCS69" s="13"/>
      <c r="FCT69" s="13"/>
      <c r="FCU69" s="13"/>
      <c r="FCV69" s="13"/>
      <c r="FCW69" s="13"/>
      <c r="FCX69" s="13"/>
      <c r="FCY69" s="13"/>
      <c r="FCZ69" s="13"/>
      <c r="FDA69" s="13"/>
      <c r="FDB69" s="13"/>
      <c r="FDC69" s="13"/>
      <c r="FDD69" s="13"/>
      <c r="FDE69" s="13"/>
      <c r="FDF69" s="13"/>
      <c r="FDG69" s="13"/>
      <c r="FDH69" s="13"/>
      <c r="FDI69" s="13"/>
      <c r="FDJ69" s="13"/>
      <c r="FDK69" s="13"/>
      <c r="FDL69" s="13"/>
      <c r="FDM69" s="13"/>
      <c r="FDN69" s="13"/>
      <c r="FDO69" s="13"/>
      <c r="FDP69" s="13"/>
      <c r="FDQ69" s="13"/>
      <c r="FDR69" s="13"/>
      <c r="FDS69" s="13"/>
      <c r="FDT69" s="13"/>
      <c r="FDU69" s="13"/>
      <c r="FDV69" s="13"/>
      <c r="FDW69" s="13"/>
      <c r="FDX69" s="13"/>
      <c r="FDY69" s="13"/>
      <c r="FDZ69" s="13"/>
      <c r="FEA69" s="13"/>
      <c r="FEB69" s="13"/>
      <c r="FEC69" s="13"/>
      <c r="FED69" s="13"/>
      <c r="FEE69" s="13"/>
      <c r="FEF69" s="13"/>
      <c r="FEG69" s="13"/>
      <c r="FEH69" s="13"/>
      <c r="FEI69" s="13"/>
      <c r="FEJ69" s="13"/>
      <c r="FEK69" s="13"/>
      <c r="FEL69" s="13"/>
      <c r="FEM69" s="13"/>
      <c r="FEN69" s="13"/>
      <c r="FEO69" s="13"/>
      <c r="FEP69" s="13"/>
      <c r="FEQ69" s="13"/>
      <c r="FER69" s="13"/>
      <c r="FES69" s="13"/>
      <c r="FET69" s="13"/>
      <c r="FEU69" s="13"/>
      <c r="FEV69" s="13"/>
      <c r="FEW69" s="13"/>
      <c r="FEX69" s="13"/>
      <c r="FEY69" s="13"/>
      <c r="FEZ69" s="13"/>
      <c r="FFA69" s="13"/>
      <c r="FFB69" s="13"/>
      <c r="FFC69" s="13"/>
      <c r="FFD69" s="13"/>
      <c r="FFE69" s="13"/>
      <c r="FFF69" s="13"/>
      <c r="FFG69" s="13"/>
      <c r="FFH69" s="13"/>
      <c r="FFI69" s="13"/>
      <c r="FFJ69" s="13"/>
      <c r="FFK69" s="13"/>
      <c r="FFL69" s="13"/>
      <c r="FFM69" s="13"/>
      <c r="FFN69" s="13"/>
      <c r="FFO69" s="13"/>
      <c r="FFP69" s="13"/>
      <c r="FFQ69" s="13"/>
      <c r="FFR69" s="13"/>
      <c r="FFS69" s="13"/>
      <c r="FFT69" s="13"/>
      <c r="FFU69" s="13"/>
      <c r="FFV69" s="13"/>
      <c r="FFW69" s="13"/>
      <c r="FFX69" s="13"/>
      <c r="FFY69" s="13"/>
      <c r="FFZ69" s="13"/>
      <c r="FGA69" s="13"/>
      <c r="FGB69" s="13"/>
      <c r="FGC69" s="13"/>
      <c r="FGD69" s="13"/>
      <c r="FGE69" s="13"/>
      <c r="FGF69" s="13"/>
      <c r="FGG69" s="13"/>
      <c r="FGH69" s="13"/>
      <c r="FGI69" s="13"/>
      <c r="FGJ69" s="13"/>
      <c r="FGK69" s="13"/>
      <c r="FGL69" s="13"/>
      <c r="FGM69" s="13"/>
      <c r="FGN69" s="13"/>
      <c r="FGO69" s="13"/>
      <c r="FGP69" s="13"/>
      <c r="FGQ69" s="13"/>
      <c r="FGR69" s="13"/>
      <c r="FGS69" s="13"/>
      <c r="FGT69" s="13"/>
      <c r="FGU69" s="13"/>
      <c r="FGV69" s="13"/>
      <c r="FGW69" s="13"/>
      <c r="FGX69" s="13"/>
      <c r="FGY69" s="13"/>
      <c r="FGZ69" s="13"/>
      <c r="FHA69" s="13"/>
      <c r="FHB69" s="13"/>
      <c r="FHC69" s="13"/>
      <c r="FHD69" s="13"/>
      <c r="FHE69" s="13"/>
      <c r="FHF69" s="13"/>
      <c r="FHG69" s="13"/>
      <c r="FHH69" s="13"/>
      <c r="FHI69" s="13"/>
      <c r="FHJ69" s="13"/>
      <c r="FHK69" s="13"/>
      <c r="FHL69" s="13"/>
      <c r="FHM69" s="13"/>
      <c r="FHN69" s="13"/>
      <c r="FHO69" s="13"/>
      <c r="FHP69" s="13"/>
      <c r="FHQ69" s="13"/>
      <c r="FHR69" s="13"/>
      <c r="FHS69" s="13"/>
      <c r="FHT69" s="13"/>
      <c r="FHU69" s="13"/>
      <c r="FHV69" s="13"/>
      <c r="FHW69" s="13"/>
      <c r="FHX69" s="13"/>
      <c r="FHY69" s="13"/>
      <c r="FHZ69" s="13"/>
      <c r="FIA69" s="13"/>
      <c r="FIB69" s="13"/>
      <c r="FIC69" s="13"/>
      <c r="FID69" s="13"/>
      <c r="FIE69" s="13"/>
      <c r="FIF69" s="13"/>
      <c r="FIG69" s="13"/>
      <c r="FIH69" s="13"/>
      <c r="FII69" s="13"/>
      <c r="FIJ69" s="13"/>
      <c r="FIK69" s="13"/>
      <c r="FIL69" s="13"/>
      <c r="FIM69" s="13"/>
      <c r="FIN69" s="13"/>
      <c r="FIO69" s="13"/>
      <c r="FIP69" s="13"/>
      <c r="FIQ69" s="13"/>
      <c r="FIR69" s="13"/>
      <c r="FIS69" s="13"/>
      <c r="FIT69" s="13"/>
      <c r="FIU69" s="13"/>
      <c r="FIV69" s="13"/>
      <c r="FIW69" s="13"/>
      <c r="FIX69" s="13"/>
      <c r="FIY69" s="13"/>
      <c r="FIZ69" s="13"/>
      <c r="FJA69" s="13"/>
      <c r="FJB69" s="13"/>
      <c r="FJC69" s="13"/>
      <c r="FJD69" s="13"/>
      <c r="FJE69" s="13"/>
      <c r="FJF69" s="13"/>
      <c r="FJG69" s="13"/>
      <c r="FJH69" s="13"/>
      <c r="FJI69" s="13"/>
      <c r="FJJ69" s="13"/>
      <c r="FJK69" s="13"/>
      <c r="FJL69" s="13"/>
      <c r="FJM69" s="13"/>
      <c r="FJN69" s="13"/>
      <c r="FJO69" s="13"/>
      <c r="FJP69" s="13"/>
      <c r="FJQ69" s="13"/>
      <c r="FJR69" s="13"/>
      <c r="FJS69" s="13"/>
      <c r="FJT69" s="13"/>
      <c r="FJU69" s="13"/>
      <c r="FJV69" s="13"/>
      <c r="FJW69" s="13"/>
      <c r="FJX69" s="13"/>
      <c r="FJY69" s="13"/>
      <c r="FJZ69" s="13"/>
      <c r="FKA69" s="13"/>
      <c r="FKB69" s="13"/>
      <c r="FKC69" s="13"/>
      <c r="FKD69" s="13"/>
      <c r="FKE69" s="13"/>
      <c r="FKF69" s="13"/>
      <c r="FKG69" s="13"/>
      <c r="FKH69" s="13"/>
      <c r="FKI69" s="13"/>
      <c r="FKJ69" s="13"/>
      <c r="FKK69" s="13"/>
      <c r="FKL69" s="13"/>
      <c r="FKM69" s="13"/>
      <c r="FKN69" s="13"/>
      <c r="FKO69" s="13"/>
      <c r="FKP69" s="13"/>
      <c r="FKQ69" s="13"/>
      <c r="FKR69" s="13"/>
      <c r="FKS69" s="13"/>
      <c r="FKT69" s="13"/>
      <c r="FKU69" s="13"/>
      <c r="FKV69" s="13"/>
      <c r="FKW69" s="13"/>
      <c r="FKX69" s="13"/>
      <c r="FKY69" s="13"/>
      <c r="FKZ69" s="13"/>
      <c r="FLA69" s="13"/>
      <c r="FLB69" s="13"/>
      <c r="FLC69" s="13"/>
      <c r="FLD69" s="13"/>
      <c r="FLE69" s="13"/>
      <c r="FLF69" s="13"/>
      <c r="FLG69" s="13"/>
      <c r="FLH69" s="13"/>
      <c r="FLI69" s="13"/>
      <c r="FLJ69" s="13"/>
      <c r="FLK69" s="13"/>
      <c r="FLL69" s="13"/>
      <c r="FLM69" s="13"/>
      <c r="FLN69" s="13"/>
      <c r="FLO69" s="13"/>
      <c r="FLP69" s="13"/>
      <c r="FLQ69" s="13"/>
      <c r="FLR69" s="13"/>
      <c r="FLS69" s="13"/>
      <c r="FLT69" s="13"/>
      <c r="FLU69" s="13"/>
      <c r="FLV69" s="13"/>
      <c r="FLW69" s="13"/>
      <c r="FLX69" s="13"/>
      <c r="FLY69" s="13"/>
      <c r="FLZ69" s="13"/>
      <c r="FMA69" s="13"/>
      <c r="FMB69" s="13"/>
      <c r="FMC69" s="13"/>
      <c r="FMD69" s="13"/>
      <c r="FME69" s="13"/>
      <c r="FMF69" s="13"/>
      <c r="FMG69" s="13"/>
      <c r="FMH69" s="13"/>
      <c r="FMI69" s="13"/>
      <c r="FMJ69" s="13"/>
      <c r="FMK69" s="13"/>
      <c r="FML69" s="13"/>
      <c r="FMM69" s="13"/>
      <c r="FMN69" s="13"/>
      <c r="FMO69" s="13"/>
      <c r="FMP69" s="13"/>
      <c r="FMQ69" s="13"/>
      <c r="FMR69" s="13"/>
      <c r="FMS69" s="13"/>
      <c r="FMT69" s="13"/>
      <c r="FMU69" s="13"/>
      <c r="FMV69" s="13"/>
      <c r="FMW69" s="13"/>
      <c r="FMX69" s="13"/>
      <c r="FMY69" s="13"/>
      <c r="FMZ69" s="13"/>
      <c r="FNA69" s="13"/>
      <c r="FNB69" s="13"/>
      <c r="FNC69" s="13"/>
      <c r="FND69" s="13"/>
      <c r="FNE69" s="13"/>
      <c r="FNF69" s="13"/>
      <c r="FNG69" s="13"/>
      <c r="FNH69" s="13"/>
      <c r="FNI69" s="13"/>
      <c r="FNJ69" s="13"/>
      <c r="FNK69" s="13"/>
      <c r="FNL69" s="13"/>
      <c r="FNM69" s="13"/>
      <c r="FNN69" s="13"/>
      <c r="FNO69" s="13"/>
      <c r="FNP69" s="13"/>
      <c r="FNQ69" s="13"/>
      <c r="FNR69" s="13"/>
      <c r="FNS69" s="13"/>
      <c r="FNT69" s="13"/>
      <c r="FNU69" s="13"/>
      <c r="FNV69" s="13"/>
      <c r="FNW69" s="13"/>
      <c r="FNX69" s="13"/>
      <c r="FNY69" s="13"/>
      <c r="FNZ69" s="13"/>
      <c r="FOA69" s="13"/>
      <c r="FOB69" s="13"/>
      <c r="FOC69" s="13"/>
      <c r="FOD69" s="13"/>
      <c r="FOE69" s="13"/>
      <c r="FOF69" s="13"/>
      <c r="FOG69" s="13"/>
      <c r="FOH69" s="13"/>
      <c r="FOI69" s="13"/>
      <c r="FOJ69" s="13"/>
      <c r="FOK69" s="13"/>
      <c r="FOL69" s="13"/>
      <c r="FOM69" s="13"/>
      <c r="FON69" s="13"/>
      <c r="FOO69" s="13"/>
      <c r="FOP69" s="13"/>
      <c r="FOQ69" s="13"/>
      <c r="FOR69" s="13"/>
      <c r="FOS69" s="13"/>
      <c r="FOT69" s="13"/>
      <c r="FOU69" s="13"/>
      <c r="FOV69" s="13"/>
      <c r="FOW69" s="13"/>
      <c r="FOX69" s="13"/>
      <c r="FOY69" s="13"/>
      <c r="FOZ69" s="13"/>
      <c r="FPA69" s="13"/>
      <c r="FPB69" s="13"/>
      <c r="FPC69" s="13"/>
      <c r="FPD69" s="13"/>
      <c r="FPE69" s="13"/>
      <c r="FPF69" s="13"/>
      <c r="FPG69" s="13"/>
      <c r="FPH69" s="13"/>
      <c r="FPI69" s="13"/>
      <c r="FPJ69" s="13"/>
      <c r="FPK69" s="13"/>
      <c r="FPL69" s="13"/>
      <c r="FPM69" s="13"/>
      <c r="FPN69" s="13"/>
      <c r="FPO69" s="13"/>
      <c r="FPP69" s="13"/>
      <c r="FPQ69" s="13"/>
      <c r="FPR69" s="13"/>
      <c r="FPS69" s="13"/>
      <c r="FPT69" s="13"/>
      <c r="FPU69" s="13"/>
      <c r="FPV69" s="13"/>
      <c r="FPW69" s="13"/>
      <c r="FPX69" s="13"/>
      <c r="FPY69" s="13"/>
      <c r="FPZ69" s="13"/>
      <c r="FQA69" s="13"/>
      <c r="FQB69" s="13"/>
      <c r="FQC69" s="13"/>
      <c r="FQD69" s="13"/>
      <c r="FQE69" s="13"/>
      <c r="FQF69" s="13"/>
      <c r="FQG69" s="13"/>
      <c r="FQH69" s="13"/>
      <c r="FQI69" s="13"/>
      <c r="FQJ69" s="13"/>
      <c r="FQK69" s="13"/>
      <c r="FQL69" s="13"/>
      <c r="FQM69" s="13"/>
      <c r="FQN69" s="13"/>
      <c r="FQO69" s="13"/>
      <c r="FQP69" s="13"/>
      <c r="FQQ69" s="13"/>
      <c r="FQR69" s="13"/>
      <c r="FQS69" s="13"/>
      <c r="FQT69" s="13"/>
      <c r="FQU69" s="13"/>
      <c r="FQV69" s="13"/>
      <c r="FQW69" s="13"/>
      <c r="FQX69" s="13"/>
      <c r="FQY69" s="13"/>
      <c r="FQZ69" s="13"/>
      <c r="FRA69" s="13"/>
      <c r="FRB69" s="13"/>
      <c r="FRC69" s="13"/>
      <c r="FRD69" s="13"/>
      <c r="FRE69" s="13"/>
      <c r="FRF69" s="13"/>
      <c r="FRG69" s="13"/>
      <c r="FRH69" s="13"/>
      <c r="FRI69" s="13"/>
      <c r="FRJ69" s="13"/>
      <c r="FRK69" s="13"/>
      <c r="FRL69" s="13"/>
      <c r="FRM69" s="13"/>
      <c r="FRN69" s="13"/>
      <c r="FRO69" s="13"/>
      <c r="FRP69" s="13"/>
      <c r="FRQ69" s="13"/>
      <c r="FRR69" s="13"/>
      <c r="FRS69" s="13"/>
      <c r="FRT69" s="13"/>
      <c r="FRU69" s="13"/>
      <c r="FRV69" s="13"/>
      <c r="FRW69" s="13"/>
      <c r="FRX69" s="13"/>
      <c r="FRY69" s="13"/>
      <c r="FRZ69" s="13"/>
      <c r="FSA69" s="13"/>
      <c r="FSB69" s="13"/>
      <c r="FSC69" s="13"/>
      <c r="FSD69" s="13"/>
      <c r="FSE69" s="13"/>
      <c r="FSF69" s="13"/>
      <c r="FSG69" s="13"/>
      <c r="FSH69" s="13"/>
      <c r="FSI69" s="13"/>
      <c r="FSJ69" s="13"/>
      <c r="FSK69" s="13"/>
      <c r="FSL69" s="13"/>
      <c r="FSM69" s="13"/>
      <c r="FSN69" s="13"/>
      <c r="FSO69" s="13"/>
      <c r="FSP69" s="13"/>
      <c r="FSQ69" s="13"/>
      <c r="FSR69" s="13"/>
      <c r="FSS69" s="13"/>
      <c r="FST69" s="13"/>
      <c r="FSU69" s="13"/>
      <c r="FSV69" s="13"/>
      <c r="FSW69" s="13"/>
      <c r="FSX69" s="13"/>
      <c r="FSY69" s="13"/>
      <c r="FSZ69" s="13"/>
      <c r="FTA69" s="13"/>
      <c r="FTB69" s="13"/>
      <c r="FTC69" s="13"/>
      <c r="FTD69" s="13"/>
      <c r="FTE69" s="13"/>
      <c r="FTF69" s="13"/>
      <c r="FTG69" s="13"/>
      <c r="FTH69" s="13"/>
      <c r="FTI69" s="13"/>
      <c r="FTJ69" s="13"/>
      <c r="FTK69" s="13"/>
      <c r="FTL69" s="13"/>
      <c r="FTM69" s="13"/>
      <c r="FTN69" s="13"/>
      <c r="FTO69" s="13"/>
      <c r="FTP69" s="13"/>
      <c r="FTQ69" s="13"/>
      <c r="FTR69" s="13"/>
      <c r="FTS69" s="13"/>
      <c r="FTT69" s="13"/>
      <c r="FTU69" s="13"/>
      <c r="FTV69" s="13"/>
      <c r="FTW69" s="13"/>
      <c r="FTX69" s="13"/>
      <c r="FTY69" s="13"/>
      <c r="FTZ69" s="13"/>
      <c r="FUA69" s="13"/>
      <c r="FUB69" s="13"/>
      <c r="FUC69" s="13"/>
      <c r="FUD69" s="13"/>
      <c r="FUE69" s="13"/>
      <c r="FUF69" s="13"/>
      <c r="FUG69" s="13"/>
      <c r="FUH69" s="13"/>
      <c r="FUI69" s="13"/>
      <c r="FUJ69" s="13"/>
      <c r="FUK69" s="13"/>
      <c r="FUL69" s="13"/>
      <c r="FUM69" s="13"/>
      <c r="FUN69" s="13"/>
      <c r="FUO69" s="13"/>
      <c r="FUP69" s="13"/>
      <c r="FUQ69" s="13"/>
      <c r="FUR69" s="13"/>
      <c r="FUS69" s="13"/>
      <c r="FUT69" s="13"/>
      <c r="FUU69" s="13"/>
      <c r="FUV69" s="13"/>
      <c r="FUW69" s="13"/>
      <c r="FUX69" s="13"/>
      <c r="FUY69" s="13"/>
      <c r="FUZ69" s="13"/>
      <c r="FVA69" s="13"/>
      <c r="FVB69" s="13"/>
      <c r="FVC69" s="13"/>
      <c r="FVD69" s="13"/>
      <c r="FVE69" s="13"/>
      <c r="FVF69" s="13"/>
      <c r="FVG69" s="13"/>
      <c r="FVH69" s="13"/>
      <c r="FVI69" s="13"/>
      <c r="FVJ69" s="13"/>
      <c r="FVK69" s="13"/>
      <c r="FVL69" s="13"/>
      <c r="FVM69" s="13"/>
      <c r="FVN69" s="13"/>
      <c r="FVO69" s="13"/>
      <c r="FVP69" s="13"/>
      <c r="FVQ69" s="13"/>
      <c r="FVR69" s="13"/>
      <c r="FVS69" s="13"/>
      <c r="FVT69" s="13"/>
      <c r="FVU69" s="13"/>
      <c r="FVV69" s="13"/>
      <c r="FVW69" s="13"/>
      <c r="FVX69" s="13"/>
      <c r="FVY69" s="13"/>
      <c r="FVZ69" s="13"/>
      <c r="FWA69" s="13"/>
      <c r="FWB69" s="13"/>
      <c r="FWC69" s="13"/>
      <c r="FWD69" s="13"/>
      <c r="FWE69" s="13"/>
      <c r="FWF69" s="13"/>
      <c r="FWG69" s="13"/>
      <c r="FWH69" s="13"/>
      <c r="FWI69" s="13"/>
      <c r="FWJ69" s="13"/>
      <c r="FWK69" s="13"/>
      <c r="FWL69" s="13"/>
      <c r="FWM69" s="13"/>
      <c r="FWN69" s="13"/>
      <c r="FWO69" s="13"/>
      <c r="FWP69" s="13"/>
      <c r="FWQ69" s="13"/>
      <c r="FWR69" s="13"/>
      <c r="FWS69" s="13"/>
      <c r="FWT69" s="13"/>
      <c r="FWU69" s="13"/>
      <c r="FWV69" s="13"/>
      <c r="FWW69" s="13"/>
      <c r="FWX69" s="13"/>
      <c r="FWY69" s="13"/>
      <c r="FWZ69" s="13"/>
      <c r="FXA69" s="13"/>
      <c r="FXB69" s="13"/>
      <c r="FXC69" s="13"/>
      <c r="FXD69" s="13"/>
      <c r="FXE69" s="13"/>
      <c r="FXF69" s="13"/>
      <c r="FXG69" s="13"/>
      <c r="FXH69" s="13"/>
      <c r="FXI69" s="13"/>
      <c r="FXJ69" s="13"/>
      <c r="FXK69" s="13"/>
      <c r="FXL69" s="13"/>
      <c r="FXM69" s="13"/>
      <c r="FXN69" s="13"/>
      <c r="FXO69" s="13"/>
      <c r="FXP69" s="13"/>
      <c r="FXQ69" s="13"/>
      <c r="FXR69" s="13"/>
      <c r="FXS69" s="13"/>
      <c r="FXT69" s="13"/>
      <c r="FXU69" s="13"/>
      <c r="FXV69" s="13"/>
      <c r="FXW69" s="13"/>
      <c r="FXX69" s="13"/>
      <c r="FXY69" s="13"/>
      <c r="FXZ69" s="13"/>
      <c r="FYA69" s="13"/>
      <c r="FYB69" s="13"/>
      <c r="FYC69" s="13"/>
      <c r="FYD69" s="13"/>
      <c r="FYE69" s="13"/>
      <c r="FYF69" s="13"/>
      <c r="FYG69" s="13"/>
      <c r="FYH69" s="13"/>
      <c r="FYI69" s="13"/>
      <c r="FYJ69" s="13"/>
      <c r="FYK69" s="13"/>
      <c r="FYL69" s="13"/>
      <c r="FYM69" s="13"/>
      <c r="FYN69" s="13"/>
      <c r="FYO69" s="13"/>
      <c r="FYP69" s="13"/>
      <c r="FYQ69" s="13"/>
      <c r="FYR69" s="13"/>
      <c r="FYS69" s="13"/>
      <c r="FYT69" s="13"/>
      <c r="FYU69" s="13"/>
      <c r="FYV69" s="13"/>
      <c r="FYW69" s="13"/>
      <c r="FYX69" s="13"/>
      <c r="FYY69" s="13"/>
      <c r="FYZ69" s="13"/>
      <c r="FZA69" s="13"/>
      <c r="FZB69" s="13"/>
      <c r="FZC69" s="13"/>
      <c r="FZD69" s="13"/>
      <c r="FZE69" s="13"/>
      <c r="FZF69" s="13"/>
      <c r="FZG69" s="13"/>
      <c r="FZH69" s="13"/>
      <c r="FZI69" s="13"/>
      <c r="FZJ69" s="13"/>
      <c r="FZK69" s="13"/>
      <c r="FZL69" s="13"/>
      <c r="FZM69" s="13"/>
      <c r="FZN69" s="13"/>
      <c r="FZO69" s="13"/>
      <c r="FZP69" s="13"/>
      <c r="FZQ69" s="13"/>
      <c r="FZR69" s="13"/>
      <c r="FZS69" s="13"/>
      <c r="FZT69" s="13"/>
      <c r="FZU69" s="13"/>
      <c r="FZV69" s="13"/>
      <c r="FZW69" s="13"/>
      <c r="FZX69" s="13"/>
      <c r="FZY69" s="13"/>
      <c r="FZZ69" s="13"/>
      <c r="GAA69" s="13"/>
      <c r="GAB69" s="13"/>
      <c r="GAC69" s="13"/>
      <c r="GAD69" s="13"/>
      <c r="GAE69" s="13"/>
      <c r="GAF69" s="13"/>
      <c r="GAG69" s="13"/>
      <c r="GAH69" s="13"/>
      <c r="GAI69" s="13"/>
      <c r="GAJ69" s="13"/>
      <c r="GAK69" s="13"/>
      <c r="GAL69" s="13"/>
      <c r="GAM69" s="13"/>
      <c r="GAN69" s="13"/>
      <c r="GAO69" s="13"/>
      <c r="GAP69" s="13"/>
      <c r="GAQ69" s="13"/>
      <c r="GAR69" s="13"/>
      <c r="GAS69" s="13"/>
      <c r="GAT69" s="13"/>
      <c r="GAU69" s="13"/>
      <c r="GAV69" s="13"/>
      <c r="GAW69" s="13"/>
      <c r="GAX69" s="13"/>
      <c r="GAY69" s="13"/>
      <c r="GAZ69" s="13"/>
      <c r="GBA69" s="13"/>
      <c r="GBB69" s="13"/>
      <c r="GBC69" s="13"/>
      <c r="GBD69" s="13"/>
      <c r="GBE69" s="13"/>
      <c r="GBF69" s="13"/>
      <c r="GBG69" s="13"/>
      <c r="GBH69" s="13"/>
      <c r="GBI69" s="13"/>
      <c r="GBJ69" s="13"/>
      <c r="GBK69" s="13"/>
      <c r="GBL69" s="13"/>
      <c r="GBM69" s="13"/>
      <c r="GBN69" s="13"/>
      <c r="GBO69" s="13"/>
      <c r="GBP69" s="13"/>
      <c r="GBQ69" s="13"/>
      <c r="GBR69" s="13"/>
      <c r="GBS69" s="13"/>
      <c r="GBT69" s="13"/>
      <c r="GBU69" s="13"/>
      <c r="GBV69" s="13"/>
      <c r="GBW69" s="13"/>
      <c r="GBX69" s="13"/>
      <c r="GBY69" s="13"/>
      <c r="GBZ69" s="13"/>
      <c r="GCA69" s="13"/>
      <c r="GCB69" s="13"/>
      <c r="GCC69" s="13"/>
      <c r="GCD69" s="13"/>
      <c r="GCE69" s="13"/>
      <c r="GCF69" s="13"/>
      <c r="GCG69" s="13"/>
      <c r="GCH69" s="13"/>
      <c r="GCI69" s="13"/>
      <c r="GCJ69" s="13"/>
      <c r="GCK69" s="13"/>
      <c r="GCL69" s="13"/>
      <c r="GCM69" s="13"/>
      <c r="GCN69" s="13"/>
      <c r="GCO69" s="13"/>
      <c r="GCP69" s="13"/>
      <c r="GCQ69" s="13"/>
      <c r="GCR69" s="13"/>
      <c r="GCS69" s="13"/>
      <c r="GCT69" s="13"/>
      <c r="GCU69" s="13"/>
      <c r="GCV69" s="13"/>
      <c r="GCW69" s="13"/>
      <c r="GCX69" s="13"/>
      <c r="GCY69" s="13"/>
      <c r="GCZ69" s="13"/>
      <c r="GDA69" s="13"/>
      <c r="GDB69" s="13"/>
      <c r="GDC69" s="13"/>
      <c r="GDD69" s="13"/>
      <c r="GDE69" s="13"/>
      <c r="GDF69" s="13"/>
      <c r="GDG69" s="13"/>
      <c r="GDH69" s="13"/>
      <c r="GDI69" s="13"/>
      <c r="GDJ69" s="13"/>
      <c r="GDK69" s="13"/>
      <c r="GDL69" s="13"/>
      <c r="GDM69" s="13"/>
      <c r="GDN69" s="13"/>
      <c r="GDO69" s="13"/>
      <c r="GDP69" s="13"/>
      <c r="GDQ69" s="13"/>
      <c r="GDR69" s="13"/>
      <c r="GDS69" s="13"/>
      <c r="GDT69" s="13"/>
      <c r="GDU69" s="13"/>
      <c r="GDV69" s="13"/>
      <c r="GDW69" s="13"/>
      <c r="GDX69" s="13"/>
      <c r="GDY69" s="13"/>
      <c r="GDZ69" s="13"/>
      <c r="GEA69" s="13"/>
      <c r="GEB69" s="13"/>
      <c r="GEC69" s="13"/>
      <c r="GED69" s="13"/>
      <c r="GEE69" s="13"/>
      <c r="GEF69" s="13"/>
      <c r="GEG69" s="13"/>
      <c r="GEH69" s="13"/>
      <c r="GEI69" s="13"/>
      <c r="GEJ69" s="13"/>
      <c r="GEK69" s="13"/>
      <c r="GEL69" s="13"/>
      <c r="GEM69" s="13"/>
      <c r="GEN69" s="13"/>
      <c r="GEO69" s="13"/>
      <c r="GEP69" s="13"/>
      <c r="GEQ69" s="13"/>
      <c r="GER69" s="13"/>
      <c r="GES69" s="13"/>
      <c r="GET69" s="13"/>
      <c r="GEU69" s="13"/>
      <c r="GEV69" s="13"/>
      <c r="GEW69" s="13"/>
      <c r="GEX69" s="13"/>
      <c r="GEY69" s="13"/>
      <c r="GEZ69" s="13"/>
      <c r="GFA69" s="13"/>
      <c r="GFB69" s="13"/>
      <c r="GFC69" s="13"/>
      <c r="GFD69" s="13"/>
      <c r="GFE69" s="13"/>
      <c r="GFF69" s="13"/>
      <c r="GFG69" s="13"/>
      <c r="GFH69" s="13"/>
      <c r="GFI69" s="13"/>
      <c r="GFJ69" s="13"/>
      <c r="GFK69" s="13"/>
      <c r="GFL69" s="13"/>
      <c r="GFM69" s="13"/>
      <c r="GFN69" s="13"/>
      <c r="GFO69" s="13"/>
      <c r="GFP69" s="13"/>
      <c r="GFQ69" s="13"/>
      <c r="GFR69" s="13"/>
      <c r="GFS69" s="13"/>
      <c r="GFT69" s="13"/>
      <c r="GFU69" s="13"/>
      <c r="GFV69" s="13"/>
      <c r="GFW69" s="13"/>
      <c r="GFX69" s="13"/>
      <c r="GFY69" s="13"/>
      <c r="GFZ69" s="13"/>
      <c r="GGA69" s="13"/>
      <c r="GGB69" s="13"/>
      <c r="GGC69" s="13"/>
      <c r="GGD69" s="13"/>
      <c r="GGE69" s="13"/>
      <c r="GGF69" s="13"/>
      <c r="GGG69" s="13"/>
      <c r="GGH69" s="13"/>
      <c r="GGI69" s="13"/>
      <c r="GGJ69" s="13"/>
      <c r="GGK69" s="13"/>
      <c r="GGL69" s="13"/>
      <c r="GGM69" s="13"/>
      <c r="GGN69" s="13"/>
      <c r="GGO69" s="13"/>
      <c r="GGP69" s="13"/>
      <c r="GGQ69" s="13"/>
      <c r="GGR69" s="13"/>
      <c r="GGS69" s="13"/>
      <c r="GGT69" s="13"/>
      <c r="GGU69" s="13"/>
      <c r="GGV69" s="13"/>
      <c r="GGW69" s="13"/>
      <c r="GGX69" s="13"/>
      <c r="GGY69" s="13"/>
      <c r="GGZ69" s="13"/>
      <c r="GHA69" s="13"/>
      <c r="GHB69" s="13"/>
      <c r="GHC69" s="13"/>
      <c r="GHD69" s="13"/>
      <c r="GHE69" s="13"/>
      <c r="GHF69" s="13"/>
      <c r="GHG69" s="13"/>
      <c r="GHH69" s="13"/>
      <c r="GHI69" s="13"/>
      <c r="GHJ69" s="13"/>
      <c r="GHK69" s="13"/>
      <c r="GHL69" s="13"/>
      <c r="GHM69" s="13"/>
      <c r="GHN69" s="13"/>
      <c r="GHO69" s="13"/>
      <c r="GHP69" s="13"/>
      <c r="GHQ69" s="13"/>
      <c r="GHR69" s="13"/>
      <c r="GHS69" s="13"/>
      <c r="GHT69" s="13"/>
      <c r="GHU69" s="13"/>
      <c r="GHV69" s="13"/>
      <c r="GHW69" s="13"/>
      <c r="GHX69" s="13"/>
      <c r="GHY69" s="13"/>
      <c r="GHZ69" s="13"/>
      <c r="GIA69" s="13"/>
      <c r="GIB69" s="13"/>
      <c r="GIC69" s="13"/>
      <c r="GID69" s="13"/>
      <c r="GIE69" s="13"/>
      <c r="GIF69" s="13"/>
      <c r="GIG69" s="13"/>
      <c r="GIH69" s="13"/>
      <c r="GII69" s="13"/>
      <c r="GIJ69" s="13"/>
      <c r="GIK69" s="13"/>
      <c r="GIL69" s="13"/>
      <c r="GIM69" s="13"/>
      <c r="GIN69" s="13"/>
      <c r="GIO69" s="13"/>
      <c r="GIP69" s="13"/>
      <c r="GIQ69" s="13"/>
      <c r="GIR69" s="13"/>
      <c r="GIS69" s="13"/>
      <c r="GIT69" s="13"/>
      <c r="GIU69" s="13"/>
      <c r="GIV69" s="13"/>
      <c r="GIW69" s="13"/>
      <c r="GIX69" s="13"/>
      <c r="GIY69" s="13"/>
      <c r="GIZ69" s="13"/>
      <c r="GJA69" s="13"/>
      <c r="GJB69" s="13"/>
      <c r="GJC69" s="13"/>
      <c r="GJD69" s="13"/>
      <c r="GJE69" s="13"/>
      <c r="GJF69" s="13"/>
      <c r="GJG69" s="13"/>
      <c r="GJH69" s="13"/>
      <c r="GJI69" s="13"/>
      <c r="GJJ69" s="13"/>
      <c r="GJK69" s="13"/>
      <c r="GJL69" s="13"/>
      <c r="GJM69" s="13"/>
      <c r="GJN69" s="13"/>
      <c r="GJO69" s="13"/>
      <c r="GJP69" s="13"/>
      <c r="GJQ69" s="13"/>
      <c r="GJR69" s="13"/>
      <c r="GJS69" s="13"/>
      <c r="GJT69" s="13"/>
      <c r="GJU69" s="13"/>
      <c r="GJV69" s="13"/>
      <c r="GJW69" s="13"/>
      <c r="GJX69" s="13"/>
      <c r="GJY69" s="13"/>
      <c r="GJZ69" s="13"/>
      <c r="GKA69" s="13"/>
      <c r="GKB69" s="13"/>
      <c r="GKC69" s="13"/>
      <c r="GKD69" s="13"/>
      <c r="GKE69" s="13"/>
      <c r="GKF69" s="13"/>
      <c r="GKG69" s="13"/>
      <c r="GKH69" s="13"/>
      <c r="GKI69" s="13"/>
      <c r="GKJ69" s="13"/>
      <c r="GKK69" s="13"/>
      <c r="GKL69" s="13"/>
      <c r="GKM69" s="13"/>
      <c r="GKN69" s="13"/>
      <c r="GKO69" s="13"/>
      <c r="GKP69" s="13"/>
      <c r="GKQ69" s="13"/>
      <c r="GKR69" s="13"/>
      <c r="GKS69" s="13"/>
      <c r="GKT69" s="13"/>
      <c r="GKU69" s="13"/>
      <c r="GKV69" s="13"/>
      <c r="GKW69" s="13"/>
      <c r="GKX69" s="13"/>
      <c r="GKY69" s="13"/>
      <c r="GKZ69" s="13"/>
      <c r="GLA69" s="13"/>
      <c r="GLB69" s="13"/>
      <c r="GLC69" s="13"/>
      <c r="GLD69" s="13"/>
      <c r="GLE69" s="13"/>
      <c r="GLF69" s="13"/>
      <c r="GLG69" s="13"/>
      <c r="GLH69" s="13"/>
      <c r="GLI69" s="13"/>
      <c r="GLJ69" s="13"/>
      <c r="GLK69" s="13"/>
      <c r="GLL69" s="13"/>
      <c r="GLM69" s="13"/>
      <c r="GLN69" s="13"/>
      <c r="GLO69" s="13"/>
      <c r="GLP69" s="13"/>
      <c r="GLQ69" s="13"/>
      <c r="GLR69" s="13"/>
      <c r="GLS69" s="13"/>
      <c r="GLT69" s="13"/>
      <c r="GLU69" s="13"/>
      <c r="GLV69" s="13"/>
      <c r="GLW69" s="13"/>
      <c r="GLX69" s="13"/>
      <c r="GLY69" s="13"/>
      <c r="GLZ69" s="13"/>
      <c r="GMA69" s="13"/>
      <c r="GMB69" s="13"/>
      <c r="GMC69" s="13"/>
      <c r="GMD69" s="13"/>
      <c r="GME69" s="13"/>
      <c r="GMF69" s="13"/>
      <c r="GMG69" s="13"/>
      <c r="GMH69" s="13"/>
      <c r="GMI69" s="13"/>
      <c r="GMJ69" s="13"/>
      <c r="GMK69" s="13"/>
      <c r="GML69" s="13"/>
      <c r="GMM69" s="13"/>
      <c r="GMN69" s="13"/>
      <c r="GMO69" s="13"/>
      <c r="GMP69" s="13"/>
      <c r="GMQ69" s="13"/>
      <c r="GMR69" s="13"/>
      <c r="GMS69" s="13"/>
      <c r="GMT69" s="13"/>
      <c r="GMU69" s="13"/>
      <c r="GMV69" s="13"/>
      <c r="GMW69" s="13"/>
      <c r="GMX69" s="13"/>
      <c r="GMY69" s="13"/>
      <c r="GMZ69" s="13"/>
      <c r="GNA69" s="13"/>
      <c r="GNB69" s="13"/>
      <c r="GNC69" s="13"/>
      <c r="GND69" s="13"/>
      <c r="GNE69" s="13"/>
      <c r="GNF69" s="13"/>
      <c r="GNG69" s="13"/>
      <c r="GNH69" s="13"/>
      <c r="GNI69" s="13"/>
      <c r="GNJ69" s="13"/>
      <c r="GNK69" s="13"/>
      <c r="GNL69" s="13"/>
      <c r="GNM69" s="13"/>
      <c r="GNN69" s="13"/>
      <c r="GNO69" s="13"/>
      <c r="GNP69" s="13"/>
      <c r="GNQ69" s="13"/>
      <c r="GNR69" s="13"/>
      <c r="GNS69" s="13"/>
      <c r="GNT69" s="13"/>
      <c r="GNU69" s="13"/>
      <c r="GNV69" s="13"/>
      <c r="GNW69" s="13"/>
      <c r="GNX69" s="13"/>
      <c r="GNY69" s="13"/>
      <c r="GNZ69" s="13"/>
      <c r="GOA69" s="13"/>
      <c r="GOB69" s="13"/>
      <c r="GOC69" s="13"/>
      <c r="GOD69" s="13"/>
      <c r="GOE69" s="13"/>
      <c r="GOF69" s="13"/>
      <c r="GOG69" s="13"/>
      <c r="GOH69" s="13"/>
      <c r="GOI69" s="13"/>
      <c r="GOJ69" s="13"/>
      <c r="GOK69" s="13"/>
      <c r="GOL69" s="13"/>
      <c r="GOM69" s="13"/>
      <c r="GON69" s="13"/>
      <c r="GOO69" s="13"/>
      <c r="GOP69" s="13"/>
      <c r="GOQ69" s="13"/>
      <c r="GOR69" s="13"/>
      <c r="GOS69" s="13"/>
      <c r="GOT69" s="13"/>
      <c r="GOU69" s="13"/>
      <c r="GOV69" s="13"/>
      <c r="GOW69" s="13"/>
      <c r="GOX69" s="13"/>
      <c r="GOY69" s="13"/>
      <c r="GOZ69" s="13"/>
      <c r="GPA69" s="13"/>
      <c r="GPB69" s="13"/>
      <c r="GPC69" s="13"/>
      <c r="GPD69" s="13"/>
      <c r="GPE69" s="13"/>
      <c r="GPF69" s="13"/>
      <c r="GPG69" s="13"/>
      <c r="GPH69" s="13"/>
      <c r="GPI69" s="13"/>
      <c r="GPJ69" s="13"/>
      <c r="GPK69" s="13"/>
      <c r="GPL69" s="13"/>
      <c r="GPM69" s="13"/>
      <c r="GPN69" s="13"/>
      <c r="GPO69" s="13"/>
      <c r="GPP69" s="13"/>
      <c r="GPQ69" s="13"/>
      <c r="GPR69" s="13"/>
      <c r="GPS69" s="13"/>
      <c r="GPT69" s="13"/>
      <c r="GPU69" s="13"/>
      <c r="GPV69" s="13"/>
      <c r="GPW69" s="13"/>
      <c r="GPX69" s="13"/>
      <c r="GPY69" s="13"/>
      <c r="GPZ69" s="13"/>
      <c r="GQA69" s="13"/>
      <c r="GQB69" s="13"/>
      <c r="GQC69" s="13"/>
      <c r="GQD69" s="13"/>
      <c r="GQE69" s="13"/>
      <c r="GQF69" s="13"/>
      <c r="GQG69" s="13"/>
      <c r="GQH69" s="13"/>
      <c r="GQI69" s="13"/>
      <c r="GQJ69" s="13"/>
      <c r="GQK69" s="13"/>
      <c r="GQL69" s="13"/>
      <c r="GQM69" s="13"/>
      <c r="GQN69" s="13"/>
      <c r="GQO69" s="13"/>
      <c r="GQP69" s="13"/>
      <c r="GQQ69" s="13"/>
      <c r="GQR69" s="13"/>
      <c r="GQS69" s="13"/>
      <c r="GQT69" s="13"/>
      <c r="GQU69" s="13"/>
      <c r="GQV69" s="13"/>
      <c r="GQW69" s="13"/>
      <c r="GQX69" s="13"/>
      <c r="GQY69" s="13"/>
      <c r="GQZ69" s="13"/>
      <c r="GRA69" s="13"/>
      <c r="GRB69" s="13"/>
      <c r="GRC69" s="13"/>
      <c r="GRD69" s="13"/>
      <c r="GRE69" s="13"/>
      <c r="GRF69" s="13"/>
      <c r="GRG69" s="13"/>
      <c r="GRH69" s="13"/>
      <c r="GRI69" s="13"/>
      <c r="GRJ69" s="13"/>
      <c r="GRK69" s="13"/>
      <c r="GRL69" s="13"/>
      <c r="GRM69" s="13"/>
      <c r="GRN69" s="13"/>
      <c r="GRO69" s="13"/>
      <c r="GRP69" s="13"/>
      <c r="GRQ69" s="13"/>
      <c r="GRR69" s="13"/>
      <c r="GRS69" s="13"/>
      <c r="GRT69" s="13"/>
      <c r="GRU69" s="13"/>
      <c r="GRV69" s="13"/>
      <c r="GRW69" s="13"/>
      <c r="GRX69" s="13"/>
      <c r="GRY69" s="13"/>
      <c r="GRZ69" s="13"/>
      <c r="GSA69" s="13"/>
      <c r="GSB69" s="13"/>
      <c r="GSC69" s="13"/>
      <c r="GSD69" s="13"/>
      <c r="GSE69" s="13"/>
      <c r="GSF69" s="13"/>
      <c r="GSG69" s="13"/>
      <c r="GSH69" s="13"/>
      <c r="GSI69" s="13"/>
      <c r="GSJ69" s="13"/>
      <c r="GSK69" s="13"/>
      <c r="GSL69" s="13"/>
      <c r="GSM69" s="13"/>
      <c r="GSN69" s="13"/>
      <c r="GSO69" s="13"/>
      <c r="GSP69" s="13"/>
      <c r="GSQ69" s="13"/>
      <c r="GSR69" s="13"/>
      <c r="GSS69" s="13"/>
      <c r="GST69" s="13"/>
      <c r="GSU69" s="13"/>
      <c r="GSV69" s="13"/>
      <c r="GSW69" s="13"/>
      <c r="GSX69" s="13"/>
      <c r="GSY69" s="13"/>
      <c r="GSZ69" s="13"/>
      <c r="GTA69" s="13"/>
      <c r="GTB69" s="13"/>
      <c r="GTC69" s="13"/>
      <c r="GTD69" s="13"/>
      <c r="GTE69" s="13"/>
      <c r="GTF69" s="13"/>
      <c r="GTG69" s="13"/>
      <c r="GTH69" s="13"/>
      <c r="GTI69" s="13"/>
      <c r="GTJ69" s="13"/>
      <c r="GTK69" s="13"/>
      <c r="GTL69" s="13"/>
      <c r="GTM69" s="13"/>
      <c r="GTN69" s="13"/>
      <c r="GTO69" s="13"/>
      <c r="GTP69" s="13"/>
      <c r="GTQ69" s="13"/>
      <c r="GTR69" s="13"/>
      <c r="GTS69" s="13"/>
      <c r="GTT69" s="13"/>
      <c r="GTU69" s="13"/>
      <c r="GTV69" s="13"/>
      <c r="GTW69" s="13"/>
      <c r="GTX69" s="13"/>
      <c r="GTY69" s="13"/>
      <c r="GTZ69" s="13"/>
      <c r="GUA69" s="13"/>
      <c r="GUB69" s="13"/>
      <c r="GUC69" s="13"/>
      <c r="GUD69" s="13"/>
      <c r="GUE69" s="13"/>
      <c r="GUF69" s="13"/>
      <c r="GUG69" s="13"/>
      <c r="GUH69" s="13"/>
      <c r="GUI69" s="13"/>
      <c r="GUJ69" s="13"/>
      <c r="GUK69" s="13"/>
      <c r="GUL69" s="13"/>
      <c r="GUM69" s="13"/>
      <c r="GUN69" s="13"/>
      <c r="GUO69" s="13"/>
      <c r="GUP69" s="13"/>
      <c r="GUQ69" s="13"/>
      <c r="GUR69" s="13"/>
      <c r="GUS69" s="13"/>
      <c r="GUT69" s="13"/>
      <c r="GUU69" s="13"/>
      <c r="GUV69" s="13"/>
      <c r="GUW69" s="13"/>
      <c r="GUX69" s="13"/>
      <c r="GUY69" s="13"/>
      <c r="GUZ69" s="13"/>
      <c r="GVA69" s="13"/>
      <c r="GVB69" s="13"/>
      <c r="GVC69" s="13"/>
      <c r="GVD69" s="13"/>
      <c r="GVE69" s="13"/>
      <c r="GVF69" s="13"/>
      <c r="GVG69" s="13"/>
      <c r="GVH69" s="13"/>
      <c r="GVI69" s="13"/>
      <c r="GVJ69" s="13"/>
      <c r="GVK69" s="13"/>
      <c r="GVL69" s="13"/>
      <c r="GVM69" s="13"/>
      <c r="GVN69" s="13"/>
      <c r="GVO69" s="13"/>
      <c r="GVP69" s="13"/>
      <c r="GVQ69" s="13"/>
      <c r="GVR69" s="13"/>
      <c r="GVS69" s="13"/>
      <c r="GVT69" s="13"/>
      <c r="GVU69" s="13"/>
      <c r="GVV69" s="13"/>
      <c r="GVW69" s="13"/>
      <c r="GVX69" s="13"/>
      <c r="GVY69" s="13"/>
      <c r="GVZ69" s="13"/>
      <c r="GWA69" s="13"/>
      <c r="GWB69" s="13"/>
      <c r="GWC69" s="13"/>
      <c r="GWD69" s="13"/>
      <c r="GWE69" s="13"/>
      <c r="GWF69" s="13"/>
      <c r="GWG69" s="13"/>
      <c r="GWH69" s="13"/>
      <c r="GWI69" s="13"/>
      <c r="GWJ69" s="13"/>
      <c r="GWK69" s="13"/>
      <c r="GWL69" s="13"/>
      <c r="GWM69" s="13"/>
      <c r="GWN69" s="13"/>
      <c r="GWO69" s="13"/>
      <c r="GWP69" s="13"/>
      <c r="GWQ69" s="13"/>
      <c r="GWR69" s="13"/>
      <c r="GWS69" s="13"/>
      <c r="GWT69" s="13"/>
      <c r="GWU69" s="13"/>
      <c r="GWV69" s="13"/>
      <c r="GWW69" s="13"/>
      <c r="GWX69" s="13"/>
      <c r="GWY69" s="13"/>
      <c r="GWZ69" s="13"/>
      <c r="GXA69" s="13"/>
      <c r="GXB69" s="13"/>
      <c r="GXC69" s="13"/>
      <c r="GXD69" s="13"/>
      <c r="GXE69" s="13"/>
      <c r="GXF69" s="13"/>
      <c r="GXG69" s="13"/>
      <c r="GXH69" s="13"/>
      <c r="GXI69" s="13"/>
      <c r="GXJ69" s="13"/>
      <c r="GXK69" s="13"/>
      <c r="GXL69" s="13"/>
      <c r="GXM69" s="13"/>
      <c r="GXN69" s="13"/>
      <c r="GXO69" s="13"/>
      <c r="GXP69" s="13"/>
      <c r="GXQ69" s="13"/>
      <c r="GXR69" s="13"/>
      <c r="GXS69" s="13"/>
      <c r="GXT69" s="13"/>
      <c r="GXU69" s="13"/>
      <c r="GXV69" s="13"/>
      <c r="GXW69" s="13"/>
      <c r="GXX69" s="13"/>
      <c r="GXY69" s="13"/>
      <c r="GXZ69" s="13"/>
      <c r="GYA69" s="13"/>
      <c r="GYB69" s="13"/>
      <c r="GYC69" s="13"/>
      <c r="GYD69" s="13"/>
      <c r="GYE69" s="13"/>
      <c r="GYF69" s="13"/>
      <c r="GYG69" s="13"/>
      <c r="GYH69" s="13"/>
      <c r="GYI69" s="13"/>
      <c r="GYJ69" s="13"/>
      <c r="GYK69" s="13"/>
      <c r="GYL69" s="13"/>
      <c r="GYM69" s="13"/>
      <c r="GYN69" s="13"/>
      <c r="GYO69" s="13"/>
      <c r="GYP69" s="13"/>
      <c r="GYQ69" s="13"/>
      <c r="GYR69" s="13"/>
      <c r="GYS69" s="13"/>
      <c r="GYT69" s="13"/>
      <c r="GYU69" s="13"/>
      <c r="GYV69" s="13"/>
      <c r="GYW69" s="13"/>
      <c r="GYX69" s="13"/>
      <c r="GYY69" s="13"/>
      <c r="GYZ69" s="13"/>
      <c r="GZA69" s="13"/>
      <c r="GZB69" s="13"/>
      <c r="GZC69" s="13"/>
      <c r="GZD69" s="13"/>
      <c r="GZE69" s="13"/>
      <c r="GZF69" s="13"/>
      <c r="GZG69" s="13"/>
      <c r="GZH69" s="13"/>
      <c r="GZI69" s="13"/>
      <c r="GZJ69" s="13"/>
      <c r="GZK69" s="13"/>
      <c r="GZL69" s="13"/>
      <c r="GZM69" s="13"/>
      <c r="GZN69" s="13"/>
      <c r="GZO69" s="13"/>
      <c r="GZP69" s="13"/>
      <c r="GZQ69" s="13"/>
      <c r="GZR69" s="13"/>
      <c r="GZS69" s="13"/>
      <c r="GZT69" s="13"/>
      <c r="GZU69" s="13"/>
      <c r="GZV69" s="13"/>
      <c r="GZW69" s="13"/>
      <c r="GZX69" s="13"/>
      <c r="GZY69" s="13"/>
      <c r="GZZ69" s="13"/>
      <c r="HAA69" s="13"/>
      <c r="HAB69" s="13"/>
      <c r="HAC69" s="13"/>
      <c r="HAD69" s="13"/>
      <c r="HAE69" s="13"/>
      <c r="HAF69" s="13"/>
      <c r="HAG69" s="13"/>
      <c r="HAH69" s="13"/>
      <c r="HAI69" s="13"/>
      <c r="HAJ69" s="13"/>
      <c r="HAK69" s="13"/>
      <c r="HAL69" s="13"/>
      <c r="HAM69" s="13"/>
      <c r="HAN69" s="13"/>
      <c r="HAO69" s="13"/>
      <c r="HAP69" s="13"/>
      <c r="HAQ69" s="13"/>
      <c r="HAR69" s="13"/>
      <c r="HAS69" s="13"/>
      <c r="HAT69" s="13"/>
      <c r="HAU69" s="13"/>
      <c r="HAV69" s="13"/>
      <c r="HAW69" s="13"/>
      <c r="HAX69" s="13"/>
      <c r="HAY69" s="13"/>
      <c r="HAZ69" s="13"/>
      <c r="HBA69" s="13"/>
      <c r="HBB69" s="13"/>
      <c r="HBC69" s="13"/>
      <c r="HBD69" s="13"/>
      <c r="HBE69" s="13"/>
      <c r="HBF69" s="13"/>
      <c r="HBG69" s="13"/>
      <c r="HBH69" s="13"/>
      <c r="HBI69" s="13"/>
      <c r="HBJ69" s="13"/>
      <c r="HBK69" s="13"/>
      <c r="HBL69" s="13"/>
      <c r="HBM69" s="13"/>
      <c r="HBN69" s="13"/>
      <c r="HBO69" s="13"/>
      <c r="HBP69" s="13"/>
      <c r="HBQ69" s="13"/>
      <c r="HBR69" s="13"/>
      <c r="HBS69" s="13"/>
      <c r="HBT69" s="13"/>
      <c r="HBU69" s="13"/>
      <c r="HBV69" s="13"/>
      <c r="HBW69" s="13"/>
      <c r="HBX69" s="13"/>
      <c r="HBY69" s="13"/>
      <c r="HBZ69" s="13"/>
      <c r="HCA69" s="13"/>
      <c r="HCB69" s="13"/>
      <c r="HCC69" s="13"/>
      <c r="HCD69" s="13"/>
      <c r="HCE69" s="13"/>
      <c r="HCF69" s="13"/>
      <c r="HCG69" s="13"/>
      <c r="HCH69" s="13"/>
      <c r="HCI69" s="13"/>
      <c r="HCJ69" s="13"/>
      <c r="HCK69" s="13"/>
      <c r="HCL69" s="13"/>
      <c r="HCM69" s="13"/>
      <c r="HCN69" s="13"/>
      <c r="HCO69" s="13"/>
      <c r="HCP69" s="13"/>
      <c r="HCQ69" s="13"/>
      <c r="HCR69" s="13"/>
      <c r="HCS69" s="13"/>
      <c r="HCT69" s="13"/>
      <c r="HCU69" s="13"/>
      <c r="HCV69" s="13"/>
      <c r="HCW69" s="13"/>
      <c r="HCX69" s="13"/>
      <c r="HCY69" s="13"/>
      <c r="HCZ69" s="13"/>
      <c r="HDA69" s="13"/>
      <c r="HDB69" s="13"/>
      <c r="HDC69" s="13"/>
      <c r="HDD69" s="13"/>
      <c r="HDE69" s="13"/>
      <c r="HDF69" s="13"/>
      <c r="HDG69" s="13"/>
      <c r="HDH69" s="13"/>
      <c r="HDI69" s="13"/>
      <c r="HDJ69" s="13"/>
      <c r="HDK69" s="13"/>
      <c r="HDL69" s="13"/>
      <c r="HDM69" s="13"/>
      <c r="HDN69" s="13"/>
      <c r="HDO69" s="13"/>
      <c r="HDP69" s="13"/>
      <c r="HDQ69" s="13"/>
      <c r="HDR69" s="13"/>
      <c r="HDS69" s="13"/>
      <c r="HDT69" s="13"/>
      <c r="HDU69" s="13"/>
      <c r="HDV69" s="13"/>
      <c r="HDW69" s="13"/>
      <c r="HDX69" s="13"/>
      <c r="HDY69" s="13"/>
      <c r="HDZ69" s="13"/>
      <c r="HEA69" s="13"/>
      <c r="HEB69" s="13"/>
      <c r="HEC69" s="13"/>
      <c r="HED69" s="13"/>
      <c r="HEE69" s="13"/>
      <c r="HEF69" s="13"/>
      <c r="HEG69" s="13"/>
      <c r="HEH69" s="13"/>
      <c r="HEI69" s="13"/>
      <c r="HEJ69" s="13"/>
      <c r="HEK69" s="13"/>
      <c r="HEL69" s="13"/>
      <c r="HEM69" s="13"/>
      <c r="HEN69" s="13"/>
      <c r="HEO69" s="13"/>
      <c r="HEP69" s="13"/>
      <c r="HEQ69" s="13"/>
      <c r="HER69" s="13"/>
      <c r="HES69" s="13"/>
      <c r="HET69" s="13"/>
      <c r="HEU69" s="13"/>
      <c r="HEV69" s="13"/>
      <c r="HEW69" s="13"/>
      <c r="HEX69" s="13"/>
      <c r="HEY69" s="13"/>
      <c r="HEZ69" s="13"/>
      <c r="HFA69" s="13"/>
      <c r="HFB69" s="13"/>
      <c r="HFC69" s="13"/>
      <c r="HFD69" s="13"/>
      <c r="HFE69" s="13"/>
      <c r="HFF69" s="13"/>
      <c r="HFG69" s="13"/>
      <c r="HFH69" s="13"/>
      <c r="HFI69" s="13"/>
      <c r="HFJ69" s="13"/>
      <c r="HFK69" s="13"/>
      <c r="HFL69" s="13"/>
      <c r="HFM69" s="13"/>
      <c r="HFN69" s="13"/>
      <c r="HFO69" s="13"/>
      <c r="HFP69" s="13"/>
      <c r="HFQ69" s="13"/>
      <c r="HFR69" s="13"/>
      <c r="HFS69" s="13"/>
      <c r="HFT69" s="13"/>
      <c r="HFU69" s="13"/>
      <c r="HFV69" s="13"/>
      <c r="HFW69" s="13"/>
      <c r="HFX69" s="13"/>
      <c r="HFY69" s="13"/>
      <c r="HFZ69" s="13"/>
      <c r="HGA69" s="13"/>
      <c r="HGB69" s="13"/>
      <c r="HGC69" s="13"/>
      <c r="HGD69" s="13"/>
      <c r="HGE69" s="13"/>
      <c r="HGF69" s="13"/>
      <c r="HGG69" s="13"/>
      <c r="HGH69" s="13"/>
      <c r="HGI69" s="13"/>
      <c r="HGJ69" s="13"/>
      <c r="HGK69" s="13"/>
      <c r="HGL69" s="13"/>
      <c r="HGM69" s="13"/>
      <c r="HGN69" s="13"/>
      <c r="HGO69" s="13"/>
      <c r="HGP69" s="13"/>
      <c r="HGQ69" s="13"/>
      <c r="HGR69" s="13"/>
      <c r="HGS69" s="13"/>
      <c r="HGT69" s="13"/>
      <c r="HGU69" s="13"/>
      <c r="HGV69" s="13"/>
      <c r="HGW69" s="13"/>
      <c r="HGX69" s="13"/>
      <c r="HGY69" s="13"/>
      <c r="HGZ69" s="13"/>
      <c r="HHA69" s="13"/>
      <c r="HHB69" s="13"/>
      <c r="HHC69" s="13"/>
      <c r="HHD69" s="13"/>
      <c r="HHE69" s="13"/>
      <c r="HHF69" s="13"/>
      <c r="HHG69" s="13"/>
      <c r="HHH69" s="13"/>
      <c r="HHI69" s="13"/>
      <c r="HHJ69" s="13"/>
      <c r="HHK69" s="13"/>
      <c r="HHL69" s="13"/>
      <c r="HHM69" s="13"/>
      <c r="HHN69" s="13"/>
      <c r="HHO69" s="13"/>
      <c r="HHP69" s="13"/>
      <c r="HHQ69" s="13"/>
      <c r="HHR69" s="13"/>
      <c r="HHS69" s="13"/>
      <c r="HHT69" s="13"/>
      <c r="HHU69" s="13"/>
      <c r="HHV69" s="13"/>
      <c r="HHW69" s="13"/>
      <c r="HHX69" s="13"/>
      <c r="HHY69" s="13"/>
      <c r="HHZ69" s="13"/>
      <c r="HIA69" s="13"/>
      <c r="HIB69" s="13"/>
      <c r="HIC69" s="13"/>
      <c r="HID69" s="13"/>
      <c r="HIE69" s="13"/>
      <c r="HIF69" s="13"/>
      <c r="HIG69" s="13"/>
      <c r="HIH69" s="13"/>
      <c r="HII69" s="13"/>
      <c r="HIJ69" s="13"/>
      <c r="HIK69" s="13"/>
      <c r="HIL69" s="13"/>
      <c r="HIM69" s="13"/>
      <c r="HIN69" s="13"/>
      <c r="HIO69" s="13"/>
      <c r="HIP69" s="13"/>
      <c r="HIQ69" s="13"/>
      <c r="HIR69" s="13"/>
      <c r="HIS69" s="13"/>
      <c r="HIT69" s="13"/>
      <c r="HIU69" s="13"/>
      <c r="HIV69" s="13"/>
      <c r="HIW69" s="13"/>
      <c r="HIX69" s="13"/>
      <c r="HIY69" s="13"/>
      <c r="HIZ69" s="13"/>
      <c r="HJA69" s="13"/>
      <c r="HJB69" s="13"/>
      <c r="HJC69" s="13"/>
      <c r="HJD69" s="13"/>
      <c r="HJE69" s="13"/>
      <c r="HJF69" s="13"/>
      <c r="HJG69" s="13"/>
      <c r="HJH69" s="13"/>
      <c r="HJI69" s="13"/>
      <c r="HJJ69" s="13"/>
      <c r="HJK69" s="13"/>
      <c r="HJL69" s="13"/>
      <c r="HJM69" s="13"/>
      <c r="HJN69" s="13"/>
      <c r="HJO69" s="13"/>
      <c r="HJP69" s="13"/>
      <c r="HJQ69" s="13"/>
      <c r="HJR69" s="13"/>
      <c r="HJS69" s="13"/>
      <c r="HJT69" s="13"/>
      <c r="HJU69" s="13"/>
      <c r="HJV69" s="13"/>
      <c r="HJW69" s="13"/>
      <c r="HJX69" s="13"/>
      <c r="HJY69" s="13"/>
      <c r="HJZ69" s="13"/>
      <c r="HKA69" s="13"/>
      <c r="HKB69" s="13"/>
      <c r="HKC69" s="13"/>
      <c r="HKD69" s="13"/>
      <c r="HKE69" s="13"/>
      <c r="HKF69" s="13"/>
      <c r="HKG69" s="13"/>
      <c r="HKH69" s="13"/>
      <c r="HKI69" s="13"/>
      <c r="HKJ69" s="13"/>
      <c r="HKK69" s="13"/>
      <c r="HKL69" s="13"/>
      <c r="HKM69" s="13"/>
      <c r="HKN69" s="13"/>
      <c r="HKO69" s="13"/>
      <c r="HKP69" s="13"/>
      <c r="HKQ69" s="13"/>
      <c r="HKR69" s="13"/>
      <c r="HKS69" s="13"/>
      <c r="HKT69" s="13"/>
      <c r="HKU69" s="13"/>
      <c r="HKV69" s="13"/>
      <c r="HKW69" s="13"/>
      <c r="HKX69" s="13"/>
      <c r="HKY69" s="13"/>
      <c r="HKZ69" s="13"/>
      <c r="HLA69" s="13"/>
      <c r="HLB69" s="13"/>
      <c r="HLC69" s="13"/>
      <c r="HLD69" s="13"/>
      <c r="HLE69" s="13"/>
      <c r="HLF69" s="13"/>
      <c r="HLG69" s="13"/>
      <c r="HLH69" s="13"/>
      <c r="HLI69" s="13"/>
      <c r="HLJ69" s="13"/>
      <c r="HLK69" s="13"/>
      <c r="HLL69" s="13"/>
      <c r="HLM69" s="13"/>
      <c r="HLN69" s="13"/>
      <c r="HLO69" s="13"/>
      <c r="HLP69" s="13"/>
      <c r="HLQ69" s="13"/>
      <c r="HLR69" s="13"/>
      <c r="HLS69" s="13"/>
      <c r="HLT69" s="13"/>
      <c r="HLU69" s="13"/>
      <c r="HLV69" s="13"/>
      <c r="HLW69" s="13"/>
      <c r="HLX69" s="13"/>
      <c r="HLY69" s="13"/>
      <c r="HLZ69" s="13"/>
      <c r="HMA69" s="13"/>
      <c r="HMB69" s="13"/>
      <c r="HMC69" s="13"/>
      <c r="HMD69" s="13"/>
      <c r="HME69" s="13"/>
      <c r="HMF69" s="13"/>
      <c r="HMG69" s="13"/>
      <c r="HMH69" s="13"/>
      <c r="HMI69" s="13"/>
      <c r="HMJ69" s="13"/>
      <c r="HMK69" s="13"/>
      <c r="HML69" s="13"/>
      <c r="HMM69" s="13"/>
      <c r="HMN69" s="13"/>
      <c r="HMO69" s="13"/>
      <c r="HMP69" s="13"/>
      <c r="HMQ69" s="13"/>
      <c r="HMR69" s="13"/>
      <c r="HMS69" s="13"/>
      <c r="HMT69" s="13"/>
      <c r="HMU69" s="13"/>
      <c r="HMV69" s="13"/>
      <c r="HMW69" s="13"/>
      <c r="HMX69" s="13"/>
      <c r="HMY69" s="13"/>
      <c r="HMZ69" s="13"/>
      <c r="HNA69" s="13"/>
      <c r="HNB69" s="13"/>
      <c r="HNC69" s="13"/>
      <c r="HND69" s="13"/>
      <c r="HNE69" s="13"/>
      <c r="HNF69" s="13"/>
      <c r="HNG69" s="13"/>
      <c r="HNH69" s="13"/>
      <c r="HNI69" s="13"/>
      <c r="HNJ69" s="13"/>
      <c r="HNK69" s="13"/>
      <c r="HNL69" s="13"/>
      <c r="HNM69" s="13"/>
      <c r="HNN69" s="13"/>
      <c r="HNO69" s="13"/>
      <c r="HNP69" s="13"/>
      <c r="HNQ69" s="13"/>
      <c r="HNR69" s="13"/>
      <c r="HNS69" s="13"/>
      <c r="HNT69" s="13"/>
      <c r="HNU69" s="13"/>
      <c r="HNV69" s="13"/>
      <c r="HNW69" s="13"/>
      <c r="HNX69" s="13"/>
      <c r="HNY69" s="13"/>
      <c r="HNZ69" s="13"/>
      <c r="HOA69" s="13"/>
      <c r="HOB69" s="13"/>
      <c r="HOC69" s="13"/>
      <c r="HOD69" s="13"/>
      <c r="HOE69" s="13"/>
      <c r="HOF69" s="13"/>
      <c r="HOG69" s="13"/>
      <c r="HOH69" s="13"/>
      <c r="HOI69" s="13"/>
      <c r="HOJ69" s="13"/>
      <c r="HOK69" s="13"/>
      <c r="HOL69" s="13"/>
      <c r="HOM69" s="13"/>
      <c r="HON69" s="13"/>
      <c r="HOO69" s="13"/>
      <c r="HOP69" s="13"/>
      <c r="HOQ69" s="13"/>
      <c r="HOR69" s="13"/>
      <c r="HOS69" s="13"/>
      <c r="HOT69" s="13"/>
      <c r="HOU69" s="13"/>
      <c r="HOV69" s="13"/>
      <c r="HOW69" s="13"/>
      <c r="HOX69" s="13"/>
      <c r="HOY69" s="13"/>
      <c r="HOZ69" s="13"/>
      <c r="HPA69" s="13"/>
      <c r="HPB69" s="13"/>
      <c r="HPC69" s="13"/>
      <c r="HPD69" s="13"/>
      <c r="HPE69" s="13"/>
      <c r="HPF69" s="13"/>
      <c r="HPG69" s="13"/>
      <c r="HPH69" s="13"/>
      <c r="HPI69" s="13"/>
      <c r="HPJ69" s="13"/>
      <c r="HPK69" s="13"/>
      <c r="HPL69" s="13"/>
      <c r="HPM69" s="13"/>
      <c r="HPN69" s="13"/>
      <c r="HPO69" s="13"/>
      <c r="HPP69" s="13"/>
      <c r="HPQ69" s="13"/>
      <c r="HPR69" s="13"/>
      <c r="HPS69" s="13"/>
      <c r="HPT69" s="13"/>
      <c r="HPU69" s="13"/>
      <c r="HPV69" s="13"/>
      <c r="HPW69" s="13"/>
      <c r="HPX69" s="13"/>
      <c r="HPY69" s="13"/>
      <c r="HPZ69" s="13"/>
      <c r="HQA69" s="13"/>
      <c r="HQB69" s="13"/>
      <c r="HQC69" s="13"/>
      <c r="HQD69" s="13"/>
      <c r="HQE69" s="13"/>
      <c r="HQF69" s="13"/>
      <c r="HQG69" s="13"/>
      <c r="HQH69" s="13"/>
      <c r="HQI69" s="13"/>
      <c r="HQJ69" s="13"/>
      <c r="HQK69" s="13"/>
      <c r="HQL69" s="13"/>
      <c r="HQM69" s="13"/>
      <c r="HQN69" s="13"/>
      <c r="HQO69" s="13"/>
      <c r="HQP69" s="13"/>
      <c r="HQQ69" s="13"/>
      <c r="HQR69" s="13"/>
      <c r="HQS69" s="13"/>
      <c r="HQT69" s="13"/>
      <c r="HQU69" s="13"/>
      <c r="HQV69" s="13"/>
      <c r="HQW69" s="13"/>
      <c r="HQX69" s="13"/>
      <c r="HQY69" s="13"/>
      <c r="HQZ69" s="13"/>
      <c r="HRA69" s="13"/>
      <c r="HRB69" s="13"/>
      <c r="HRC69" s="13"/>
      <c r="HRD69" s="13"/>
      <c r="HRE69" s="13"/>
      <c r="HRF69" s="13"/>
      <c r="HRG69" s="13"/>
      <c r="HRH69" s="13"/>
      <c r="HRI69" s="13"/>
      <c r="HRJ69" s="13"/>
      <c r="HRK69" s="13"/>
      <c r="HRL69" s="13"/>
      <c r="HRM69" s="13"/>
      <c r="HRN69" s="13"/>
      <c r="HRO69" s="13"/>
      <c r="HRP69" s="13"/>
      <c r="HRQ69" s="13"/>
      <c r="HRR69" s="13"/>
      <c r="HRS69" s="13"/>
      <c r="HRT69" s="13"/>
      <c r="HRU69" s="13"/>
      <c r="HRV69" s="13"/>
      <c r="HRW69" s="13"/>
      <c r="HRX69" s="13"/>
      <c r="HRY69" s="13"/>
      <c r="HRZ69" s="13"/>
      <c r="HSA69" s="13"/>
      <c r="HSB69" s="13"/>
      <c r="HSC69" s="13"/>
      <c r="HSD69" s="13"/>
      <c r="HSE69" s="13"/>
      <c r="HSF69" s="13"/>
      <c r="HSG69" s="13"/>
      <c r="HSH69" s="13"/>
      <c r="HSI69" s="13"/>
      <c r="HSJ69" s="13"/>
      <c r="HSK69" s="13"/>
      <c r="HSL69" s="13"/>
      <c r="HSM69" s="13"/>
      <c r="HSN69" s="13"/>
      <c r="HSO69" s="13"/>
      <c r="HSP69" s="13"/>
      <c r="HSQ69" s="13"/>
      <c r="HSR69" s="13"/>
      <c r="HSS69" s="13"/>
      <c r="HST69" s="13"/>
      <c r="HSU69" s="13"/>
      <c r="HSV69" s="13"/>
      <c r="HSW69" s="13"/>
      <c r="HSX69" s="13"/>
      <c r="HSY69" s="13"/>
      <c r="HSZ69" s="13"/>
      <c r="HTA69" s="13"/>
      <c r="HTB69" s="13"/>
      <c r="HTC69" s="13"/>
      <c r="HTD69" s="13"/>
      <c r="HTE69" s="13"/>
      <c r="HTF69" s="13"/>
      <c r="HTG69" s="13"/>
      <c r="HTH69" s="13"/>
      <c r="HTI69" s="13"/>
      <c r="HTJ69" s="13"/>
      <c r="HTK69" s="13"/>
      <c r="HTL69" s="13"/>
      <c r="HTM69" s="13"/>
      <c r="HTN69" s="13"/>
      <c r="HTO69" s="13"/>
      <c r="HTP69" s="13"/>
      <c r="HTQ69" s="13"/>
      <c r="HTR69" s="13"/>
      <c r="HTS69" s="13"/>
      <c r="HTT69" s="13"/>
      <c r="HTU69" s="13"/>
      <c r="HTV69" s="13"/>
      <c r="HTW69" s="13"/>
      <c r="HTX69" s="13"/>
      <c r="HTY69" s="13"/>
      <c r="HTZ69" s="13"/>
      <c r="HUA69" s="13"/>
      <c r="HUB69" s="13"/>
      <c r="HUC69" s="13"/>
      <c r="HUD69" s="13"/>
      <c r="HUE69" s="13"/>
      <c r="HUF69" s="13"/>
      <c r="HUG69" s="13"/>
      <c r="HUH69" s="13"/>
      <c r="HUI69" s="13"/>
      <c r="HUJ69" s="13"/>
      <c r="HUK69" s="13"/>
      <c r="HUL69" s="13"/>
      <c r="HUM69" s="13"/>
      <c r="HUN69" s="13"/>
      <c r="HUO69" s="13"/>
      <c r="HUP69" s="13"/>
      <c r="HUQ69" s="13"/>
      <c r="HUR69" s="13"/>
      <c r="HUS69" s="13"/>
      <c r="HUT69" s="13"/>
      <c r="HUU69" s="13"/>
      <c r="HUV69" s="13"/>
      <c r="HUW69" s="13"/>
      <c r="HUX69" s="13"/>
      <c r="HUY69" s="13"/>
      <c r="HUZ69" s="13"/>
      <c r="HVA69" s="13"/>
      <c r="HVB69" s="13"/>
      <c r="HVC69" s="13"/>
      <c r="HVD69" s="13"/>
      <c r="HVE69" s="13"/>
      <c r="HVF69" s="13"/>
      <c r="HVG69" s="13"/>
      <c r="HVH69" s="13"/>
      <c r="HVI69" s="13"/>
      <c r="HVJ69" s="13"/>
      <c r="HVK69" s="13"/>
      <c r="HVL69" s="13"/>
      <c r="HVM69" s="13"/>
      <c r="HVN69" s="13"/>
      <c r="HVO69" s="13"/>
      <c r="HVP69" s="13"/>
      <c r="HVQ69" s="13"/>
      <c r="HVR69" s="13"/>
      <c r="HVS69" s="13"/>
      <c r="HVT69" s="13"/>
      <c r="HVU69" s="13"/>
      <c r="HVV69" s="13"/>
      <c r="HVW69" s="13"/>
      <c r="HVX69" s="13"/>
      <c r="HVY69" s="13"/>
      <c r="HVZ69" s="13"/>
      <c r="HWA69" s="13"/>
      <c r="HWB69" s="13"/>
      <c r="HWC69" s="13"/>
      <c r="HWD69" s="13"/>
      <c r="HWE69" s="13"/>
      <c r="HWF69" s="13"/>
      <c r="HWG69" s="13"/>
      <c r="HWH69" s="13"/>
      <c r="HWI69" s="13"/>
      <c r="HWJ69" s="13"/>
      <c r="HWK69" s="13"/>
      <c r="HWL69" s="13"/>
      <c r="HWM69" s="13"/>
      <c r="HWN69" s="13"/>
      <c r="HWO69" s="13"/>
      <c r="HWP69" s="13"/>
      <c r="HWQ69" s="13"/>
      <c r="HWR69" s="13"/>
      <c r="HWS69" s="13"/>
      <c r="HWT69" s="13"/>
      <c r="HWU69" s="13"/>
      <c r="HWV69" s="13"/>
      <c r="HWW69" s="13"/>
      <c r="HWX69" s="13"/>
      <c r="HWY69" s="13"/>
      <c r="HWZ69" s="13"/>
      <c r="HXA69" s="13"/>
      <c r="HXB69" s="13"/>
      <c r="HXC69" s="13"/>
      <c r="HXD69" s="13"/>
      <c r="HXE69" s="13"/>
      <c r="HXF69" s="13"/>
      <c r="HXG69" s="13"/>
      <c r="HXH69" s="13"/>
      <c r="HXI69" s="13"/>
      <c r="HXJ69" s="13"/>
      <c r="HXK69" s="13"/>
      <c r="HXL69" s="13"/>
      <c r="HXM69" s="13"/>
      <c r="HXN69" s="13"/>
      <c r="HXO69" s="13"/>
      <c r="HXP69" s="13"/>
      <c r="HXQ69" s="13"/>
      <c r="HXR69" s="13"/>
      <c r="HXS69" s="13"/>
      <c r="HXT69" s="13"/>
      <c r="HXU69" s="13"/>
      <c r="HXV69" s="13"/>
      <c r="HXW69" s="13"/>
      <c r="HXX69" s="13"/>
      <c r="HXY69" s="13"/>
      <c r="HXZ69" s="13"/>
      <c r="HYA69" s="13"/>
      <c r="HYB69" s="13"/>
      <c r="HYC69" s="13"/>
      <c r="HYD69" s="13"/>
      <c r="HYE69" s="13"/>
      <c r="HYF69" s="13"/>
      <c r="HYG69" s="13"/>
      <c r="HYH69" s="13"/>
      <c r="HYI69" s="13"/>
      <c r="HYJ69" s="13"/>
      <c r="HYK69" s="13"/>
      <c r="HYL69" s="13"/>
      <c r="HYM69" s="13"/>
      <c r="HYN69" s="13"/>
      <c r="HYO69" s="13"/>
      <c r="HYP69" s="13"/>
      <c r="HYQ69" s="13"/>
      <c r="HYR69" s="13"/>
      <c r="HYS69" s="13"/>
      <c r="HYT69" s="13"/>
      <c r="HYU69" s="13"/>
      <c r="HYV69" s="13"/>
      <c r="HYW69" s="13"/>
      <c r="HYX69" s="13"/>
      <c r="HYY69" s="13"/>
      <c r="HYZ69" s="13"/>
      <c r="HZA69" s="13"/>
      <c r="HZB69" s="13"/>
      <c r="HZC69" s="13"/>
      <c r="HZD69" s="13"/>
      <c r="HZE69" s="13"/>
      <c r="HZF69" s="13"/>
      <c r="HZG69" s="13"/>
      <c r="HZH69" s="13"/>
      <c r="HZI69" s="13"/>
      <c r="HZJ69" s="13"/>
      <c r="HZK69" s="13"/>
      <c r="HZL69" s="13"/>
      <c r="HZM69" s="13"/>
      <c r="HZN69" s="13"/>
      <c r="HZO69" s="13"/>
      <c r="HZP69" s="13"/>
      <c r="HZQ69" s="13"/>
      <c r="HZR69" s="13"/>
      <c r="HZS69" s="13"/>
      <c r="HZT69" s="13"/>
      <c r="HZU69" s="13"/>
      <c r="HZV69" s="13"/>
      <c r="HZW69" s="13"/>
      <c r="HZX69" s="13"/>
      <c r="HZY69" s="13"/>
      <c r="HZZ69" s="13"/>
      <c r="IAA69" s="13"/>
      <c r="IAB69" s="13"/>
      <c r="IAC69" s="13"/>
      <c r="IAD69" s="13"/>
      <c r="IAE69" s="13"/>
      <c r="IAF69" s="13"/>
      <c r="IAG69" s="13"/>
      <c r="IAH69" s="13"/>
      <c r="IAI69" s="13"/>
      <c r="IAJ69" s="13"/>
      <c r="IAK69" s="13"/>
      <c r="IAL69" s="13"/>
      <c r="IAM69" s="13"/>
      <c r="IAN69" s="13"/>
      <c r="IAO69" s="13"/>
      <c r="IAP69" s="13"/>
      <c r="IAQ69" s="13"/>
      <c r="IAR69" s="13"/>
      <c r="IAS69" s="13"/>
      <c r="IAT69" s="13"/>
      <c r="IAU69" s="13"/>
      <c r="IAV69" s="13"/>
      <c r="IAW69" s="13"/>
      <c r="IAX69" s="13"/>
      <c r="IAY69" s="13"/>
      <c r="IAZ69" s="13"/>
      <c r="IBA69" s="13"/>
      <c r="IBB69" s="13"/>
      <c r="IBC69" s="13"/>
      <c r="IBD69" s="13"/>
      <c r="IBE69" s="13"/>
      <c r="IBF69" s="13"/>
      <c r="IBG69" s="13"/>
      <c r="IBH69" s="13"/>
      <c r="IBI69" s="13"/>
      <c r="IBJ69" s="13"/>
      <c r="IBK69" s="13"/>
      <c r="IBL69" s="13"/>
      <c r="IBM69" s="13"/>
      <c r="IBN69" s="13"/>
      <c r="IBO69" s="13"/>
      <c r="IBP69" s="13"/>
      <c r="IBQ69" s="13"/>
      <c r="IBR69" s="13"/>
      <c r="IBS69" s="13"/>
      <c r="IBT69" s="13"/>
      <c r="IBU69" s="13"/>
      <c r="IBV69" s="13"/>
      <c r="IBW69" s="13"/>
      <c r="IBX69" s="13"/>
      <c r="IBY69" s="13"/>
      <c r="IBZ69" s="13"/>
      <c r="ICA69" s="13"/>
      <c r="ICB69" s="13"/>
      <c r="ICC69" s="13"/>
      <c r="ICD69" s="13"/>
      <c r="ICE69" s="13"/>
      <c r="ICF69" s="13"/>
      <c r="ICG69" s="13"/>
      <c r="ICH69" s="13"/>
      <c r="ICI69" s="13"/>
      <c r="ICJ69" s="13"/>
      <c r="ICK69" s="13"/>
      <c r="ICL69" s="13"/>
      <c r="ICM69" s="13"/>
      <c r="ICN69" s="13"/>
      <c r="ICO69" s="13"/>
      <c r="ICP69" s="13"/>
      <c r="ICQ69" s="13"/>
      <c r="ICR69" s="13"/>
      <c r="ICS69" s="13"/>
      <c r="ICT69" s="13"/>
      <c r="ICU69" s="13"/>
      <c r="ICV69" s="13"/>
      <c r="ICW69" s="13"/>
      <c r="ICX69" s="13"/>
      <c r="ICY69" s="13"/>
      <c r="ICZ69" s="13"/>
      <c r="IDA69" s="13"/>
      <c r="IDB69" s="13"/>
      <c r="IDC69" s="13"/>
      <c r="IDD69" s="13"/>
      <c r="IDE69" s="13"/>
      <c r="IDF69" s="13"/>
      <c r="IDG69" s="13"/>
      <c r="IDH69" s="13"/>
      <c r="IDI69" s="13"/>
      <c r="IDJ69" s="13"/>
      <c r="IDK69" s="13"/>
      <c r="IDL69" s="13"/>
      <c r="IDM69" s="13"/>
      <c r="IDN69" s="13"/>
      <c r="IDO69" s="13"/>
      <c r="IDP69" s="13"/>
      <c r="IDQ69" s="13"/>
      <c r="IDR69" s="13"/>
      <c r="IDS69" s="13"/>
      <c r="IDT69" s="13"/>
      <c r="IDU69" s="13"/>
      <c r="IDV69" s="13"/>
      <c r="IDW69" s="13"/>
      <c r="IDX69" s="13"/>
      <c r="IDY69" s="13"/>
      <c r="IDZ69" s="13"/>
      <c r="IEA69" s="13"/>
      <c r="IEB69" s="13"/>
      <c r="IEC69" s="13"/>
      <c r="IED69" s="13"/>
      <c r="IEE69" s="13"/>
      <c r="IEF69" s="13"/>
      <c r="IEG69" s="13"/>
      <c r="IEH69" s="13"/>
      <c r="IEI69" s="13"/>
      <c r="IEJ69" s="13"/>
      <c r="IEK69" s="13"/>
      <c r="IEL69" s="13"/>
      <c r="IEM69" s="13"/>
      <c r="IEN69" s="13"/>
      <c r="IEO69" s="13"/>
      <c r="IEP69" s="13"/>
      <c r="IEQ69" s="13"/>
      <c r="IER69" s="13"/>
      <c r="IES69" s="13"/>
      <c r="IET69" s="13"/>
      <c r="IEU69" s="13"/>
      <c r="IEV69" s="13"/>
      <c r="IEW69" s="13"/>
      <c r="IEX69" s="13"/>
      <c r="IEY69" s="13"/>
      <c r="IEZ69" s="13"/>
      <c r="IFA69" s="13"/>
      <c r="IFB69" s="13"/>
      <c r="IFC69" s="13"/>
      <c r="IFD69" s="13"/>
      <c r="IFE69" s="13"/>
      <c r="IFF69" s="13"/>
      <c r="IFG69" s="13"/>
      <c r="IFH69" s="13"/>
      <c r="IFI69" s="13"/>
      <c r="IFJ69" s="13"/>
      <c r="IFK69" s="13"/>
      <c r="IFL69" s="13"/>
      <c r="IFM69" s="13"/>
      <c r="IFN69" s="13"/>
      <c r="IFO69" s="13"/>
      <c r="IFP69" s="13"/>
      <c r="IFQ69" s="13"/>
      <c r="IFR69" s="13"/>
      <c r="IFS69" s="13"/>
      <c r="IFT69" s="13"/>
      <c r="IFU69" s="13"/>
      <c r="IFV69" s="13"/>
      <c r="IFW69" s="13"/>
      <c r="IFX69" s="13"/>
      <c r="IFY69" s="13"/>
      <c r="IFZ69" s="13"/>
      <c r="IGA69" s="13"/>
      <c r="IGB69" s="13"/>
      <c r="IGC69" s="13"/>
      <c r="IGD69" s="13"/>
      <c r="IGE69" s="13"/>
      <c r="IGF69" s="13"/>
      <c r="IGG69" s="13"/>
      <c r="IGH69" s="13"/>
      <c r="IGI69" s="13"/>
      <c r="IGJ69" s="13"/>
      <c r="IGK69" s="13"/>
      <c r="IGL69" s="13"/>
      <c r="IGM69" s="13"/>
      <c r="IGN69" s="13"/>
      <c r="IGO69" s="13"/>
      <c r="IGP69" s="13"/>
      <c r="IGQ69" s="13"/>
      <c r="IGR69" s="13"/>
      <c r="IGS69" s="13"/>
      <c r="IGT69" s="13"/>
      <c r="IGU69" s="13"/>
      <c r="IGV69" s="13"/>
      <c r="IGW69" s="13"/>
      <c r="IGX69" s="13"/>
      <c r="IGY69" s="13"/>
      <c r="IGZ69" s="13"/>
      <c r="IHA69" s="13"/>
      <c r="IHB69" s="13"/>
      <c r="IHC69" s="13"/>
      <c r="IHD69" s="13"/>
      <c r="IHE69" s="13"/>
      <c r="IHF69" s="13"/>
      <c r="IHG69" s="13"/>
      <c r="IHH69" s="13"/>
      <c r="IHI69" s="13"/>
      <c r="IHJ69" s="13"/>
      <c r="IHK69" s="13"/>
      <c r="IHL69" s="13"/>
      <c r="IHM69" s="13"/>
      <c r="IHN69" s="13"/>
      <c r="IHO69" s="13"/>
      <c r="IHP69" s="13"/>
      <c r="IHQ69" s="13"/>
      <c r="IHR69" s="13"/>
      <c r="IHS69" s="13"/>
      <c r="IHT69" s="13"/>
      <c r="IHU69" s="13"/>
      <c r="IHV69" s="13"/>
      <c r="IHW69" s="13"/>
      <c r="IHX69" s="13"/>
      <c r="IHY69" s="13"/>
      <c r="IHZ69" s="13"/>
      <c r="IIA69" s="13"/>
      <c r="IIB69" s="13"/>
      <c r="IIC69" s="13"/>
      <c r="IID69" s="13"/>
      <c r="IIE69" s="13"/>
      <c r="IIF69" s="13"/>
      <c r="IIG69" s="13"/>
      <c r="IIH69" s="13"/>
      <c r="III69" s="13"/>
      <c r="IIJ69" s="13"/>
      <c r="IIK69" s="13"/>
      <c r="IIL69" s="13"/>
      <c r="IIM69" s="13"/>
      <c r="IIN69" s="13"/>
      <c r="IIO69" s="13"/>
      <c r="IIP69" s="13"/>
      <c r="IIQ69" s="13"/>
      <c r="IIR69" s="13"/>
      <c r="IIS69" s="13"/>
      <c r="IIT69" s="13"/>
      <c r="IIU69" s="13"/>
      <c r="IIV69" s="13"/>
      <c r="IIW69" s="13"/>
      <c r="IIX69" s="13"/>
      <c r="IIY69" s="13"/>
      <c r="IIZ69" s="13"/>
      <c r="IJA69" s="13"/>
      <c r="IJB69" s="13"/>
      <c r="IJC69" s="13"/>
      <c r="IJD69" s="13"/>
      <c r="IJE69" s="13"/>
      <c r="IJF69" s="13"/>
      <c r="IJG69" s="13"/>
      <c r="IJH69" s="13"/>
      <c r="IJI69" s="13"/>
      <c r="IJJ69" s="13"/>
      <c r="IJK69" s="13"/>
      <c r="IJL69" s="13"/>
      <c r="IJM69" s="13"/>
      <c r="IJN69" s="13"/>
      <c r="IJO69" s="13"/>
      <c r="IJP69" s="13"/>
      <c r="IJQ69" s="13"/>
      <c r="IJR69" s="13"/>
      <c r="IJS69" s="13"/>
      <c r="IJT69" s="13"/>
      <c r="IJU69" s="13"/>
      <c r="IJV69" s="13"/>
      <c r="IJW69" s="13"/>
      <c r="IJX69" s="13"/>
      <c r="IJY69" s="13"/>
      <c r="IJZ69" s="13"/>
      <c r="IKA69" s="13"/>
      <c r="IKB69" s="13"/>
      <c r="IKC69" s="13"/>
      <c r="IKD69" s="13"/>
      <c r="IKE69" s="13"/>
      <c r="IKF69" s="13"/>
      <c r="IKG69" s="13"/>
      <c r="IKH69" s="13"/>
      <c r="IKI69" s="13"/>
      <c r="IKJ69" s="13"/>
      <c r="IKK69" s="13"/>
      <c r="IKL69" s="13"/>
      <c r="IKM69" s="13"/>
      <c r="IKN69" s="13"/>
      <c r="IKO69" s="13"/>
      <c r="IKP69" s="13"/>
      <c r="IKQ69" s="13"/>
      <c r="IKR69" s="13"/>
      <c r="IKS69" s="13"/>
      <c r="IKT69" s="13"/>
      <c r="IKU69" s="13"/>
      <c r="IKV69" s="13"/>
      <c r="IKW69" s="13"/>
      <c r="IKX69" s="13"/>
      <c r="IKY69" s="13"/>
      <c r="IKZ69" s="13"/>
      <c r="ILA69" s="13"/>
      <c r="ILB69" s="13"/>
      <c r="ILC69" s="13"/>
      <c r="ILD69" s="13"/>
      <c r="ILE69" s="13"/>
      <c r="ILF69" s="13"/>
      <c r="ILG69" s="13"/>
      <c r="ILH69" s="13"/>
      <c r="ILI69" s="13"/>
      <c r="ILJ69" s="13"/>
      <c r="ILK69" s="13"/>
      <c r="ILL69" s="13"/>
      <c r="ILM69" s="13"/>
      <c r="ILN69" s="13"/>
      <c r="ILO69" s="13"/>
      <c r="ILP69" s="13"/>
      <c r="ILQ69" s="13"/>
      <c r="ILR69" s="13"/>
      <c r="ILS69" s="13"/>
      <c r="ILT69" s="13"/>
      <c r="ILU69" s="13"/>
      <c r="ILV69" s="13"/>
      <c r="ILW69" s="13"/>
      <c r="ILX69" s="13"/>
      <c r="ILY69" s="13"/>
      <c r="ILZ69" s="13"/>
      <c r="IMA69" s="13"/>
      <c r="IMB69" s="13"/>
      <c r="IMC69" s="13"/>
      <c r="IMD69" s="13"/>
      <c r="IME69" s="13"/>
      <c r="IMF69" s="13"/>
      <c r="IMG69" s="13"/>
      <c r="IMH69" s="13"/>
      <c r="IMI69" s="13"/>
      <c r="IMJ69" s="13"/>
      <c r="IMK69" s="13"/>
      <c r="IML69" s="13"/>
      <c r="IMM69" s="13"/>
      <c r="IMN69" s="13"/>
      <c r="IMO69" s="13"/>
      <c r="IMP69" s="13"/>
      <c r="IMQ69" s="13"/>
      <c r="IMR69" s="13"/>
      <c r="IMS69" s="13"/>
      <c r="IMT69" s="13"/>
      <c r="IMU69" s="13"/>
      <c r="IMV69" s="13"/>
      <c r="IMW69" s="13"/>
      <c r="IMX69" s="13"/>
      <c r="IMY69" s="13"/>
      <c r="IMZ69" s="13"/>
      <c r="INA69" s="13"/>
      <c r="INB69" s="13"/>
      <c r="INC69" s="13"/>
      <c r="IND69" s="13"/>
      <c r="INE69" s="13"/>
      <c r="INF69" s="13"/>
      <c r="ING69" s="13"/>
      <c r="INH69" s="13"/>
      <c r="INI69" s="13"/>
      <c r="INJ69" s="13"/>
      <c r="INK69" s="13"/>
      <c r="INL69" s="13"/>
      <c r="INM69" s="13"/>
      <c r="INN69" s="13"/>
      <c r="INO69" s="13"/>
      <c r="INP69" s="13"/>
      <c r="INQ69" s="13"/>
      <c r="INR69" s="13"/>
      <c r="INS69" s="13"/>
      <c r="INT69" s="13"/>
      <c r="INU69" s="13"/>
      <c r="INV69" s="13"/>
      <c r="INW69" s="13"/>
      <c r="INX69" s="13"/>
      <c r="INY69" s="13"/>
      <c r="INZ69" s="13"/>
      <c r="IOA69" s="13"/>
      <c r="IOB69" s="13"/>
      <c r="IOC69" s="13"/>
      <c r="IOD69" s="13"/>
      <c r="IOE69" s="13"/>
      <c r="IOF69" s="13"/>
      <c r="IOG69" s="13"/>
      <c r="IOH69" s="13"/>
      <c r="IOI69" s="13"/>
      <c r="IOJ69" s="13"/>
      <c r="IOK69" s="13"/>
      <c r="IOL69" s="13"/>
      <c r="IOM69" s="13"/>
      <c r="ION69" s="13"/>
      <c r="IOO69" s="13"/>
      <c r="IOP69" s="13"/>
      <c r="IOQ69" s="13"/>
      <c r="IOR69" s="13"/>
      <c r="IOS69" s="13"/>
      <c r="IOT69" s="13"/>
      <c r="IOU69" s="13"/>
      <c r="IOV69" s="13"/>
      <c r="IOW69" s="13"/>
      <c r="IOX69" s="13"/>
      <c r="IOY69" s="13"/>
      <c r="IOZ69" s="13"/>
      <c r="IPA69" s="13"/>
      <c r="IPB69" s="13"/>
      <c r="IPC69" s="13"/>
      <c r="IPD69" s="13"/>
      <c r="IPE69" s="13"/>
      <c r="IPF69" s="13"/>
      <c r="IPG69" s="13"/>
      <c r="IPH69" s="13"/>
      <c r="IPI69" s="13"/>
      <c r="IPJ69" s="13"/>
      <c r="IPK69" s="13"/>
      <c r="IPL69" s="13"/>
      <c r="IPM69" s="13"/>
      <c r="IPN69" s="13"/>
      <c r="IPO69" s="13"/>
      <c r="IPP69" s="13"/>
      <c r="IPQ69" s="13"/>
      <c r="IPR69" s="13"/>
      <c r="IPS69" s="13"/>
      <c r="IPT69" s="13"/>
      <c r="IPU69" s="13"/>
      <c r="IPV69" s="13"/>
      <c r="IPW69" s="13"/>
      <c r="IPX69" s="13"/>
      <c r="IPY69" s="13"/>
      <c r="IPZ69" s="13"/>
      <c r="IQA69" s="13"/>
      <c r="IQB69" s="13"/>
      <c r="IQC69" s="13"/>
      <c r="IQD69" s="13"/>
      <c r="IQE69" s="13"/>
      <c r="IQF69" s="13"/>
      <c r="IQG69" s="13"/>
      <c r="IQH69" s="13"/>
      <c r="IQI69" s="13"/>
      <c r="IQJ69" s="13"/>
      <c r="IQK69" s="13"/>
      <c r="IQL69" s="13"/>
      <c r="IQM69" s="13"/>
      <c r="IQN69" s="13"/>
      <c r="IQO69" s="13"/>
      <c r="IQP69" s="13"/>
      <c r="IQQ69" s="13"/>
      <c r="IQR69" s="13"/>
      <c r="IQS69" s="13"/>
      <c r="IQT69" s="13"/>
      <c r="IQU69" s="13"/>
      <c r="IQV69" s="13"/>
      <c r="IQW69" s="13"/>
      <c r="IQX69" s="13"/>
      <c r="IQY69" s="13"/>
      <c r="IQZ69" s="13"/>
      <c r="IRA69" s="13"/>
      <c r="IRB69" s="13"/>
      <c r="IRC69" s="13"/>
      <c r="IRD69" s="13"/>
      <c r="IRE69" s="13"/>
      <c r="IRF69" s="13"/>
      <c r="IRG69" s="13"/>
      <c r="IRH69" s="13"/>
      <c r="IRI69" s="13"/>
      <c r="IRJ69" s="13"/>
      <c r="IRK69" s="13"/>
      <c r="IRL69" s="13"/>
      <c r="IRM69" s="13"/>
      <c r="IRN69" s="13"/>
      <c r="IRO69" s="13"/>
      <c r="IRP69" s="13"/>
      <c r="IRQ69" s="13"/>
      <c r="IRR69" s="13"/>
      <c r="IRS69" s="13"/>
      <c r="IRT69" s="13"/>
      <c r="IRU69" s="13"/>
      <c r="IRV69" s="13"/>
      <c r="IRW69" s="13"/>
      <c r="IRX69" s="13"/>
      <c r="IRY69" s="13"/>
      <c r="IRZ69" s="13"/>
      <c r="ISA69" s="13"/>
      <c r="ISB69" s="13"/>
      <c r="ISC69" s="13"/>
      <c r="ISD69" s="13"/>
      <c r="ISE69" s="13"/>
      <c r="ISF69" s="13"/>
      <c r="ISG69" s="13"/>
      <c r="ISH69" s="13"/>
      <c r="ISI69" s="13"/>
      <c r="ISJ69" s="13"/>
      <c r="ISK69" s="13"/>
      <c r="ISL69" s="13"/>
      <c r="ISM69" s="13"/>
      <c r="ISN69" s="13"/>
      <c r="ISO69" s="13"/>
      <c r="ISP69" s="13"/>
      <c r="ISQ69" s="13"/>
      <c r="ISR69" s="13"/>
      <c r="ISS69" s="13"/>
      <c r="IST69" s="13"/>
      <c r="ISU69" s="13"/>
      <c r="ISV69" s="13"/>
      <c r="ISW69" s="13"/>
      <c r="ISX69" s="13"/>
      <c r="ISY69" s="13"/>
      <c r="ISZ69" s="13"/>
      <c r="ITA69" s="13"/>
      <c r="ITB69" s="13"/>
      <c r="ITC69" s="13"/>
      <c r="ITD69" s="13"/>
      <c r="ITE69" s="13"/>
      <c r="ITF69" s="13"/>
      <c r="ITG69" s="13"/>
      <c r="ITH69" s="13"/>
      <c r="ITI69" s="13"/>
      <c r="ITJ69" s="13"/>
      <c r="ITK69" s="13"/>
      <c r="ITL69" s="13"/>
      <c r="ITM69" s="13"/>
      <c r="ITN69" s="13"/>
      <c r="ITO69" s="13"/>
      <c r="ITP69" s="13"/>
      <c r="ITQ69" s="13"/>
      <c r="ITR69" s="13"/>
      <c r="ITS69" s="13"/>
      <c r="ITT69" s="13"/>
      <c r="ITU69" s="13"/>
      <c r="ITV69" s="13"/>
      <c r="ITW69" s="13"/>
      <c r="ITX69" s="13"/>
      <c r="ITY69" s="13"/>
      <c r="ITZ69" s="13"/>
      <c r="IUA69" s="13"/>
      <c r="IUB69" s="13"/>
      <c r="IUC69" s="13"/>
      <c r="IUD69" s="13"/>
      <c r="IUE69" s="13"/>
      <c r="IUF69" s="13"/>
      <c r="IUG69" s="13"/>
      <c r="IUH69" s="13"/>
      <c r="IUI69" s="13"/>
      <c r="IUJ69" s="13"/>
      <c r="IUK69" s="13"/>
      <c r="IUL69" s="13"/>
      <c r="IUM69" s="13"/>
      <c r="IUN69" s="13"/>
      <c r="IUO69" s="13"/>
      <c r="IUP69" s="13"/>
      <c r="IUQ69" s="13"/>
      <c r="IUR69" s="13"/>
      <c r="IUS69" s="13"/>
      <c r="IUT69" s="13"/>
      <c r="IUU69" s="13"/>
      <c r="IUV69" s="13"/>
      <c r="IUW69" s="13"/>
      <c r="IUX69" s="13"/>
      <c r="IUY69" s="13"/>
      <c r="IUZ69" s="13"/>
      <c r="IVA69" s="13"/>
      <c r="IVB69" s="13"/>
      <c r="IVC69" s="13"/>
      <c r="IVD69" s="13"/>
      <c r="IVE69" s="13"/>
      <c r="IVF69" s="13"/>
      <c r="IVG69" s="13"/>
      <c r="IVH69" s="13"/>
      <c r="IVI69" s="13"/>
      <c r="IVJ69" s="13"/>
      <c r="IVK69" s="13"/>
      <c r="IVL69" s="13"/>
      <c r="IVM69" s="13"/>
      <c r="IVN69" s="13"/>
      <c r="IVO69" s="13"/>
      <c r="IVP69" s="13"/>
      <c r="IVQ69" s="13"/>
      <c r="IVR69" s="13"/>
      <c r="IVS69" s="13"/>
      <c r="IVT69" s="13"/>
      <c r="IVU69" s="13"/>
      <c r="IVV69" s="13"/>
      <c r="IVW69" s="13"/>
      <c r="IVX69" s="13"/>
      <c r="IVY69" s="13"/>
      <c r="IVZ69" s="13"/>
      <c r="IWA69" s="13"/>
      <c r="IWB69" s="13"/>
      <c r="IWC69" s="13"/>
      <c r="IWD69" s="13"/>
      <c r="IWE69" s="13"/>
      <c r="IWF69" s="13"/>
      <c r="IWG69" s="13"/>
      <c r="IWH69" s="13"/>
      <c r="IWI69" s="13"/>
      <c r="IWJ69" s="13"/>
      <c r="IWK69" s="13"/>
      <c r="IWL69" s="13"/>
      <c r="IWM69" s="13"/>
      <c r="IWN69" s="13"/>
      <c r="IWO69" s="13"/>
      <c r="IWP69" s="13"/>
      <c r="IWQ69" s="13"/>
      <c r="IWR69" s="13"/>
      <c r="IWS69" s="13"/>
      <c r="IWT69" s="13"/>
      <c r="IWU69" s="13"/>
      <c r="IWV69" s="13"/>
      <c r="IWW69" s="13"/>
      <c r="IWX69" s="13"/>
      <c r="IWY69" s="13"/>
      <c r="IWZ69" s="13"/>
      <c r="IXA69" s="13"/>
      <c r="IXB69" s="13"/>
      <c r="IXC69" s="13"/>
      <c r="IXD69" s="13"/>
      <c r="IXE69" s="13"/>
      <c r="IXF69" s="13"/>
      <c r="IXG69" s="13"/>
      <c r="IXH69" s="13"/>
      <c r="IXI69" s="13"/>
      <c r="IXJ69" s="13"/>
      <c r="IXK69" s="13"/>
      <c r="IXL69" s="13"/>
      <c r="IXM69" s="13"/>
      <c r="IXN69" s="13"/>
      <c r="IXO69" s="13"/>
      <c r="IXP69" s="13"/>
      <c r="IXQ69" s="13"/>
      <c r="IXR69" s="13"/>
      <c r="IXS69" s="13"/>
      <c r="IXT69" s="13"/>
      <c r="IXU69" s="13"/>
      <c r="IXV69" s="13"/>
      <c r="IXW69" s="13"/>
      <c r="IXX69" s="13"/>
      <c r="IXY69" s="13"/>
      <c r="IXZ69" s="13"/>
      <c r="IYA69" s="13"/>
      <c r="IYB69" s="13"/>
      <c r="IYC69" s="13"/>
      <c r="IYD69" s="13"/>
      <c r="IYE69" s="13"/>
      <c r="IYF69" s="13"/>
      <c r="IYG69" s="13"/>
      <c r="IYH69" s="13"/>
      <c r="IYI69" s="13"/>
      <c r="IYJ69" s="13"/>
      <c r="IYK69" s="13"/>
      <c r="IYL69" s="13"/>
      <c r="IYM69" s="13"/>
      <c r="IYN69" s="13"/>
      <c r="IYO69" s="13"/>
      <c r="IYP69" s="13"/>
      <c r="IYQ69" s="13"/>
      <c r="IYR69" s="13"/>
      <c r="IYS69" s="13"/>
      <c r="IYT69" s="13"/>
      <c r="IYU69" s="13"/>
      <c r="IYV69" s="13"/>
      <c r="IYW69" s="13"/>
      <c r="IYX69" s="13"/>
      <c r="IYY69" s="13"/>
      <c r="IYZ69" s="13"/>
      <c r="IZA69" s="13"/>
      <c r="IZB69" s="13"/>
      <c r="IZC69" s="13"/>
      <c r="IZD69" s="13"/>
      <c r="IZE69" s="13"/>
      <c r="IZF69" s="13"/>
      <c r="IZG69" s="13"/>
      <c r="IZH69" s="13"/>
      <c r="IZI69" s="13"/>
      <c r="IZJ69" s="13"/>
      <c r="IZK69" s="13"/>
      <c r="IZL69" s="13"/>
      <c r="IZM69" s="13"/>
      <c r="IZN69" s="13"/>
      <c r="IZO69" s="13"/>
      <c r="IZP69" s="13"/>
      <c r="IZQ69" s="13"/>
      <c r="IZR69" s="13"/>
      <c r="IZS69" s="13"/>
      <c r="IZT69" s="13"/>
      <c r="IZU69" s="13"/>
      <c r="IZV69" s="13"/>
      <c r="IZW69" s="13"/>
      <c r="IZX69" s="13"/>
      <c r="IZY69" s="13"/>
      <c r="IZZ69" s="13"/>
      <c r="JAA69" s="13"/>
      <c r="JAB69" s="13"/>
      <c r="JAC69" s="13"/>
      <c r="JAD69" s="13"/>
      <c r="JAE69" s="13"/>
      <c r="JAF69" s="13"/>
      <c r="JAG69" s="13"/>
      <c r="JAH69" s="13"/>
      <c r="JAI69" s="13"/>
      <c r="JAJ69" s="13"/>
      <c r="JAK69" s="13"/>
      <c r="JAL69" s="13"/>
      <c r="JAM69" s="13"/>
      <c r="JAN69" s="13"/>
      <c r="JAO69" s="13"/>
      <c r="JAP69" s="13"/>
      <c r="JAQ69" s="13"/>
      <c r="JAR69" s="13"/>
      <c r="JAS69" s="13"/>
      <c r="JAT69" s="13"/>
      <c r="JAU69" s="13"/>
      <c r="JAV69" s="13"/>
      <c r="JAW69" s="13"/>
      <c r="JAX69" s="13"/>
      <c r="JAY69" s="13"/>
      <c r="JAZ69" s="13"/>
      <c r="JBA69" s="13"/>
      <c r="JBB69" s="13"/>
      <c r="JBC69" s="13"/>
      <c r="JBD69" s="13"/>
      <c r="JBE69" s="13"/>
      <c r="JBF69" s="13"/>
      <c r="JBG69" s="13"/>
      <c r="JBH69" s="13"/>
      <c r="JBI69" s="13"/>
      <c r="JBJ69" s="13"/>
      <c r="JBK69" s="13"/>
      <c r="JBL69" s="13"/>
      <c r="JBM69" s="13"/>
      <c r="JBN69" s="13"/>
      <c r="JBO69" s="13"/>
      <c r="JBP69" s="13"/>
      <c r="JBQ69" s="13"/>
      <c r="JBR69" s="13"/>
      <c r="JBS69" s="13"/>
      <c r="JBT69" s="13"/>
      <c r="JBU69" s="13"/>
      <c r="JBV69" s="13"/>
      <c r="JBW69" s="13"/>
      <c r="JBX69" s="13"/>
      <c r="JBY69" s="13"/>
      <c r="JBZ69" s="13"/>
      <c r="JCA69" s="13"/>
      <c r="JCB69" s="13"/>
      <c r="JCC69" s="13"/>
      <c r="JCD69" s="13"/>
      <c r="JCE69" s="13"/>
      <c r="JCF69" s="13"/>
      <c r="JCG69" s="13"/>
      <c r="JCH69" s="13"/>
      <c r="JCI69" s="13"/>
      <c r="JCJ69" s="13"/>
      <c r="JCK69" s="13"/>
      <c r="JCL69" s="13"/>
      <c r="JCM69" s="13"/>
      <c r="JCN69" s="13"/>
      <c r="JCO69" s="13"/>
      <c r="JCP69" s="13"/>
      <c r="JCQ69" s="13"/>
      <c r="JCR69" s="13"/>
      <c r="JCS69" s="13"/>
      <c r="JCT69" s="13"/>
      <c r="JCU69" s="13"/>
      <c r="JCV69" s="13"/>
      <c r="JCW69" s="13"/>
      <c r="JCX69" s="13"/>
      <c r="JCY69" s="13"/>
      <c r="JCZ69" s="13"/>
      <c r="JDA69" s="13"/>
      <c r="JDB69" s="13"/>
      <c r="JDC69" s="13"/>
      <c r="JDD69" s="13"/>
      <c r="JDE69" s="13"/>
      <c r="JDF69" s="13"/>
      <c r="JDG69" s="13"/>
      <c r="JDH69" s="13"/>
      <c r="JDI69" s="13"/>
      <c r="JDJ69" s="13"/>
      <c r="JDK69" s="13"/>
      <c r="JDL69" s="13"/>
      <c r="JDM69" s="13"/>
      <c r="JDN69" s="13"/>
      <c r="JDO69" s="13"/>
      <c r="JDP69" s="13"/>
      <c r="JDQ69" s="13"/>
      <c r="JDR69" s="13"/>
      <c r="JDS69" s="13"/>
      <c r="JDT69" s="13"/>
      <c r="JDU69" s="13"/>
      <c r="JDV69" s="13"/>
      <c r="JDW69" s="13"/>
      <c r="JDX69" s="13"/>
      <c r="JDY69" s="13"/>
      <c r="JDZ69" s="13"/>
      <c r="JEA69" s="13"/>
      <c r="JEB69" s="13"/>
      <c r="JEC69" s="13"/>
      <c r="JED69" s="13"/>
      <c r="JEE69" s="13"/>
      <c r="JEF69" s="13"/>
      <c r="JEG69" s="13"/>
      <c r="JEH69" s="13"/>
      <c r="JEI69" s="13"/>
      <c r="JEJ69" s="13"/>
      <c r="JEK69" s="13"/>
      <c r="JEL69" s="13"/>
      <c r="JEM69" s="13"/>
      <c r="JEN69" s="13"/>
      <c r="JEO69" s="13"/>
      <c r="JEP69" s="13"/>
      <c r="JEQ69" s="13"/>
      <c r="JER69" s="13"/>
      <c r="JES69" s="13"/>
      <c r="JET69" s="13"/>
      <c r="JEU69" s="13"/>
      <c r="JEV69" s="13"/>
      <c r="JEW69" s="13"/>
      <c r="JEX69" s="13"/>
      <c r="JEY69" s="13"/>
      <c r="JEZ69" s="13"/>
      <c r="JFA69" s="13"/>
      <c r="JFB69" s="13"/>
      <c r="JFC69" s="13"/>
      <c r="JFD69" s="13"/>
      <c r="JFE69" s="13"/>
      <c r="JFF69" s="13"/>
      <c r="JFG69" s="13"/>
      <c r="JFH69" s="13"/>
      <c r="JFI69" s="13"/>
      <c r="JFJ69" s="13"/>
      <c r="JFK69" s="13"/>
      <c r="JFL69" s="13"/>
      <c r="JFM69" s="13"/>
      <c r="JFN69" s="13"/>
      <c r="JFO69" s="13"/>
      <c r="JFP69" s="13"/>
      <c r="JFQ69" s="13"/>
      <c r="JFR69" s="13"/>
      <c r="JFS69" s="13"/>
      <c r="JFT69" s="13"/>
      <c r="JFU69" s="13"/>
      <c r="JFV69" s="13"/>
      <c r="JFW69" s="13"/>
      <c r="JFX69" s="13"/>
      <c r="JFY69" s="13"/>
      <c r="JFZ69" s="13"/>
      <c r="JGA69" s="13"/>
      <c r="JGB69" s="13"/>
      <c r="JGC69" s="13"/>
      <c r="JGD69" s="13"/>
      <c r="JGE69" s="13"/>
      <c r="JGF69" s="13"/>
      <c r="JGG69" s="13"/>
      <c r="JGH69" s="13"/>
      <c r="JGI69" s="13"/>
      <c r="JGJ69" s="13"/>
      <c r="JGK69" s="13"/>
      <c r="JGL69" s="13"/>
      <c r="JGM69" s="13"/>
      <c r="JGN69" s="13"/>
      <c r="JGO69" s="13"/>
      <c r="JGP69" s="13"/>
      <c r="JGQ69" s="13"/>
      <c r="JGR69" s="13"/>
      <c r="JGS69" s="13"/>
      <c r="JGT69" s="13"/>
      <c r="JGU69" s="13"/>
      <c r="JGV69" s="13"/>
      <c r="JGW69" s="13"/>
      <c r="JGX69" s="13"/>
      <c r="JGY69" s="13"/>
      <c r="JGZ69" s="13"/>
      <c r="JHA69" s="13"/>
      <c r="JHB69" s="13"/>
      <c r="JHC69" s="13"/>
      <c r="JHD69" s="13"/>
      <c r="JHE69" s="13"/>
      <c r="JHF69" s="13"/>
      <c r="JHG69" s="13"/>
      <c r="JHH69" s="13"/>
      <c r="JHI69" s="13"/>
      <c r="JHJ69" s="13"/>
      <c r="JHK69" s="13"/>
      <c r="JHL69" s="13"/>
      <c r="JHM69" s="13"/>
      <c r="JHN69" s="13"/>
      <c r="JHO69" s="13"/>
      <c r="JHP69" s="13"/>
      <c r="JHQ69" s="13"/>
      <c r="JHR69" s="13"/>
      <c r="JHS69" s="13"/>
      <c r="JHT69" s="13"/>
      <c r="JHU69" s="13"/>
      <c r="JHV69" s="13"/>
      <c r="JHW69" s="13"/>
      <c r="JHX69" s="13"/>
      <c r="JHY69" s="13"/>
      <c r="JHZ69" s="13"/>
      <c r="JIA69" s="13"/>
      <c r="JIB69" s="13"/>
      <c r="JIC69" s="13"/>
      <c r="JID69" s="13"/>
      <c r="JIE69" s="13"/>
      <c r="JIF69" s="13"/>
      <c r="JIG69" s="13"/>
      <c r="JIH69" s="13"/>
      <c r="JII69" s="13"/>
      <c r="JIJ69" s="13"/>
      <c r="JIK69" s="13"/>
      <c r="JIL69" s="13"/>
      <c r="JIM69" s="13"/>
      <c r="JIN69" s="13"/>
      <c r="JIO69" s="13"/>
      <c r="JIP69" s="13"/>
      <c r="JIQ69" s="13"/>
      <c r="JIR69" s="13"/>
      <c r="JIS69" s="13"/>
      <c r="JIT69" s="13"/>
      <c r="JIU69" s="13"/>
      <c r="JIV69" s="13"/>
      <c r="JIW69" s="13"/>
      <c r="JIX69" s="13"/>
      <c r="JIY69" s="13"/>
      <c r="JIZ69" s="13"/>
      <c r="JJA69" s="13"/>
      <c r="JJB69" s="13"/>
      <c r="JJC69" s="13"/>
      <c r="JJD69" s="13"/>
      <c r="JJE69" s="13"/>
      <c r="JJF69" s="13"/>
      <c r="JJG69" s="13"/>
      <c r="JJH69" s="13"/>
      <c r="JJI69" s="13"/>
      <c r="JJJ69" s="13"/>
      <c r="JJK69" s="13"/>
      <c r="JJL69" s="13"/>
      <c r="JJM69" s="13"/>
      <c r="JJN69" s="13"/>
      <c r="JJO69" s="13"/>
      <c r="JJP69" s="13"/>
      <c r="JJQ69" s="13"/>
      <c r="JJR69" s="13"/>
      <c r="JJS69" s="13"/>
      <c r="JJT69" s="13"/>
      <c r="JJU69" s="13"/>
      <c r="JJV69" s="13"/>
      <c r="JJW69" s="13"/>
      <c r="JJX69" s="13"/>
      <c r="JJY69" s="13"/>
      <c r="JJZ69" s="13"/>
      <c r="JKA69" s="13"/>
      <c r="JKB69" s="13"/>
      <c r="JKC69" s="13"/>
      <c r="JKD69" s="13"/>
      <c r="JKE69" s="13"/>
      <c r="JKF69" s="13"/>
      <c r="JKG69" s="13"/>
      <c r="JKH69" s="13"/>
      <c r="JKI69" s="13"/>
      <c r="JKJ69" s="13"/>
      <c r="JKK69" s="13"/>
      <c r="JKL69" s="13"/>
      <c r="JKM69" s="13"/>
      <c r="JKN69" s="13"/>
      <c r="JKO69" s="13"/>
      <c r="JKP69" s="13"/>
      <c r="JKQ69" s="13"/>
      <c r="JKR69" s="13"/>
      <c r="JKS69" s="13"/>
      <c r="JKT69" s="13"/>
      <c r="JKU69" s="13"/>
      <c r="JKV69" s="13"/>
      <c r="JKW69" s="13"/>
      <c r="JKX69" s="13"/>
      <c r="JKY69" s="13"/>
      <c r="JKZ69" s="13"/>
      <c r="JLA69" s="13"/>
      <c r="JLB69" s="13"/>
      <c r="JLC69" s="13"/>
      <c r="JLD69" s="13"/>
      <c r="JLE69" s="13"/>
      <c r="JLF69" s="13"/>
      <c r="JLG69" s="13"/>
      <c r="JLH69" s="13"/>
      <c r="JLI69" s="13"/>
      <c r="JLJ69" s="13"/>
      <c r="JLK69" s="13"/>
      <c r="JLL69" s="13"/>
      <c r="JLM69" s="13"/>
      <c r="JLN69" s="13"/>
      <c r="JLO69" s="13"/>
      <c r="JLP69" s="13"/>
      <c r="JLQ69" s="13"/>
      <c r="JLR69" s="13"/>
      <c r="JLS69" s="13"/>
      <c r="JLT69" s="13"/>
      <c r="JLU69" s="13"/>
      <c r="JLV69" s="13"/>
      <c r="JLW69" s="13"/>
      <c r="JLX69" s="13"/>
      <c r="JLY69" s="13"/>
      <c r="JLZ69" s="13"/>
      <c r="JMA69" s="13"/>
      <c r="JMB69" s="13"/>
      <c r="JMC69" s="13"/>
      <c r="JMD69" s="13"/>
      <c r="JME69" s="13"/>
      <c r="JMF69" s="13"/>
      <c r="JMG69" s="13"/>
      <c r="JMH69" s="13"/>
      <c r="JMI69" s="13"/>
      <c r="JMJ69" s="13"/>
      <c r="JMK69" s="13"/>
      <c r="JML69" s="13"/>
      <c r="JMM69" s="13"/>
      <c r="JMN69" s="13"/>
      <c r="JMO69" s="13"/>
      <c r="JMP69" s="13"/>
      <c r="JMQ69" s="13"/>
      <c r="JMR69" s="13"/>
      <c r="JMS69" s="13"/>
      <c r="JMT69" s="13"/>
      <c r="JMU69" s="13"/>
      <c r="JMV69" s="13"/>
      <c r="JMW69" s="13"/>
      <c r="JMX69" s="13"/>
      <c r="JMY69" s="13"/>
      <c r="JMZ69" s="13"/>
      <c r="JNA69" s="13"/>
      <c r="JNB69" s="13"/>
      <c r="JNC69" s="13"/>
      <c r="JND69" s="13"/>
      <c r="JNE69" s="13"/>
      <c r="JNF69" s="13"/>
      <c r="JNG69" s="13"/>
      <c r="JNH69" s="13"/>
      <c r="JNI69" s="13"/>
      <c r="JNJ69" s="13"/>
      <c r="JNK69" s="13"/>
      <c r="JNL69" s="13"/>
      <c r="JNM69" s="13"/>
      <c r="JNN69" s="13"/>
      <c r="JNO69" s="13"/>
      <c r="JNP69" s="13"/>
      <c r="JNQ69" s="13"/>
      <c r="JNR69" s="13"/>
      <c r="JNS69" s="13"/>
      <c r="JNT69" s="13"/>
      <c r="JNU69" s="13"/>
      <c r="JNV69" s="13"/>
      <c r="JNW69" s="13"/>
      <c r="JNX69" s="13"/>
      <c r="JNY69" s="13"/>
      <c r="JNZ69" s="13"/>
      <c r="JOA69" s="13"/>
      <c r="JOB69" s="13"/>
      <c r="JOC69" s="13"/>
      <c r="JOD69" s="13"/>
      <c r="JOE69" s="13"/>
      <c r="JOF69" s="13"/>
      <c r="JOG69" s="13"/>
      <c r="JOH69" s="13"/>
      <c r="JOI69" s="13"/>
      <c r="JOJ69" s="13"/>
      <c r="JOK69" s="13"/>
      <c r="JOL69" s="13"/>
      <c r="JOM69" s="13"/>
      <c r="JON69" s="13"/>
      <c r="JOO69" s="13"/>
      <c r="JOP69" s="13"/>
      <c r="JOQ69" s="13"/>
      <c r="JOR69" s="13"/>
      <c r="JOS69" s="13"/>
      <c r="JOT69" s="13"/>
      <c r="JOU69" s="13"/>
      <c r="JOV69" s="13"/>
      <c r="JOW69" s="13"/>
      <c r="JOX69" s="13"/>
      <c r="JOY69" s="13"/>
      <c r="JOZ69" s="13"/>
      <c r="JPA69" s="13"/>
      <c r="JPB69" s="13"/>
      <c r="JPC69" s="13"/>
      <c r="JPD69" s="13"/>
      <c r="JPE69" s="13"/>
      <c r="JPF69" s="13"/>
      <c r="JPG69" s="13"/>
      <c r="JPH69" s="13"/>
      <c r="JPI69" s="13"/>
      <c r="JPJ69" s="13"/>
      <c r="JPK69" s="13"/>
      <c r="JPL69" s="13"/>
      <c r="JPM69" s="13"/>
      <c r="JPN69" s="13"/>
      <c r="JPO69" s="13"/>
      <c r="JPP69" s="13"/>
      <c r="JPQ69" s="13"/>
      <c r="JPR69" s="13"/>
      <c r="JPS69" s="13"/>
      <c r="JPT69" s="13"/>
      <c r="JPU69" s="13"/>
      <c r="JPV69" s="13"/>
      <c r="JPW69" s="13"/>
      <c r="JPX69" s="13"/>
      <c r="JPY69" s="13"/>
      <c r="JPZ69" s="13"/>
      <c r="JQA69" s="13"/>
      <c r="JQB69" s="13"/>
      <c r="JQC69" s="13"/>
      <c r="JQD69" s="13"/>
      <c r="JQE69" s="13"/>
      <c r="JQF69" s="13"/>
      <c r="JQG69" s="13"/>
      <c r="JQH69" s="13"/>
      <c r="JQI69" s="13"/>
      <c r="JQJ69" s="13"/>
      <c r="JQK69" s="13"/>
      <c r="JQL69" s="13"/>
      <c r="JQM69" s="13"/>
      <c r="JQN69" s="13"/>
      <c r="JQO69" s="13"/>
      <c r="JQP69" s="13"/>
      <c r="JQQ69" s="13"/>
      <c r="JQR69" s="13"/>
      <c r="JQS69" s="13"/>
      <c r="JQT69" s="13"/>
      <c r="JQU69" s="13"/>
      <c r="JQV69" s="13"/>
      <c r="JQW69" s="13"/>
      <c r="JQX69" s="13"/>
      <c r="JQY69" s="13"/>
      <c r="JQZ69" s="13"/>
      <c r="JRA69" s="13"/>
      <c r="JRB69" s="13"/>
      <c r="JRC69" s="13"/>
      <c r="JRD69" s="13"/>
      <c r="JRE69" s="13"/>
      <c r="JRF69" s="13"/>
      <c r="JRG69" s="13"/>
      <c r="JRH69" s="13"/>
      <c r="JRI69" s="13"/>
      <c r="JRJ69" s="13"/>
      <c r="JRK69" s="13"/>
      <c r="JRL69" s="13"/>
      <c r="JRM69" s="13"/>
      <c r="JRN69" s="13"/>
      <c r="JRO69" s="13"/>
      <c r="JRP69" s="13"/>
      <c r="JRQ69" s="13"/>
      <c r="JRR69" s="13"/>
      <c r="JRS69" s="13"/>
      <c r="JRT69" s="13"/>
      <c r="JRU69" s="13"/>
      <c r="JRV69" s="13"/>
      <c r="JRW69" s="13"/>
      <c r="JRX69" s="13"/>
      <c r="JRY69" s="13"/>
      <c r="JRZ69" s="13"/>
      <c r="JSA69" s="13"/>
      <c r="JSB69" s="13"/>
      <c r="JSC69" s="13"/>
      <c r="JSD69" s="13"/>
      <c r="JSE69" s="13"/>
      <c r="JSF69" s="13"/>
      <c r="JSG69" s="13"/>
      <c r="JSH69" s="13"/>
      <c r="JSI69" s="13"/>
      <c r="JSJ69" s="13"/>
      <c r="JSK69" s="13"/>
      <c r="JSL69" s="13"/>
      <c r="JSM69" s="13"/>
      <c r="JSN69" s="13"/>
      <c r="JSO69" s="13"/>
      <c r="JSP69" s="13"/>
      <c r="JSQ69" s="13"/>
      <c r="JSR69" s="13"/>
      <c r="JSS69" s="13"/>
      <c r="JST69" s="13"/>
      <c r="JSU69" s="13"/>
      <c r="JSV69" s="13"/>
      <c r="JSW69" s="13"/>
      <c r="JSX69" s="13"/>
      <c r="JSY69" s="13"/>
      <c r="JSZ69" s="13"/>
      <c r="JTA69" s="13"/>
      <c r="JTB69" s="13"/>
      <c r="JTC69" s="13"/>
      <c r="JTD69" s="13"/>
      <c r="JTE69" s="13"/>
      <c r="JTF69" s="13"/>
      <c r="JTG69" s="13"/>
      <c r="JTH69" s="13"/>
      <c r="JTI69" s="13"/>
      <c r="JTJ69" s="13"/>
      <c r="JTK69" s="13"/>
      <c r="JTL69" s="13"/>
      <c r="JTM69" s="13"/>
      <c r="JTN69" s="13"/>
      <c r="JTO69" s="13"/>
      <c r="JTP69" s="13"/>
      <c r="JTQ69" s="13"/>
      <c r="JTR69" s="13"/>
      <c r="JTS69" s="13"/>
      <c r="JTT69" s="13"/>
      <c r="JTU69" s="13"/>
      <c r="JTV69" s="13"/>
      <c r="JTW69" s="13"/>
      <c r="JTX69" s="13"/>
      <c r="JTY69" s="13"/>
      <c r="JTZ69" s="13"/>
      <c r="JUA69" s="13"/>
      <c r="JUB69" s="13"/>
      <c r="JUC69" s="13"/>
      <c r="JUD69" s="13"/>
      <c r="JUE69" s="13"/>
      <c r="JUF69" s="13"/>
      <c r="JUG69" s="13"/>
      <c r="JUH69" s="13"/>
      <c r="JUI69" s="13"/>
      <c r="JUJ69" s="13"/>
      <c r="JUK69" s="13"/>
      <c r="JUL69" s="13"/>
      <c r="JUM69" s="13"/>
      <c r="JUN69" s="13"/>
      <c r="JUO69" s="13"/>
      <c r="JUP69" s="13"/>
      <c r="JUQ69" s="13"/>
      <c r="JUR69" s="13"/>
      <c r="JUS69" s="13"/>
      <c r="JUT69" s="13"/>
      <c r="JUU69" s="13"/>
      <c r="JUV69" s="13"/>
      <c r="JUW69" s="13"/>
      <c r="JUX69" s="13"/>
      <c r="JUY69" s="13"/>
      <c r="JUZ69" s="13"/>
      <c r="JVA69" s="13"/>
      <c r="JVB69" s="13"/>
      <c r="JVC69" s="13"/>
      <c r="JVD69" s="13"/>
      <c r="JVE69" s="13"/>
      <c r="JVF69" s="13"/>
      <c r="JVG69" s="13"/>
      <c r="JVH69" s="13"/>
      <c r="JVI69" s="13"/>
      <c r="JVJ69" s="13"/>
      <c r="JVK69" s="13"/>
      <c r="JVL69" s="13"/>
      <c r="JVM69" s="13"/>
      <c r="JVN69" s="13"/>
      <c r="JVO69" s="13"/>
      <c r="JVP69" s="13"/>
      <c r="JVQ69" s="13"/>
      <c r="JVR69" s="13"/>
      <c r="JVS69" s="13"/>
      <c r="JVT69" s="13"/>
      <c r="JVU69" s="13"/>
      <c r="JVV69" s="13"/>
      <c r="JVW69" s="13"/>
      <c r="JVX69" s="13"/>
      <c r="JVY69" s="13"/>
      <c r="JVZ69" s="13"/>
      <c r="JWA69" s="13"/>
      <c r="JWB69" s="13"/>
      <c r="JWC69" s="13"/>
      <c r="JWD69" s="13"/>
      <c r="JWE69" s="13"/>
      <c r="JWF69" s="13"/>
      <c r="JWG69" s="13"/>
      <c r="JWH69" s="13"/>
      <c r="JWI69" s="13"/>
      <c r="JWJ69" s="13"/>
      <c r="JWK69" s="13"/>
      <c r="JWL69" s="13"/>
      <c r="JWM69" s="13"/>
      <c r="JWN69" s="13"/>
      <c r="JWO69" s="13"/>
      <c r="JWP69" s="13"/>
      <c r="JWQ69" s="13"/>
      <c r="JWR69" s="13"/>
      <c r="JWS69" s="13"/>
      <c r="JWT69" s="13"/>
      <c r="JWU69" s="13"/>
      <c r="JWV69" s="13"/>
      <c r="JWW69" s="13"/>
      <c r="JWX69" s="13"/>
      <c r="JWY69" s="13"/>
      <c r="JWZ69" s="13"/>
      <c r="JXA69" s="13"/>
      <c r="JXB69" s="13"/>
      <c r="JXC69" s="13"/>
      <c r="JXD69" s="13"/>
      <c r="JXE69" s="13"/>
      <c r="JXF69" s="13"/>
      <c r="JXG69" s="13"/>
      <c r="JXH69" s="13"/>
      <c r="JXI69" s="13"/>
      <c r="JXJ69" s="13"/>
      <c r="JXK69" s="13"/>
      <c r="JXL69" s="13"/>
      <c r="JXM69" s="13"/>
      <c r="JXN69" s="13"/>
      <c r="JXO69" s="13"/>
      <c r="JXP69" s="13"/>
      <c r="JXQ69" s="13"/>
      <c r="JXR69" s="13"/>
      <c r="JXS69" s="13"/>
      <c r="JXT69" s="13"/>
      <c r="JXU69" s="13"/>
      <c r="JXV69" s="13"/>
      <c r="JXW69" s="13"/>
      <c r="JXX69" s="13"/>
      <c r="JXY69" s="13"/>
      <c r="JXZ69" s="13"/>
      <c r="JYA69" s="13"/>
      <c r="JYB69" s="13"/>
      <c r="JYC69" s="13"/>
      <c r="JYD69" s="13"/>
      <c r="JYE69" s="13"/>
      <c r="JYF69" s="13"/>
      <c r="JYG69" s="13"/>
      <c r="JYH69" s="13"/>
      <c r="JYI69" s="13"/>
      <c r="JYJ69" s="13"/>
      <c r="JYK69" s="13"/>
      <c r="JYL69" s="13"/>
      <c r="JYM69" s="13"/>
      <c r="JYN69" s="13"/>
      <c r="JYO69" s="13"/>
      <c r="JYP69" s="13"/>
      <c r="JYQ69" s="13"/>
      <c r="JYR69" s="13"/>
      <c r="JYS69" s="13"/>
      <c r="JYT69" s="13"/>
      <c r="JYU69" s="13"/>
      <c r="JYV69" s="13"/>
      <c r="JYW69" s="13"/>
      <c r="JYX69" s="13"/>
      <c r="JYY69" s="13"/>
      <c r="JYZ69" s="13"/>
      <c r="JZA69" s="13"/>
      <c r="JZB69" s="13"/>
      <c r="JZC69" s="13"/>
      <c r="JZD69" s="13"/>
      <c r="JZE69" s="13"/>
      <c r="JZF69" s="13"/>
      <c r="JZG69" s="13"/>
      <c r="JZH69" s="13"/>
      <c r="JZI69" s="13"/>
      <c r="JZJ69" s="13"/>
      <c r="JZK69" s="13"/>
      <c r="JZL69" s="13"/>
      <c r="JZM69" s="13"/>
      <c r="JZN69" s="13"/>
      <c r="JZO69" s="13"/>
      <c r="JZP69" s="13"/>
      <c r="JZQ69" s="13"/>
      <c r="JZR69" s="13"/>
      <c r="JZS69" s="13"/>
      <c r="JZT69" s="13"/>
      <c r="JZU69" s="13"/>
      <c r="JZV69" s="13"/>
      <c r="JZW69" s="13"/>
      <c r="JZX69" s="13"/>
      <c r="JZY69" s="13"/>
      <c r="JZZ69" s="13"/>
      <c r="KAA69" s="13"/>
      <c r="KAB69" s="13"/>
      <c r="KAC69" s="13"/>
      <c r="KAD69" s="13"/>
      <c r="KAE69" s="13"/>
      <c r="KAF69" s="13"/>
      <c r="KAG69" s="13"/>
      <c r="KAH69" s="13"/>
      <c r="KAI69" s="13"/>
      <c r="KAJ69" s="13"/>
      <c r="KAK69" s="13"/>
      <c r="KAL69" s="13"/>
      <c r="KAM69" s="13"/>
      <c r="KAN69" s="13"/>
      <c r="KAO69" s="13"/>
      <c r="KAP69" s="13"/>
      <c r="KAQ69" s="13"/>
      <c r="KAR69" s="13"/>
      <c r="KAS69" s="13"/>
      <c r="KAT69" s="13"/>
      <c r="KAU69" s="13"/>
      <c r="KAV69" s="13"/>
      <c r="KAW69" s="13"/>
      <c r="KAX69" s="13"/>
      <c r="KAY69" s="13"/>
      <c r="KAZ69" s="13"/>
      <c r="KBA69" s="13"/>
      <c r="KBB69" s="13"/>
      <c r="KBC69" s="13"/>
      <c r="KBD69" s="13"/>
      <c r="KBE69" s="13"/>
      <c r="KBF69" s="13"/>
      <c r="KBG69" s="13"/>
      <c r="KBH69" s="13"/>
      <c r="KBI69" s="13"/>
      <c r="KBJ69" s="13"/>
      <c r="KBK69" s="13"/>
      <c r="KBL69" s="13"/>
      <c r="KBM69" s="13"/>
      <c r="KBN69" s="13"/>
      <c r="KBO69" s="13"/>
      <c r="KBP69" s="13"/>
      <c r="KBQ69" s="13"/>
      <c r="KBR69" s="13"/>
      <c r="KBS69" s="13"/>
      <c r="KBT69" s="13"/>
      <c r="KBU69" s="13"/>
      <c r="KBV69" s="13"/>
      <c r="KBW69" s="13"/>
      <c r="KBX69" s="13"/>
      <c r="KBY69" s="13"/>
      <c r="KBZ69" s="13"/>
      <c r="KCA69" s="13"/>
      <c r="KCB69" s="13"/>
      <c r="KCC69" s="13"/>
      <c r="KCD69" s="13"/>
      <c r="KCE69" s="13"/>
      <c r="KCF69" s="13"/>
      <c r="KCG69" s="13"/>
      <c r="KCH69" s="13"/>
      <c r="KCI69" s="13"/>
      <c r="KCJ69" s="13"/>
      <c r="KCK69" s="13"/>
      <c r="KCL69" s="13"/>
      <c r="KCM69" s="13"/>
      <c r="KCN69" s="13"/>
      <c r="KCO69" s="13"/>
      <c r="KCP69" s="13"/>
      <c r="KCQ69" s="13"/>
      <c r="KCR69" s="13"/>
      <c r="KCS69" s="13"/>
      <c r="KCT69" s="13"/>
      <c r="KCU69" s="13"/>
      <c r="KCV69" s="13"/>
      <c r="KCW69" s="13"/>
      <c r="KCX69" s="13"/>
      <c r="KCY69" s="13"/>
      <c r="KCZ69" s="13"/>
      <c r="KDA69" s="13"/>
      <c r="KDB69" s="13"/>
      <c r="KDC69" s="13"/>
      <c r="KDD69" s="13"/>
      <c r="KDE69" s="13"/>
      <c r="KDF69" s="13"/>
      <c r="KDG69" s="13"/>
      <c r="KDH69" s="13"/>
      <c r="KDI69" s="13"/>
      <c r="KDJ69" s="13"/>
      <c r="KDK69" s="13"/>
      <c r="KDL69" s="13"/>
      <c r="KDM69" s="13"/>
      <c r="KDN69" s="13"/>
      <c r="KDO69" s="13"/>
      <c r="KDP69" s="13"/>
      <c r="KDQ69" s="13"/>
      <c r="KDR69" s="13"/>
      <c r="KDS69" s="13"/>
      <c r="KDT69" s="13"/>
      <c r="KDU69" s="13"/>
      <c r="KDV69" s="13"/>
      <c r="KDW69" s="13"/>
      <c r="KDX69" s="13"/>
      <c r="KDY69" s="13"/>
      <c r="KDZ69" s="13"/>
      <c r="KEA69" s="13"/>
      <c r="KEB69" s="13"/>
      <c r="KEC69" s="13"/>
      <c r="KED69" s="13"/>
      <c r="KEE69" s="13"/>
      <c r="KEF69" s="13"/>
      <c r="KEG69" s="13"/>
      <c r="KEH69" s="13"/>
      <c r="KEI69" s="13"/>
      <c r="KEJ69" s="13"/>
      <c r="KEK69" s="13"/>
      <c r="KEL69" s="13"/>
      <c r="KEM69" s="13"/>
      <c r="KEN69" s="13"/>
      <c r="KEO69" s="13"/>
      <c r="KEP69" s="13"/>
      <c r="KEQ69" s="13"/>
      <c r="KER69" s="13"/>
      <c r="KES69" s="13"/>
      <c r="KET69" s="13"/>
      <c r="KEU69" s="13"/>
      <c r="KEV69" s="13"/>
      <c r="KEW69" s="13"/>
      <c r="KEX69" s="13"/>
      <c r="KEY69" s="13"/>
      <c r="KEZ69" s="13"/>
      <c r="KFA69" s="13"/>
      <c r="KFB69" s="13"/>
      <c r="KFC69" s="13"/>
      <c r="KFD69" s="13"/>
      <c r="KFE69" s="13"/>
      <c r="KFF69" s="13"/>
      <c r="KFG69" s="13"/>
      <c r="KFH69" s="13"/>
      <c r="KFI69" s="13"/>
      <c r="KFJ69" s="13"/>
      <c r="KFK69" s="13"/>
      <c r="KFL69" s="13"/>
      <c r="KFM69" s="13"/>
      <c r="KFN69" s="13"/>
      <c r="KFO69" s="13"/>
      <c r="KFP69" s="13"/>
      <c r="KFQ69" s="13"/>
      <c r="KFR69" s="13"/>
      <c r="KFS69" s="13"/>
      <c r="KFT69" s="13"/>
      <c r="KFU69" s="13"/>
      <c r="KFV69" s="13"/>
      <c r="KFW69" s="13"/>
      <c r="KFX69" s="13"/>
      <c r="KFY69" s="13"/>
      <c r="KFZ69" s="13"/>
      <c r="KGA69" s="13"/>
      <c r="KGB69" s="13"/>
      <c r="KGC69" s="13"/>
      <c r="KGD69" s="13"/>
      <c r="KGE69" s="13"/>
      <c r="KGF69" s="13"/>
      <c r="KGG69" s="13"/>
      <c r="KGH69" s="13"/>
      <c r="KGI69" s="13"/>
      <c r="KGJ69" s="13"/>
      <c r="KGK69" s="13"/>
      <c r="KGL69" s="13"/>
      <c r="KGM69" s="13"/>
      <c r="KGN69" s="13"/>
      <c r="KGO69" s="13"/>
      <c r="KGP69" s="13"/>
      <c r="KGQ69" s="13"/>
      <c r="KGR69" s="13"/>
      <c r="KGS69" s="13"/>
      <c r="KGT69" s="13"/>
      <c r="KGU69" s="13"/>
      <c r="KGV69" s="13"/>
      <c r="KGW69" s="13"/>
      <c r="KGX69" s="13"/>
      <c r="KGY69" s="13"/>
      <c r="KGZ69" s="13"/>
      <c r="KHA69" s="13"/>
      <c r="KHB69" s="13"/>
      <c r="KHC69" s="13"/>
      <c r="KHD69" s="13"/>
      <c r="KHE69" s="13"/>
      <c r="KHF69" s="13"/>
      <c r="KHG69" s="13"/>
      <c r="KHH69" s="13"/>
      <c r="KHI69" s="13"/>
      <c r="KHJ69" s="13"/>
      <c r="KHK69" s="13"/>
      <c r="KHL69" s="13"/>
      <c r="KHM69" s="13"/>
      <c r="KHN69" s="13"/>
      <c r="KHO69" s="13"/>
      <c r="KHP69" s="13"/>
      <c r="KHQ69" s="13"/>
      <c r="KHR69" s="13"/>
      <c r="KHS69" s="13"/>
      <c r="KHT69" s="13"/>
      <c r="KHU69" s="13"/>
      <c r="KHV69" s="13"/>
      <c r="KHW69" s="13"/>
      <c r="KHX69" s="13"/>
      <c r="KHY69" s="13"/>
      <c r="KHZ69" s="13"/>
      <c r="KIA69" s="13"/>
      <c r="KIB69" s="13"/>
      <c r="KIC69" s="13"/>
      <c r="KID69" s="13"/>
      <c r="KIE69" s="13"/>
      <c r="KIF69" s="13"/>
      <c r="KIG69" s="13"/>
      <c r="KIH69" s="13"/>
      <c r="KII69" s="13"/>
      <c r="KIJ69" s="13"/>
      <c r="KIK69" s="13"/>
      <c r="KIL69" s="13"/>
      <c r="KIM69" s="13"/>
      <c r="KIN69" s="13"/>
      <c r="KIO69" s="13"/>
      <c r="KIP69" s="13"/>
      <c r="KIQ69" s="13"/>
      <c r="KIR69" s="13"/>
      <c r="KIS69" s="13"/>
      <c r="KIT69" s="13"/>
      <c r="KIU69" s="13"/>
      <c r="KIV69" s="13"/>
      <c r="KIW69" s="13"/>
      <c r="KIX69" s="13"/>
      <c r="KIY69" s="13"/>
      <c r="KIZ69" s="13"/>
      <c r="KJA69" s="13"/>
      <c r="KJB69" s="13"/>
      <c r="KJC69" s="13"/>
      <c r="KJD69" s="13"/>
      <c r="KJE69" s="13"/>
      <c r="KJF69" s="13"/>
      <c r="KJG69" s="13"/>
      <c r="KJH69" s="13"/>
      <c r="KJI69" s="13"/>
      <c r="KJJ69" s="13"/>
      <c r="KJK69" s="13"/>
      <c r="KJL69" s="13"/>
      <c r="KJM69" s="13"/>
      <c r="KJN69" s="13"/>
      <c r="KJO69" s="13"/>
      <c r="KJP69" s="13"/>
      <c r="KJQ69" s="13"/>
      <c r="KJR69" s="13"/>
      <c r="KJS69" s="13"/>
      <c r="KJT69" s="13"/>
      <c r="KJU69" s="13"/>
      <c r="KJV69" s="13"/>
      <c r="KJW69" s="13"/>
      <c r="KJX69" s="13"/>
      <c r="KJY69" s="13"/>
      <c r="KJZ69" s="13"/>
      <c r="KKA69" s="13"/>
      <c r="KKB69" s="13"/>
      <c r="KKC69" s="13"/>
      <c r="KKD69" s="13"/>
      <c r="KKE69" s="13"/>
      <c r="KKF69" s="13"/>
      <c r="KKG69" s="13"/>
      <c r="KKH69" s="13"/>
      <c r="KKI69" s="13"/>
      <c r="KKJ69" s="13"/>
      <c r="KKK69" s="13"/>
      <c r="KKL69" s="13"/>
      <c r="KKM69" s="13"/>
      <c r="KKN69" s="13"/>
      <c r="KKO69" s="13"/>
      <c r="KKP69" s="13"/>
      <c r="KKQ69" s="13"/>
      <c r="KKR69" s="13"/>
      <c r="KKS69" s="13"/>
      <c r="KKT69" s="13"/>
      <c r="KKU69" s="13"/>
      <c r="KKV69" s="13"/>
      <c r="KKW69" s="13"/>
      <c r="KKX69" s="13"/>
      <c r="KKY69" s="13"/>
      <c r="KKZ69" s="13"/>
      <c r="KLA69" s="13"/>
      <c r="KLB69" s="13"/>
      <c r="KLC69" s="13"/>
      <c r="KLD69" s="13"/>
      <c r="KLE69" s="13"/>
      <c r="KLF69" s="13"/>
      <c r="KLG69" s="13"/>
      <c r="KLH69" s="13"/>
      <c r="KLI69" s="13"/>
      <c r="KLJ69" s="13"/>
      <c r="KLK69" s="13"/>
      <c r="KLL69" s="13"/>
      <c r="KLM69" s="13"/>
      <c r="KLN69" s="13"/>
      <c r="KLO69" s="13"/>
      <c r="KLP69" s="13"/>
      <c r="KLQ69" s="13"/>
      <c r="KLR69" s="13"/>
      <c r="KLS69" s="13"/>
      <c r="KLT69" s="13"/>
      <c r="KLU69" s="13"/>
      <c r="KLV69" s="13"/>
      <c r="KLW69" s="13"/>
      <c r="KLX69" s="13"/>
      <c r="KLY69" s="13"/>
      <c r="KLZ69" s="13"/>
      <c r="KMA69" s="13"/>
      <c r="KMB69" s="13"/>
      <c r="KMC69" s="13"/>
      <c r="KMD69" s="13"/>
      <c r="KME69" s="13"/>
      <c r="KMF69" s="13"/>
      <c r="KMG69" s="13"/>
      <c r="KMH69" s="13"/>
      <c r="KMI69" s="13"/>
      <c r="KMJ69" s="13"/>
      <c r="KMK69" s="13"/>
      <c r="KML69" s="13"/>
      <c r="KMM69" s="13"/>
      <c r="KMN69" s="13"/>
      <c r="KMO69" s="13"/>
      <c r="KMP69" s="13"/>
      <c r="KMQ69" s="13"/>
      <c r="KMR69" s="13"/>
      <c r="KMS69" s="13"/>
      <c r="KMT69" s="13"/>
      <c r="KMU69" s="13"/>
      <c r="KMV69" s="13"/>
      <c r="KMW69" s="13"/>
      <c r="KMX69" s="13"/>
      <c r="KMY69" s="13"/>
      <c r="KMZ69" s="13"/>
      <c r="KNA69" s="13"/>
      <c r="KNB69" s="13"/>
      <c r="KNC69" s="13"/>
      <c r="KND69" s="13"/>
      <c r="KNE69" s="13"/>
      <c r="KNF69" s="13"/>
      <c r="KNG69" s="13"/>
      <c r="KNH69" s="13"/>
      <c r="KNI69" s="13"/>
      <c r="KNJ69" s="13"/>
      <c r="KNK69" s="13"/>
      <c r="KNL69" s="13"/>
      <c r="KNM69" s="13"/>
      <c r="KNN69" s="13"/>
      <c r="KNO69" s="13"/>
      <c r="KNP69" s="13"/>
      <c r="KNQ69" s="13"/>
      <c r="KNR69" s="13"/>
      <c r="KNS69" s="13"/>
      <c r="KNT69" s="13"/>
      <c r="KNU69" s="13"/>
      <c r="KNV69" s="13"/>
      <c r="KNW69" s="13"/>
      <c r="KNX69" s="13"/>
      <c r="KNY69" s="13"/>
      <c r="KNZ69" s="13"/>
      <c r="KOA69" s="13"/>
      <c r="KOB69" s="13"/>
      <c r="KOC69" s="13"/>
      <c r="KOD69" s="13"/>
      <c r="KOE69" s="13"/>
      <c r="KOF69" s="13"/>
      <c r="KOG69" s="13"/>
      <c r="KOH69" s="13"/>
      <c r="KOI69" s="13"/>
      <c r="KOJ69" s="13"/>
      <c r="KOK69" s="13"/>
      <c r="KOL69" s="13"/>
      <c r="KOM69" s="13"/>
      <c r="KON69" s="13"/>
      <c r="KOO69" s="13"/>
      <c r="KOP69" s="13"/>
      <c r="KOQ69" s="13"/>
      <c r="KOR69" s="13"/>
      <c r="KOS69" s="13"/>
      <c r="KOT69" s="13"/>
      <c r="KOU69" s="13"/>
      <c r="KOV69" s="13"/>
      <c r="KOW69" s="13"/>
      <c r="KOX69" s="13"/>
      <c r="KOY69" s="13"/>
      <c r="KOZ69" s="13"/>
      <c r="KPA69" s="13"/>
      <c r="KPB69" s="13"/>
      <c r="KPC69" s="13"/>
      <c r="KPD69" s="13"/>
      <c r="KPE69" s="13"/>
      <c r="KPF69" s="13"/>
      <c r="KPG69" s="13"/>
      <c r="KPH69" s="13"/>
      <c r="KPI69" s="13"/>
      <c r="KPJ69" s="13"/>
      <c r="KPK69" s="13"/>
      <c r="KPL69" s="13"/>
      <c r="KPM69" s="13"/>
      <c r="KPN69" s="13"/>
      <c r="KPO69" s="13"/>
      <c r="KPP69" s="13"/>
      <c r="KPQ69" s="13"/>
      <c r="KPR69" s="13"/>
      <c r="KPS69" s="13"/>
      <c r="KPT69" s="13"/>
      <c r="KPU69" s="13"/>
      <c r="KPV69" s="13"/>
      <c r="KPW69" s="13"/>
      <c r="KPX69" s="13"/>
      <c r="KPY69" s="13"/>
      <c r="KPZ69" s="13"/>
      <c r="KQA69" s="13"/>
      <c r="KQB69" s="13"/>
      <c r="KQC69" s="13"/>
      <c r="KQD69" s="13"/>
      <c r="KQE69" s="13"/>
      <c r="KQF69" s="13"/>
      <c r="KQG69" s="13"/>
      <c r="KQH69" s="13"/>
      <c r="KQI69" s="13"/>
      <c r="KQJ69" s="13"/>
      <c r="KQK69" s="13"/>
      <c r="KQL69" s="13"/>
      <c r="KQM69" s="13"/>
      <c r="KQN69" s="13"/>
      <c r="KQO69" s="13"/>
      <c r="KQP69" s="13"/>
      <c r="KQQ69" s="13"/>
      <c r="KQR69" s="13"/>
      <c r="KQS69" s="13"/>
      <c r="KQT69" s="13"/>
      <c r="KQU69" s="13"/>
      <c r="KQV69" s="13"/>
      <c r="KQW69" s="13"/>
      <c r="KQX69" s="13"/>
      <c r="KQY69" s="13"/>
      <c r="KQZ69" s="13"/>
      <c r="KRA69" s="13"/>
      <c r="KRB69" s="13"/>
      <c r="KRC69" s="13"/>
      <c r="KRD69" s="13"/>
      <c r="KRE69" s="13"/>
      <c r="KRF69" s="13"/>
      <c r="KRG69" s="13"/>
      <c r="KRH69" s="13"/>
      <c r="KRI69" s="13"/>
      <c r="KRJ69" s="13"/>
      <c r="KRK69" s="13"/>
      <c r="KRL69" s="13"/>
      <c r="KRM69" s="13"/>
      <c r="KRN69" s="13"/>
      <c r="KRO69" s="13"/>
      <c r="KRP69" s="13"/>
      <c r="KRQ69" s="13"/>
      <c r="KRR69" s="13"/>
      <c r="KRS69" s="13"/>
      <c r="KRT69" s="13"/>
      <c r="KRU69" s="13"/>
      <c r="KRV69" s="13"/>
      <c r="KRW69" s="13"/>
      <c r="KRX69" s="13"/>
      <c r="KRY69" s="13"/>
      <c r="KRZ69" s="13"/>
      <c r="KSA69" s="13"/>
      <c r="KSB69" s="13"/>
      <c r="KSC69" s="13"/>
      <c r="KSD69" s="13"/>
      <c r="KSE69" s="13"/>
      <c r="KSF69" s="13"/>
      <c r="KSG69" s="13"/>
      <c r="KSH69" s="13"/>
      <c r="KSI69" s="13"/>
      <c r="KSJ69" s="13"/>
      <c r="KSK69" s="13"/>
      <c r="KSL69" s="13"/>
      <c r="KSM69" s="13"/>
      <c r="KSN69" s="13"/>
      <c r="KSO69" s="13"/>
      <c r="KSP69" s="13"/>
      <c r="KSQ69" s="13"/>
      <c r="KSR69" s="13"/>
      <c r="KSS69" s="13"/>
      <c r="KST69" s="13"/>
      <c r="KSU69" s="13"/>
      <c r="KSV69" s="13"/>
      <c r="KSW69" s="13"/>
      <c r="KSX69" s="13"/>
      <c r="KSY69" s="13"/>
      <c r="KSZ69" s="13"/>
      <c r="KTA69" s="13"/>
      <c r="KTB69" s="13"/>
      <c r="KTC69" s="13"/>
      <c r="KTD69" s="13"/>
      <c r="KTE69" s="13"/>
      <c r="KTF69" s="13"/>
      <c r="KTG69" s="13"/>
      <c r="KTH69" s="13"/>
      <c r="KTI69" s="13"/>
      <c r="KTJ69" s="13"/>
      <c r="KTK69" s="13"/>
      <c r="KTL69" s="13"/>
      <c r="KTM69" s="13"/>
      <c r="KTN69" s="13"/>
      <c r="KTO69" s="13"/>
      <c r="KTP69" s="13"/>
      <c r="KTQ69" s="13"/>
      <c r="KTR69" s="13"/>
      <c r="KTS69" s="13"/>
      <c r="KTT69" s="13"/>
      <c r="KTU69" s="13"/>
      <c r="KTV69" s="13"/>
      <c r="KTW69" s="13"/>
      <c r="KTX69" s="13"/>
      <c r="KTY69" s="13"/>
      <c r="KTZ69" s="13"/>
      <c r="KUA69" s="13"/>
      <c r="KUB69" s="13"/>
      <c r="KUC69" s="13"/>
      <c r="KUD69" s="13"/>
      <c r="KUE69" s="13"/>
      <c r="KUF69" s="13"/>
      <c r="KUG69" s="13"/>
      <c r="KUH69" s="13"/>
      <c r="KUI69" s="13"/>
      <c r="KUJ69" s="13"/>
      <c r="KUK69" s="13"/>
      <c r="KUL69" s="13"/>
      <c r="KUM69" s="13"/>
      <c r="KUN69" s="13"/>
      <c r="KUO69" s="13"/>
      <c r="KUP69" s="13"/>
      <c r="KUQ69" s="13"/>
      <c r="KUR69" s="13"/>
      <c r="KUS69" s="13"/>
      <c r="KUT69" s="13"/>
      <c r="KUU69" s="13"/>
      <c r="KUV69" s="13"/>
      <c r="KUW69" s="13"/>
      <c r="KUX69" s="13"/>
      <c r="KUY69" s="13"/>
      <c r="KUZ69" s="13"/>
      <c r="KVA69" s="13"/>
      <c r="KVB69" s="13"/>
      <c r="KVC69" s="13"/>
      <c r="KVD69" s="13"/>
      <c r="KVE69" s="13"/>
      <c r="KVF69" s="13"/>
      <c r="KVG69" s="13"/>
      <c r="KVH69" s="13"/>
      <c r="KVI69" s="13"/>
      <c r="KVJ69" s="13"/>
      <c r="KVK69" s="13"/>
      <c r="KVL69" s="13"/>
      <c r="KVM69" s="13"/>
      <c r="KVN69" s="13"/>
      <c r="KVO69" s="13"/>
      <c r="KVP69" s="13"/>
      <c r="KVQ69" s="13"/>
      <c r="KVR69" s="13"/>
      <c r="KVS69" s="13"/>
      <c r="KVT69" s="13"/>
      <c r="KVU69" s="13"/>
      <c r="KVV69" s="13"/>
      <c r="KVW69" s="13"/>
      <c r="KVX69" s="13"/>
      <c r="KVY69" s="13"/>
      <c r="KVZ69" s="13"/>
      <c r="KWA69" s="13"/>
      <c r="KWB69" s="13"/>
      <c r="KWC69" s="13"/>
      <c r="KWD69" s="13"/>
      <c r="KWE69" s="13"/>
      <c r="KWF69" s="13"/>
      <c r="KWG69" s="13"/>
      <c r="KWH69" s="13"/>
      <c r="KWI69" s="13"/>
      <c r="KWJ69" s="13"/>
      <c r="KWK69" s="13"/>
      <c r="KWL69" s="13"/>
      <c r="KWM69" s="13"/>
      <c r="KWN69" s="13"/>
      <c r="KWO69" s="13"/>
      <c r="KWP69" s="13"/>
      <c r="KWQ69" s="13"/>
      <c r="KWR69" s="13"/>
      <c r="KWS69" s="13"/>
      <c r="KWT69" s="13"/>
      <c r="KWU69" s="13"/>
      <c r="KWV69" s="13"/>
      <c r="KWW69" s="13"/>
      <c r="KWX69" s="13"/>
      <c r="KWY69" s="13"/>
      <c r="KWZ69" s="13"/>
      <c r="KXA69" s="13"/>
      <c r="KXB69" s="13"/>
      <c r="KXC69" s="13"/>
      <c r="KXD69" s="13"/>
      <c r="KXE69" s="13"/>
      <c r="KXF69" s="13"/>
      <c r="KXG69" s="13"/>
      <c r="KXH69" s="13"/>
      <c r="KXI69" s="13"/>
      <c r="KXJ69" s="13"/>
      <c r="KXK69" s="13"/>
      <c r="KXL69" s="13"/>
      <c r="KXM69" s="13"/>
      <c r="KXN69" s="13"/>
      <c r="KXO69" s="13"/>
      <c r="KXP69" s="13"/>
      <c r="KXQ69" s="13"/>
      <c r="KXR69" s="13"/>
      <c r="KXS69" s="13"/>
      <c r="KXT69" s="13"/>
      <c r="KXU69" s="13"/>
      <c r="KXV69" s="13"/>
      <c r="KXW69" s="13"/>
      <c r="KXX69" s="13"/>
      <c r="KXY69" s="13"/>
      <c r="KXZ69" s="13"/>
      <c r="KYA69" s="13"/>
      <c r="KYB69" s="13"/>
      <c r="KYC69" s="13"/>
      <c r="KYD69" s="13"/>
      <c r="KYE69" s="13"/>
      <c r="KYF69" s="13"/>
      <c r="KYG69" s="13"/>
      <c r="KYH69" s="13"/>
      <c r="KYI69" s="13"/>
      <c r="KYJ69" s="13"/>
      <c r="KYK69" s="13"/>
      <c r="KYL69" s="13"/>
      <c r="KYM69" s="13"/>
      <c r="KYN69" s="13"/>
      <c r="KYO69" s="13"/>
      <c r="KYP69" s="13"/>
      <c r="KYQ69" s="13"/>
      <c r="KYR69" s="13"/>
      <c r="KYS69" s="13"/>
      <c r="KYT69" s="13"/>
      <c r="KYU69" s="13"/>
      <c r="KYV69" s="13"/>
      <c r="KYW69" s="13"/>
      <c r="KYX69" s="13"/>
      <c r="KYY69" s="13"/>
      <c r="KYZ69" s="13"/>
      <c r="KZA69" s="13"/>
      <c r="KZB69" s="13"/>
      <c r="KZC69" s="13"/>
      <c r="KZD69" s="13"/>
      <c r="KZE69" s="13"/>
      <c r="KZF69" s="13"/>
      <c r="KZG69" s="13"/>
      <c r="KZH69" s="13"/>
      <c r="KZI69" s="13"/>
      <c r="KZJ69" s="13"/>
      <c r="KZK69" s="13"/>
      <c r="KZL69" s="13"/>
      <c r="KZM69" s="13"/>
      <c r="KZN69" s="13"/>
      <c r="KZO69" s="13"/>
      <c r="KZP69" s="13"/>
      <c r="KZQ69" s="13"/>
      <c r="KZR69" s="13"/>
      <c r="KZS69" s="13"/>
      <c r="KZT69" s="13"/>
      <c r="KZU69" s="13"/>
      <c r="KZV69" s="13"/>
      <c r="KZW69" s="13"/>
      <c r="KZX69" s="13"/>
      <c r="KZY69" s="13"/>
      <c r="KZZ69" s="13"/>
      <c r="LAA69" s="13"/>
      <c r="LAB69" s="13"/>
      <c r="LAC69" s="13"/>
      <c r="LAD69" s="13"/>
      <c r="LAE69" s="13"/>
      <c r="LAF69" s="13"/>
      <c r="LAG69" s="13"/>
      <c r="LAH69" s="13"/>
      <c r="LAI69" s="13"/>
      <c r="LAJ69" s="13"/>
      <c r="LAK69" s="13"/>
      <c r="LAL69" s="13"/>
      <c r="LAM69" s="13"/>
      <c r="LAN69" s="13"/>
      <c r="LAO69" s="13"/>
      <c r="LAP69" s="13"/>
      <c r="LAQ69" s="13"/>
      <c r="LAR69" s="13"/>
      <c r="LAS69" s="13"/>
      <c r="LAT69" s="13"/>
      <c r="LAU69" s="13"/>
      <c r="LAV69" s="13"/>
      <c r="LAW69" s="13"/>
      <c r="LAX69" s="13"/>
      <c r="LAY69" s="13"/>
      <c r="LAZ69" s="13"/>
      <c r="LBA69" s="13"/>
      <c r="LBB69" s="13"/>
      <c r="LBC69" s="13"/>
      <c r="LBD69" s="13"/>
      <c r="LBE69" s="13"/>
      <c r="LBF69" s="13"/>
      <c r="LBG69" s="13"/>
      <c r="LBH69" s="13"/>
      <c r="LBI69" s="13"/>
      <c r="LBJ69" s="13"/>
      <c r="LBK69" s="13"/>
      <c r="LBL69" s="13"/>
      <c r="LBM69" s="13"/>
      <c r="LBN69" s="13"/>
      <c r="LBO69" s="13"/>
      <c r="LBP69" s="13"/>
      <c r="LBQ69" s="13"/>
      <c r="LBR69" s="13"/>
      <c r="LBS69" s="13"/>
      <c r="LBT69" s="13"/>
      <c r="LBU69" s="13"/>
      <c r="LBV69" s="13"/>
      <c r="LBW69" s="13"/>
      <c r="LBX69" s="13"/>
      <c r="LBY69" s="13"/>
      <c r="LBZ69" s="13"/>
      <c r="LCA69" s="13"/>
      <c r="LCB69" s="13"/>
      <c r="LCC69" s="13"/>
      <c r="LCD69" s="13"/>
      <c r="LCE69" s="13"/>
      <c r="LCF69" s="13"/>
      <c r="LCG69" s="13"/>
      <c r="LCH69" s="13"/>
      <c r="LCI69" s="13"/>
      <c r="LCJ69" s="13"/>
      <c r="LCK69" s="13"/>
      <c r="LCL69" s="13"/>
      <c r="LCM69" s="13"/>
      <c r="LCN69" s="13"/>
      <c r="LCO69" s="13"/>
      <c r="LCP69" s="13"/>
      <c r="LCQ69" s="13"/>
      <c r="LCR69" s="13"/>
      <c r="LCS69" s="13"/>
      <c r="LCT69" s="13"/>
      <c r="LCU69" s="13"/>
      <c r="LCV69" s="13"/>
      <c r="LCW69" s="13"/>
      <c r="LCX69" s="13"/>
      <c r="LCY69" s="13"/>
      <c r="LCZ69" s="13"/>
      <c r="LDA69" s="13"/>
      <c r="LDB69" s="13"/>
      <c r="LDC69" s="13"/>
      <c r="LDD69" s="13"/>
      <c r="LDE69" s="13"/>
      <c r="LDF69" s="13"/>
      <c r="LDG69" s="13"/>
      <c r="LDH69" s="13"/>
      <c r="LDI69" s="13"/>
      <c r="LDJ69" s="13"/>
      <c r="LDK69" s="13"/>
      <c r="LDL69" s="13"/>
      <c r="LDM69" s="13"/>
      <c r="LDN69" s="13"/>
      <c r="LDO69" s="13"/>
      <c r="LDP69" s="13"/>
      <c r="LDQ69" s="13"/>
      <c r="LDR69" s="13"/>
      <c r="LDS69" s="13"/>
      <c r="LDT69" s="13"/>
      <c r="LDU69" s="13"/>
      <c r="LDV69" s="13"/>
      <c r="LDW69" s="13"/>
      <c r="LDX69" s="13"/>
      <c r="LDY69" s="13"/>
      <c r="LDZ69" s="13"/>
      <c r="LEA69" s="13"/>
      <c r="LEB69" s="13"/>
      <c r="LEC69" s="13"/>
      <c r="LED69" s="13"/>
      <c r="LEE69" s="13"/>
      <c r="LEF69" s="13"/>
      <c r="LEG69" s="13"/>
      <c r="LEH69" s="13"/>
      <c r="LEI69" s="13"/>
      <c r="LEJ69" s="13"/>
      <c r="LEK69" s="13"/>
      <c r="LEL69" s="13"/>
      <c r="LEM69" s="13"/>
      <c r="LEN69" s="13"/>
      <c r="LEO69" s="13"/>
      <c r="LEP69" s="13"/>
      <c r="LEQ69" s="13"/>
      <c r="LER69" s="13"/>
      <c r="LES69" s="13"/>
      <c r="LET69" s="13"/>
      <c r="LEU69" s="13"/>
      <c r="LEV69" s="13"/>
      <c r="LEW69" s="13"/>
      <c r="LEX69" s="13"/>
      <c r="LEY69" s="13"/>
      <c r="LEZ69" s="13"/>
      <c r="LFA69" s="13"/>
      <c r="LFB69" s="13"/>
      <c r="LFC69" s="13"/>
      <c r="LFD69" s="13"/>
      <c r="LFE69" s="13"/>
      <c r="LFF69" s="13"/>
      <c r="LFG69" s="13"/>
      <c r="LFH69" s="13"/>
      <c r="LFI69" s="13"/>
      <c r="LFJ69" s="13"/>
      <c r="LFK69" s="13"/>
      <c r="LFL69" s="13"/>
      <c r="LFM69" s="13"/>
      <c r="LFN69" s="13"/>
      <c r="LFO69" s="13"/>
      <c r="LFP69" s="13"/>
      <c r="LFQ69" s="13"/>
      <c r="LFR69" s="13"/>
      <c r="LFS69" s="13"/>
      <c r="LFT69" s="13"/>
      <c r="LFU69" s="13"/>
      <c r="LFV69" s="13"/>
      <c r="LFW69" s="13"/>
      <c r="LFX69" s="13"/>
      <c r="LFY69" s="13"/>
      <c r="LFZ69" s="13"/>
      <c r="LGA69" s="13"/>
      <c r="LGB69" s="13"/>
      <c r="LGC69" s="13"/>
      <c r="LGD69" s="13"/>
      <c r="LGE69" s="13"/>
      <c r="LGF69" s="13"/>
      <c r="LGG69" s="13"/>
      <c r="LGH69" s="13"/>
      <c r="LGI69" s="13"/>
      <c r="LGJ69" s="13"/>
      <c r="LGK69" s="13"/>
      <c r="LGL69" s="13"/>
      <c r="LGM69" s="13"/>
      <c r="LGN69" s="13"/>
      <c r="LGO69" s="13"/>
      <c r="LGP69" s="13"/>
      <c r="LGQ69" s="13"/>
      <c r="LGR69" s="13"/>
      <c r="LGS69" s="13"/>
      <c r="LGT69" s="13"/>
      <c r="LGU69" s="13"/>
      <c r="LGV69" s="13"/>
      <c r="LGW69" s="13"/>
      <c r="LGX69" s="13"/>
      <c r="LGY69" s="13"/>
      <c r="LGZ69" s="13"/>
      <c r="LHA69" s="13"/>
      <c r="LHB69" s="13"/>
      <c r="LHC69" s="13"/>
      <c r="LHD69" s="13"/>
      <c r="LHE69" s="13"/>
      <c r="LHF69" s="13"/>
      <c r="LHG69" s="13"/>
      <c r="LHH69" s="13"/>
      <c r="LHI69" s="13"/>
      <c r="LHJ69" s="13"/>
      <c r="LHK69" s="13"/>
      <c r="LHL69" s="13"/>
      <c r="LHM69" s="13"/>
      <c r="LHN69" s="13"/>
      <c r="LHO69" s="13"/>
      <c r="LHP69" s="13"/>
      <c r="LHQ69" s="13"/>
      <c r="LHR69" s="13"/>
      <c r="LHS69" s="13"/>
      <c r="LHT69" s="13"/>
      <c r="LHU69" s="13"/>
      <c r="LHV69" s="13"/>
      <c r="LHW69" s="13"/>
      <c r="LHX69" s="13"/>
      <c r="LHY69" s="13"/>
      <c r="LHZ69" s="13"/>
      <c r="LIA69" s="13"/>
      <c r="LIB69" s="13"/>
      <c r="LIC69" s="13"/>
      <c r="LID69" s="13"/>
      <c r="LIE69" s="13"/>
      <c r="LIF69" s="13"/>
      <c r="LIG69" s="13"/>
      <c r="LIH69" s="13"/>
      <c r="LII69" s="13"/>
      <c r="LIJ69" s="13"/>
      <c r="LIK69" s="13"/>
      <c r="LIL69" s="13"/>
      <c r="LIM69" s="13"/>
      <c r="LIN69" s="13"/>
      <c r="LIO69" s="13"/>
      <c r="LIP69" s="13"/>
      <c r="LIQ69" s="13"/>
      <c r="LIR69" s="13"/>
      <c r="LIS69" s="13"/>
      <c r="LIT69" s="13"/>
      <c r="LIU69" s="13"/>
      <c r="LIV69" s="13"/>
      <c r="LIW69" s="13"/>
      <c r="LIX69" s="13"/>
      <c r="LIY69" s="13"/>
      <c r="LIZ69" s="13"/>
      <c r="LJA69" s="13"/>
      <c r="LJB69" s="13"/>
      <c r="LJC69" s="13"/>
      <c r="LJD69" s="13"/>
      <c r="LJE69" s="13"/>
      <c r="LJF69" s="13"/>
      <c r="LJG69" s="13"/>
      <c r="LJH69" s="13"/>
      <c r="LJI69" s="13"/>
      <c r="LJJ69" s="13"/>
      <c r="LJK69" s="13"/>
      <c r="LJL69" s="13"/>
      <c r="LJM69" s="13"/>
      <c r="LJN69" s="13"/>
      <c r="LJO69" s="13"/>
      <c r="LJP69" s="13"/>
      <c r="LJQ69" s="13"/>
      <c r="LJR69" s="13"/>
      <c r="LJS69" s="13"/>
      <c r="LJT69" s="13"/>
      <c r="LJU69" s="13"/>
      <c r="LJV69" s="13"/>
      <c r="LJW69" s="13"/>
      <c r="LJX69" s="13"/>
      <c r="LJY69" s="13"/>
      <c r="LJZ69" s="13"/>
      <c r="LKA69" s="13"/>
      <c r="LKB69" s="13"/>
      <c r="LKC69" s="13"/>
      <c r="LKD69" s="13"/>
      <c r="LKE69" s="13"/>
      <c r="LKF69" s="13"/>
      <c r="LKG69" s="13"/>
      <c r="LKH69" s="13"/>
      <c r="LKI69" s="13"/>
      <c r="LKJ69" s="13"/>
      <c r="LKK69" s="13"/>
      <c r="LKL69" s="13"/>
      <c r="LKM69" s="13"/>
      <c r="LKN69" s="13"/>
      <c r="LKO69" s="13"/>
      <c r="LKP69" s="13"/>
      <c r="LKQ69" s="13"/>
      <c r="LKR69" s="13"/>
      <c r="LKS69" s="13"/>
      <c r="LKT69" s="13"/>
      <c r="LKU69" s="13"/>
      <c r="LKV69" s="13"/>
      <c r="LKW69" s="13"/>
      <c r="LKX69" s="13"/>
      <c r="LKY69" s="13"/>
      <c r="LKZ69" s="13"/>
      <c r="LLA69" s="13"/>
      <c r="LLB69" s="13"/>
      <c r="LLC69" s="13"/>
      <c r="LLD69" s="13"/>
      <c r="LLE69" s="13"/>
      <c r="LLF69" s="13"/>
      <c r="LLG69" s="13"/>
      <c r="LLH69" s="13"/>
      <c r="LLI69" s="13"/>
      <c r="LLJ69" s="13"/>
      <c r="LLK69" s="13"/>
      <c r="LLL69" s="13"/>
      <c r="LLM69" s="13"/>
      <c r="LLN69" s="13"/>
      <c r="LLO69" s="13"/>
      <c r="LLP69" s="13"/>
      <c r="LLQ69" s="13"/>
      <c r="LLR69" s="13"/>
      <c r="LLS69" s="13"/>
      <c r="LLT69" s="13"/>
      <c r="LLU69" s="13"/>
      <c r="LLV69" s="13"/>
      <c r="LLW69" s="13"/>
      <c r="LLX69" s="13"/>
      <c r="LLY69" s="13"/>
      <c r="LLZ69" s="13"/>
      <c r="LMA69" s="13"/>
      <c r="LMB69" s="13"/>
      <c r="LMC69" s="13"/>
      <c r="LMD69" s="13"/>
      <c r="LME69" s="13"/>
      <c r="LMF69" s="13"/>
      <c r="LMG69" s="13"/>
      <c r="LMH69" s="13"/>
      <c r="LMI69" s="13"/>
      <c r="LMJ69" s="13"/>
      <c r="LMK69" s="13"/>
      <c r="LML69" s="13"/>
      <c r="LMM69" s="13"/>
      <c r="LMN69" s="13"/>
      <c r="LMO69" s="13"/>
      <c r="LMP69" s="13"/>
      <c r="LMQ69" s="13"/>
      <c r="LMR69" s="13"/>
      <c r="LMS69" s="13"/>
      <c r="LMT69" s="13"/>
      <c r="LMU69" s="13"/>
      <c r="LMV69" s="13"/>
      <c r="LMW69" s="13"/>
      <c r="LMX69" s="13"/>
      <c r="LMY69" s="13"/>
      <c r="LMZ69" s="13"/>
      <c r="LNA69" s="13"/>
      <c r="LNB69" s="13"/>
      <c r="LNC69" s="13"/>
      <c r="LND69" s="13"/>
      <c r="LNE69" s="13"/>
      <c r="LNF69" s="13"/>
      <c r="LNG69" s="13"/>
      <c r="LNH69" s="13"/>
      <c r="LNI69" s="13"/>
      <c r="LNJ69" s="13"/>
      <c r="LNK69" s="13"/>
      <c r="LNL69" s="13"/>
      <c r="LNM69" s="13"/>
      <c r="LNN69" s="13"/>
      <c r="LNO69" s="13"/>
      <c r="LNP69" s="13"/>
      <c r="LNQ69" s="13"/>
      <c r="LNR69" s="13"/>
      <c r="LNS69" s="13"/>
      <c r="LNT69" s="13"/>
      <c r="LNU69" s="13"/>
      <c r="LNV69" s="13"/>
      <c r="LNW69" s="13"/>
      <c r="LNX69" s="13"/>
      <c r="LNY69" s="13"/>
      <c r="LNZ69" s="13"/>
      <c r="LOA69" s="13"/>
      <c r="LOB69" s="13"/>
      <c r="LOC69" s="13"/>
      <c r="LOD69" s="13"/>
      <c r="LOE69" s="13"/>
      <c r="LOF69" s="13"/>
      <c r="LOG69" s="13"/>
      <c r="LOH69" s="13"/>
      <c r="LOI69" s="13"/>
      <c r="LOJ69" s="13"/>
      <c r="LOK69" s="13"/>
      <c r="LOL69" s="13"/>
      <c r="LOM69" s="13"/>
      <c r="LON69" s="13"/>
      <c r="LOO69" s="13"/>
      <c r="LOP69" s="13"/>
      <c r="LOQ69" s="13"/>
      <c r="LOR69" s="13"/>
      <c r="LOS69" s="13"/>
      <c r="LOT69" s="13"/>
      <c r="LOU69" s="13"/>
      <c r="LOV69" s="13"/>
      <c r="LOW69" s="13"/>
      <c r="LOX69" s="13"/>
      <c r="LOY69" s="13"/>
      <c r="LOZ69" s="13"/>
      <c r="LPA69" s="13"/>
      <c r="LPB69" s="13"/>
      <c r="LPC69" s="13"/>
      <c r="LPD69" s="13"/>
      <c r="LPE69" s="13"/>
      <c r="LPF69" s="13"/>
      <c r="LPG69" s="13"/>
      <c r="LPH69" s="13"/>
      <c r="LPI69" s="13"/>
      <c r="LPJ69" s="13"/>
      <c r="LPK69" s="13"/>
      <c r="LPL69" s="13"/>
      <c r="LPM69" s="13"/>
      <c r="LPN69" s="13"/>
      <c r="LPO69" s="13"/>
      <c r="LPP69" s="13"/>
      <c r="LPQ69" s="13"/>
      <c r="LPR69" s="13"/>
      <c r="LPS69" s="13"/>
      <c r="LPT69" s="13"/>
      <c r="LPU69" s="13"/>
      <c r="LPV69" s="13"/>
      <c r="LPW69" s="13"/>
      <c r="LPX69" s="13"/>
      <c r="LPY69" s="13"/>
      <c r="LPZ69" s="13"/>
      <c r="LQA69" s="13"/>
      <c r="LQB69" s="13"/>
      <c r="LQC69" s="13"/>
      <c r="LQD69" s="13"/>
      <c r="LQE69" s="13"/>
      <c r="LQF69" s="13"/>
      <c r="LQG69" s="13"/>
      <c r="LQH69" s="13"/>
      <c r="LQI69" s="13"/>
      <c r="LQJ69" s="13"/>
      <c r="LQK69" s="13"/>
      <c r="LQL69" s="13"/>
      <c r="LQM69" s="13"/>
      <c r="LQN69" s="13"/>
      <c r="LQO69" s="13"/>
      <c r="LQP69" s="13"/>
      <c r="LQQ69" s="13"/>
      <c r="LQR69" s="13"/>
      <c r="LQS69" s="13"/>
      <c r="LQT69" s="13"/>
      <c r="LQU69" s="13"/>
      <c r="LQV69" s="13"/>
      <c r="LQW69" s="13"/>
      <c r="LQX69" s="13"/>
      <c r="LQY69" s="13"/>
      <c r="LQZ69" s="13"/>
      <c r="LRA69" s="13"/>
      <c r="LRB69" s="13"/>
      <c r="LRC69" s="13"/>
      <c r="LRD69" s="13"/>
      <c r="LRE69" s="13"/>
      <c r="LRF69" s="13"/>
      <c r="LRG69" s="13"/>
      <c r="LRH69" s="13"/>
      <c r="LRI69" s="13"/>
      <c r="LRJ69" s="13"/>
      <c r="LRK69" s="13"/>
      <c r="LRL69" s="13"/>
      <c r="LRM69" s="13"/>
      <c r="LRN69" s="13"/>
      <c r="LRO69" s="13"/>
      <c r="LRP69" s="13"/>
      <c r="LRQ69" s="13"/>
      <c r="LRR69" s="13"/>
      <c r="LRS69" s="13"/>
      <c r="LRT69" s="13"/>
      <c r="LRU69" s="13"/>
      <c r="LRV69" s="13"/>
      <c r="LRW69" s="13"/>
      <c r="LRX69" s="13"/>
      <c r="LRY69" s="13"/>
      <c r="LRZ69" s="13"/>
      <c r="LSA69" s="13"/>
      <c r="LSB69" s="13"/>
      <c r="LSC69" s="13"/>
      <c r="LSD69" s="13"/>
      <c r="LSE69" s="13"/>
      <c r="LSF69" s="13"/>
      <c r="LSG69" s="13"/>
      <c r="LSH69" s="13"/>
      <c r="LSI69" s="13"/>
      <c r="LSJ69" s="13"/>
      <c r="LSK69" s="13"/>
      <c r="LSL69" s="13"/>
      <c r="LSM69" s="13"/>
      <c r="LSN69" s="13"/>
      <c r="LSO69" s="13"/>
      <c r="LSP69" s="13"/>
      <c r="LSQ69" s="13"/>
      <c r="LSR69" s="13"/>
      <c r="LSS69" s="13"/>
      <c r="LST69" s="13"/>
      <c r="LSU69" s="13"/>
      <c r="LSV69" s="13"/>
      <c r="LSW69" s="13"/>
      <c r="LSX69" s="13"/>
      <c r="LSY69" s="13"/>
      <c r="LSZ69" s="13"/>
      <c r="LTA69" s="13"/>
      <c r="LTB69" s="13"/>
      <c r="LTC69" s="13"/>
      <c r="LTD69" s="13"/>
      <c r="LTE69" s="13"/>
      <c r="LTF69" s="13"/>
      <c r="LTG69" s="13"/>
      <c r="LTH69" s="13"/>
      <c r="LTI69" s="13"/>
      <c r="LTJ69" s="13"/>
      <c r="LTK69" s="13"/>
      <c r="LTL69" s="13"/>
      <c r="LTM69" s="13"/>
      <c r="LTN69" s="13"/>
      <c r="LTO69" s="13"/>
      <c r="LTP69" s="13"/>
      <c r="LTQ69" s="13"/>
      <c r="LTR69" s="13"/>
      <c r="LTS69" s="13"/>
      <c r="LTT69" s="13"/>
      <c r="LTU69" s="13"/>
      <c r="LTV69" s="13"/>
      <c r="LTW69" s="13"/>
      <c r="LTX69" s="13"/>
      <c r="LTY69" s="13"/>
      <c r="LTZ69" s="13"/>
      <c r="LUA69" s="13"/>
      <c r="LUB69" s="13"/>
      <c r="LUC69" s="13"/>
      <c r="LUD69" s="13"/>
      <c r="LUE69" s="13"/>
      <c r="LUF69" s="13"/>
      <c r="LUG69" s="13"/>
      <c r="LUH69" s="13"/>
      <c r="LUI69" s="13"/>
      <c r="LUJ69" s="13"/>
      <c r="LUK69" s="13"/>
      <c r="LUL69" s="13"/>
      <c r="LUM69" s="13"/>
      <c r="LUN69" s="13"/>
      <c r="LUO69" s="13"/>
      <c r="LUP69" s="13"/>
      <c r="LUQ69" s="13"/>
      <c r="LUR69" s="13"/>
      <c r="LUS69" s="13"/>
      <c r="LUT69" s="13"/>
      <c r="LUU69" s="13"/>
      <c r="LUV69" s="13"/>
      <c r="LUW69" s="13"/>
      <c r="LUX69" s="13"/>
      <c r="LUY69" s="13"/>
      <c r="LUZ69" s="13"/>
      <c r="LVA69" s="13"/>
      <c r="LVB69" s="13"/>
      <c r="LVC69" s="13"/>
      <c r="LVD69" s="13"/>
      <c r="LVE69" s="13"/>
      <c r="LVF69" s="13"/>
      <c r="LVG69" s="13"/>
      <c r="LVH69" s="13"/>
      <c r="LVI69" s="13"/>
      <c r="LVJ69" s="13"/>
      <c r="LVK69" s="13"/>
      <c r="LVL69" s="13"/>
      <c r="LVM69" s="13"/>
      <c r="LVN69" s="13"/>
      <c r="LVO69" s="13"/>
      <c r="LVP69" s="13"/>
      <c r="LVQ69" s="13"/>
      <c r="LVR69" s="13"/>
      <c r="LVS69" s="13"/>
      <c r="LVT69" s="13"/>
      <c r="LVU69" s="13"/>
      <c r="LVV69" s="13"/>
      <c r="LVW69" s="13"/>
      <c r="LVX69" s="13"/>
      <c r="LVY69" s="13"/>
      <c r="LVZ69" s="13"/>
      <c r="LWA69" s="13"/>
      <c r="LWB69" s="13"/>
      <c r="LWC69" s="13"/>
      <c r="LWD69" s="13"/>
      <c r="LWE69" s="13"/>
      <c r="LWF69" s="13"/>
      <c r="LWG69" s="13"/>
      <c r="LWH69" s="13"/>
      <c r="LWI69" s="13"/>
      <c r="LWJ69" s="13"/>
      <c r="LWK69" s="13"/>
      <c r="LWL69" s="13"/>
      <c r="LWM69" s="13"/>
      <c r="LWN69" s="13"/>
      <c r="LWO69" s="13"/>
      <c r="LWP69" s="13"/>
      <c r="LWQ69" s="13"/>
      <c r="LWR69" s="13"/>
      <c r="LWS69" s="13"/>
      <c r="LWT69" s="13"/>
      <c r="LWU69" s="13"/>
      <c r="LWV69" s="13"/>
      <c r="LWW69" s="13"/>
      <c r="LWX69" s="13"/>
      <c r="LWY69" s="13"/>
      <c r="LWZ69" s="13"/>
      <c r="LXA69" s="13"/>
      <c r="LXB69" s="13"/>
      <c r="LXC69" s="13"/>
      <c r="LXD69" s="13"/>
      <c r="LXE69" s="13"/>
      <c r="LXF69" s="13"/>
      <c r="LXG69" s="13"/>
      <c r="LXH69" s="13"/>
      <c r="LXI69" s="13"/>
      <c r="LXJ69" s="13"/>
      <c r="LXK69" s="13"/>
      <c r="LXL69" s="13"/>
      <c r="LXM69" s="13"/>
      <c r="LXN69" s="13"/>
      <c r="LXO69" s="13"/>
      <c r="LXP69" s="13"/>
      <c r="LXQ69" s="13"/>
      <c r="LXR69" s="13"/>
      <c r="LXS69" s="13"/>
      <c r="LXT69" s="13"/>
      <c r="LXU69" s="13"/>
      <c r="LXV69" s="13"/>
      <c r="LXW69" s="13"/>
      <c r="LXX69" s="13"/>
      <c r="LXY69" s="13"/>
      <c r="LXZ69" s="13"/>
      <c r="LYA69" s="13"/>
      <c r="LYB69" s="13"/>
      <c r="LYC69" s="13"/>
      <c r="LYD69" s="13"/>
      <c r="LYE69" s="13"/>
      <c r="LYF69" s="13"/>
      <c r="LYG69" s="13"/>
      <c r="LYH69" s="13"/>
      <c r="LYI69" s="13"/>
      <c r="LYJ69" s="13"/>
      <c r="LYK69" s="13"/>
      <c r="LYL69" s="13"/>
      <c r="LYM69" s="13"/>
      <c r="LYN69" s="13"/>
      <c r="LYO69" s="13"/>
      <c r="LYP69" s="13"/>
      <c r="LYQ69" s="13"/>
      <c r="LYR69" s="13"/>
      <c r="LYS69" s="13"/>
      <c r="LYT69" s="13"/>
      <c r="LYU69" s="13"/>
      <c r="LYV69" s="13"/>
      <c r="LYW69" s="13"/>
      <c r="LYX69" s="13"/>
      <c r="LYY69" s="13"/>
      <c r="LYZ69" s="13"/>
      <c r="LZA69" s="13"/>
      <c r="LZB69" s="13"/>
      <c r="LZC69" s="13"/>
      <c r="LZD69" s="13"/>
      <c r="LZE69" s="13"/>
      <c r="LZF69" s="13"/>
      <c r="LZG69" s="13"/>
      <c r="LZH69" s="13"/>
      <c r="LZI69" s="13"/>
      <c r="LZJ69" s="13"/>
      <c r="LZK69" s="13"/>
      <c r="LZL69" s="13"/>
      <c r="LZM69" s="13"/>
      <c r="LZN69" s="13"/>
      <c r="LZO69" s="13"/>
      <c r="LZP69" s="13"/>
      <c r="LZQ69" s="13"/>
      <c r="LZR69" s="13"/>
      <c r="LZS69" s="13"/>
      <c r="LZT69" s="13"/>
      <c r="LZU69" s="13"/>
      <c r="LZV69" s="13"/>
      <c r="LZW69" s="13"/>
      <c r="LZX69" s="13"/>
      <c r="LZY69" s="13"/>
      <c r="LZZ69" s="13"/>
      <c r="MAA69" s="13"/>
      <c r="MAB69" s="13"/>
      <c r="MAC69" s="13"/>
      <c r="MAD69" s="13"/>
      <c r="MAE69" s="13"/>
      <c r="MAF69" s="13"/>
      <c r="MAG69" s="13"/>
      <c r="MAH69" s="13"/>
      <c r="MAI69" s="13"/>
      <c r="MAJ69" s="13"/>
      <c r="MAK69" s="13"/>
      <c r="MAL69" s="13"/>
      <c r="MAM69" s="13"/>
      <c r="MAN69" s="13"/>
      <c r="MAO69" s="13"/>
      <c r="MAP69" s="13"/>
      <c r="MAQ69" s="13"/>
      <c r="MAR69" s="13"/>
      <c r="MAS69" s="13"/>
      <c r="MAT69" s="13"/>
      <c r="MAU69" s="13"/>
      <c r="MAV69" s="13"/>
      <c r="MAW69" s="13"/>
      <c r="MAX69" s="13"/>
      <c r="MAY69" s="13"/>
      <c r="MAZ69" s="13"/>
      <c r="MBA69" s="13"/>
      <c r="MBB69" s="13"/>
      <c r="MBC69" s="13"/>
      <c r="MBD69" s="13"/>
      <c r="MBE69" s="13"/>
      <c r="MBF69" s="13"/>
      <c r="MBG69" s="13"/>
      <c r="MBH69" s="13"/>
      <c r="MBI69" s="13"/>
      <c r="MBJ69" s="13"/>
      <c r="MBK69" s="13"/>
      <c r="MBL69" s="13"/>
      <c r="MBM69" s="13"/>
      <c r="MBN69" s="13"/>
      <c r="MBO69" s="13"/>
      <c r="MBP69" s="13"/>
      <c r="MBQ69" s="13"/>
      <c r="MBR69" s="13"/>
      <c r="MBS69" s="13"/>
      <c r="MBT69" s="13"/>
      <c r="MBU69" s="13"/>
      <c r="MBV69" s="13"/>
      <c r="MBW69" s="13"/>
      <c r="MBX69" s="13"/>
      <c r="MBY69" s="13"/>
      <c r="MBZ69" s="13"/>
      <c r="MCA69" s="13"/>
      <c r="MCB69" s="13"/>
      <c r="MCC69" s="13"/>
      <c r="MCD69" s="13"/>
      <c r="MCE69" s="13"/>
      <c r="MCF69" s="13"/>
      <c r="MCG69" s="13"/>
      <c r="MCH69" s="13"/>
      <c r="MCI69" s="13"/>
      <c r="MCJ69" s="13"/>
      <c r="MCK69" s="13"/>
      <c r="MCL69" s="13"/>
      <c r="MCM69" s="13"/>
      <c r="MCN69" s="13"/>
      <c r="MCO69" s="13"/>
      <c r="MCP69" s="13"/>
      <c r="MCQ69" s="13"/>
      <c r="MCR69" s="13"/>
      <c r="MCS69" s="13"/>
      <c r="MCT69" s="13"/>
      <c r="MCU69" s="13"/>
      <c r="MCV69" s="13"/>
      <c r="MCW69" s="13"/>
      <c r="MCX69" s="13"/>
      <c r="MCY69" s="13"/>
      <c r="MCZ69" s="13"/>
      <c r="MDA69" s="13"/>
      <c r="MDB69" s="13"/>
      <c r="MDC69" s="13"/>
      <c r="MDD69" s="13"/>
      <c r="MDE69" s="13"/>
      <c r="MDF69" s="13"/>
      <c r="MDG69" s="13"/>
      <c r="MDH69" s="13"/>
      <c r="MDI69" s="13"/>
      <c r="MDJ69" s="13"/>
      <c r="MDK69" s="13"/>
      <c r="MDL69" s="13"/>
      <c r="MDM69" s="13"/>
      <c r="MDN69" s="13"/>
      <c r="MDO69" s="13"/>
      <c r="MDP69" s="13"/>
      <c r="MDQ69" s="13"/>
      <c r="MDR69" s="13"/>
      <c r="MDS69" s="13"/>
      <c r="MDT69" s="13"/>
      <c r="MDU69" s="13"/>
      <c r="MDV69" s="13"/>
      <c r="MDW69" s="13"/>
      <c r="MDX69" s="13"/>
      <c r="MDY69" s="13"/>
      <c r="MDZ69" s="13"/>
      <c r="MEA69" s="13"/>
      <c r="MEB69" s="13"/>
      <c r="MEC69" s="13"/>
      <c r="MED69" s="13"/>
      <c r="MEE69" s="13"/>
      <c r="MEF69" s="13"/>
      <c r="MEG69" s="13"/>
      <c r="MEH69" s="13"/>
      <c r="MEI69" s="13"/>
      <c r="MEJ69" s="13"/>
      <c r="MEK69" s="13"/>
      <c r="MEL69" s="13"/>
      <c r="MEM69" s="13"/>
      <c r="MEN69" s="13"/>
      <c r="MEO69" s="13"/>
      <c r="MEP69" s="13"/>
      <c r="MEQ69" s="13"/>
      <c r="MER69" s="13"/>
      <c r="MES69" s="13"/>
      <c r="MET69" s="13"/>
      <c r="MEU69" s="13"/>
      <c r="MEV69" s="13"/>
      <c r="MEW69" s="13"/>
      <c r="MEX69" s="13"/>
      <c r="MEY69" s="13"/>
      <c r="MEZ69" s="13"/>
      <c r="MFA69" s="13"/>
      <c r="MFB69" s="13"/>
      <c r="MFC69" s="13"/>
      <c r="MFD69" s="13"/>
      <c r="MFE69" s="13"/>
      <c r="MFF69" s="13"/>
      <c r="MFG69" s="13"/>
      <c r="MFH69" s="13"/>
      <c r="MFI69" s="13"/>
      <c r="MFJ69" s="13"/>
      <c r="MFK69" s="13"/>
      <c r="MFL69" s="13"/>
      <c r="MFM69" s="13"/>
      <c r="MFN69" s="13"/>
      <c r="MFO69" s="13"/>
      <c r="MFP69" s="13"/>
      <c r="MFQ69" s="13"/>
      <c r="MFR69" s="13"/>
      <c r="MFS69" s="13"/>
      <c r="MFT69" s="13"/>
      <c r="MFU69" s="13"/>
      <c r="MFV69" s="13"/>
      <c r="MFW69" s="13"/>
      <c r="MFX69" s="13"/>
      <c r="MFY69" s="13"/>
      <c r="MFZ69" s="13"/>
      <c r="MGA69" s="13"/>
      <c r="MGB69" s="13"/>
      <c r="MGC69" s="13"/>
      <c r="MGD69" s="13"/>
      <c r="MGE69" s="13"/>
      <c r="MGF69" s="13"/>
      <c r="MGG69" s="13"/>
      <c r="MGH69" s="13"/>
      <c r="MGI69" s="13"/>
      <c r="MGJ69" s="13"/>
      <c r="MGK69" s="13"/>
      <c r="MGL69" s="13"/>
      <c r="MGM69" s="13"/>
      <c r="MGN69" s="13"/>
      <c r="MGO69" s="13"/>
      <c r="MGP69" s="13"/>
      <c r="MGQ69" s="13"/>
      <c r="MGR69" s="13"/>
      <c r="MGS69" s="13"/>
      <c r="MGT69" s="13"/>
      <c r="MGU69" s="13"/>
      <c r="MGV69" s="13"/>
      <c r="MGW69" s="13"/>
      <c r="MGX69" s="13"/>
      <c r="MGY69" s="13"/>
      <c r="MGZ69" s="13"/>
      <c r="MHA69" s="13"/>
      <c r="MHB69" s="13"/>
      <c r="MHC69" s="13"/>
      <c r="MHD69" s="13"/>
      <c r="MHE69" s="13"/>
      <c r="MHF69" s="13"/>
      <c r="MHG69" s="13"/>
      <c r="MHH69" s="13"/>
      <c r="MHI69" s="13"/>
      <c r="MHJ69" s="13"/>
      <c r="MHK69" s="13"/>
      <c r="MHL69" s="13"/>
      <c r="MHM69" s="13"/>
      <c r="MHN69" s="13"/>
      <c r="MHO69" s="13"/>
      <c r="MHP69" s="13"/>
      <c r="MHQ69" s="13"/>
      <c r="MHR69" s="13"/>
      <c r="MHS69" s="13"/>
      <c r="MHT69" s="13"/>
      <c r="MHU69" s="13"/>
      <c r="MHV69" s="13"/>
      <c r="MHW69" s="13"/>
      <c r="MHX69" s="13"/>
      <c r="MHY69" s="13"/>
      <c r="MHZ69" s="13"/>
      <c r="MIA69" s="13"/>
      <c r="MIB69" s="13"/>
      <c r="MIC69" s="13"/>
      <c r="MID69" s="13"/>
      <c r="MIE69" s="13"/>
      <c r="MIF69" s="13"/>
      <c r="MIG69" s="13"/>
      <c r="MIH69" s="13"/>
      <c r="MII69" s="13"/>
      <c r="MIJ69" s="13"/>
      <c r="MIK69" s="13"/>
      <c r="MIL69" s="13"/>
      <c r="MIM69" s="13"/>
      <c r="MIN69" s="13"/>
      <c r="MIO69" s="13"/>
      <c r="MIP69" s="13"/>
      <c r="MIQ69" s="13"/>
      <c r="MIR69" s="13"/>
      <c r="MIS69" s="13"/>
      <c r="MIT69" s="13"/>
      <c r="MIU69" s="13"/>
      <c r="MIV69" s="13"/>
      <c r="MIW69" s="13"/>
      <c r="MIX69" s="13"/>
      <c r="MIY69" s="13"/>
      <c r="MIZ69" s="13"/>
      <c r="MJA69" s="13"/>
      <c r="MJB69" s="13"/>
      <c r="MJC69" s="13"/>
      <c r="MJD69" s="13"/>
      <c r="MJE69" s="13"/>
      <c r="MJF69" s="13"/>
      <c r="MJG69" s="13"/>
      <c r="MJH69" s="13"/>
      <c r="MJI69" s="13"/>
      <c r="MJJ69" s="13"/>
      <c r="MJK69" s="13"/>
      <c r="MJL69" s="13"/>
      <c r="MJM69" s="13"/>
      <c r="MJN69" s="13"/>
      <c r="MJO69" s="13"/>
      <c r="MJP69" s="13"/>
      <c r="MJQ69" s="13"/>
      <c r="MJR69" s="13"/>
      <c r="MJS69" s="13"/>
      <c r="MJT69" s="13"/>
      <c r="MJU69" s="13"/>
      <c r="MJV69" s="13"/>
      <c r="MJW69" s="13"/>
      <c r="MJX69" s="13"/>
      <c r="MJY69" s="13"/>
      <c r="MJZ69" s="13"/>
      <c r="MKA69" s="13"/>
      <c r="MKB69" s="13"/>
      <c r="MKC69" s="13"/>
      <c r="MKD69" s="13"/>
      <c r="MKE69" s="13"/>
      <c r="MKF69" s="13"/>
      <c r="MKG69" s="13"/>
      <c r="MKH69" s="13"/>
      <c r="MKI69" s="13"/>
      <c r="MKJ69" s="13"/>
      <c r="MKK69" s="13"/>
      <c r="MKL69" s="13"/>
      <c r="MKM69" s="13"/>
      <c r="MKN69" s="13"/>
      <c r="MKO69" s="13"/>
      <c r="MKP69" s="13"/>
      <c r="MKQ69" s="13"/>
      <c r="MKR69" s="13"/>
      <c r="MKS69" s="13"/>
      <c r="MKT69" s="13"/>
      <c r="MKU69" s="13"/>
      <c r="MKV69" s="13"/>
      <c r="MKW69" s="13"/>
      <c r="MKX69" s="13"/>
      <c r="MKY69" s="13"/>
      <c r="MKZ69" s="13"/>
      <c r="MLA69" s="13"/>
      <c r="MLB69" s="13"/>
      <c r="MLC69" s="13"/>
      <c r="MLD69" s="13"/>
      <c r="MLE69" s="13"/>
      <c r="MLF69" s="13"/>
      <c r="MLG69" s="13"/>
      <c r="MLH69" s="13"/>
      <c r="MLI69" s="13"/>
      <c r="MLJ69" s="13"/>
      <c r="MLK69" s="13"/>
      <c r="MLL69" s="13"/>
      <c r="MLM69" s="13"/>
      <c r="MLN69" s="13"/>
      <c r="MLO69" s="13"/>
      <c r="MLP69" s="13"/>
      <c r="MLQ69" s="13"/>
      <c r="MLR69" s="13"/>
      <c r="MLS69" s="13"/>
      <c r="MLT69" s="13"/>
      <c r="MLU69" s="13"/>
      <c r="MLV69" s="13"/>
      <c r="MLW69" s="13"/>
      <c r="MLX69" s="13"/>
      <c r="MLY69" s="13"/>
      <c r="MLZ69" s="13"/>
      <c r="MMA69" s="13"/>
      <c r="MMB69" s="13"/>
      <c r="MMC69" s="13"/>
      <c r="MMD69" s="13"/>
      <c r="MME69" s="13"/>
      <c r="MMF69" s="13"/>
      <c r="MMG69" s="13"/>
      <c r="MMH69" s="13"/>
      <c r="MMI69" s="13"/>
      <c r="MMJ69" s="13"/>
      <c r="MMK69" s="13"/>
      <c r="MML69" s="13"/>
      <c r="MMM69" s="13"/>
      <c r="MMN69" s="13"/>
      <c r="MMO69" s="13"/>
      <c r="MMP69" s="13"/>
      <c r="MMQ69" s="13"/>
      <c r="MMR69" s="13"/>
      <c r="MMS69" s="13"/>
      <c r="MMT69" s="13"/>
      <c r="MMU69" s="13"/>
      <c r="MMV69" s="13"/>
      <c r="MMW69" s="13"/>
      <c r="MMX69" s="13"/>
      <c r="MMY69" s="13"/>
      <c r="MMZ69" s="13"/>
      <c r="MNA69" s="13"/>
      <c r="MNB69" s="13"/>
      <c r="MNC69" s="13"/>
      <c r="MND69" s="13"/>
      <c r="MNE69" s="13"/>
      <c r="MNF69" s="13"/>
      <c r="MNG69" s="13"/>
      <c r="MNH69" s="13"/>
      <c r="MNI69" s="13"/>
      <c r="MNJ69" s="13"/>
      <c r="MNK69" s="13"/>
      <c r="MNL69" s="13"/>
      <c r="MNM69" s="13"/>
      <c r="MNN69" s="13"/>
      <c r="MNO69" s="13"/>
      <c r="MNP69" s="13"/>
      <c r="MNQ69" s="13"/>
      <c r="MNR69" s="13"/>
      <c r="MNS69" s="13"/>
      <c r="MNT69" s="13"/>
      <c r="MNU69" s="13"/>
      <c r="MNV69" s="13"/>
      <c r="MNW69" s="13"/>
      <c r="MNX69" s="13"/>
      <c r="MNY69" s="13"/>
      <c r="MNZ69" s="13"/>
      <c r="MOA69" s="13"/>
      <c r="MOB69" s="13"/>
      <c r="MOC69" s="13"/>
      <c r="MOD69" s="13"/>
      <c r="MOE69" s="13"/>
      <c r="MOF69" s="13"/>
      <c r="MOG69" s="13"/>
      <c r="MOH69" s="13"/>
      <c r="MOI69" s="13"/>
      <c r="MOJ69" s="13"/>
      <c r="MOK69" s="13"/>
      <c r="MOL69" s="13"/>
      <c r="MOM69" s="13"/>
      <c r="MON69" s="13"/>
      <c r="MOO69" s="13"/>
      <c r="MOP69" s="13"/>
      <c r="MOQ69" s="13"/>
      <c r="MOR69" s="13"/>
      <c r="MOS69" s="13"/>
      <c r="MOT69" s="13"/>
      <c r="MOU69" s="13"/>
      <c r="MOV69" s="13"/>
      <c r="MOW69" s="13"/>
      <c r="MOX69" s="13"/>
      <c r="MOY69" s="13"/>
      <c r="MOZ69" s="13"/>
      <c r="MPA69" s="13"/>
      <c r="MPB69" s="13"/>
      <c r="MPC69" s="13"/>
      <c r="MPD69" s="13"/>
      <c r="MPE69" s="13"/>
      <c r="MPF69" s="13"/>
      <c r="MPG69" s="13"/>
      <c r="MPH69" s="13"/>
      <c r="MPI69" s="13"/>
      <c r="MPJ69" s="13"/>
      <c r="MPK69" s="13"/>
      <c r="MPL69" s="13"/>
      <c r="MPM69" s="13"/>
      <c r="MPN69" s="13"/>
      <c r="MPO69" s="13"/>
      <c r="MPP69" s="13"/>
      <c r="MPQ69" s="13"/>
      <c r="MPR69" s="13"/>
      <c r="MPS69" s="13"/>
      <c r="MPT69" s="13"/>
      <c r="MPU69" s="13"/>
      <c r="MPV69" s="13"/>
      <c r="MPW69" s="13"/>
      <c r="MPX69" s="13"/>
      <c r="MPY69" s="13"/>
      <c r="MPZ69" s="13"/>
      <c r="MQA69" s="13"/>
      <c r="MQB69" s="13"/>
      <c r="MQC69" s="13"/>
      <c r="MQD69" s="13"/>
      <c r="MQE69" s="13"/>
      <c r="MQF69" s="13"/>
      <c r="MQG69" s="13"/>
      <c r="MQH69" s="13"/>
      <c r="MQI69" s="13"/>
      <c r="MQJ69" s="13"/>
      <c r="MQK69" s="13"/>
      <c r="MQL69" s="13"/>
      <c r="MQM69" s="13"/>
      <c r="MQN69" s="13"/>
      <c r="MQO69" s="13"/>
      <c r="MQP69" s="13"/>
      <c r="MQQ69" s="13"/>
      <c r="MQR69" s="13"/>
      <c r="MQS69" s="13"/>
      <c r="MQT69" s="13"/>
      <c r="MQU69" s="13"/>
      <c r="MQV69" s="13"/>
      <c r="MQW69" s="13"/>
      <c r="MQX69" s="13"/>
      <c r="MQY69" s="13"/>
      <c r="MQZ69" s="13"/>
      <c r="MRA69" s="13"/>
      <c r="MRB69" s="13"/>
      <c r="MRC69" s="13"/>
      <c r="MRD69" s="13"/>
      <c r="MRE69" s="13"/>
      <c r="MRF69" s="13"/>
      <c r="MRG69" s="13"/>
      <c r="MRH69" s="13"/>
      <c r="MRI69" s="13"/>
      <c r="MRJ69" s="13"/>
      <c r="MRK69" s="13"/>
      <c r="MRL69" s="13"/>
      <c r="MRM69" s="13"/>
      <c r="MRN69" s="13"/>
      <c r="MRO69" s="13"/>
      <c r="MRP69" s="13"/>
      <c r="MRQ69" s="13"/>
      <c r="MRR69" s="13"/>
      <c r="MRS69" s="13"/>
      <c r="MRT69" s="13"/>
      <c r="MRU69" s="13"/>
      <c r="MRV69" s="13"/>
      <c r="MRW69" s="13"/>
      <c r="MRX69" s="13"/>
      <c r="MRY69" s="13"/>
      <c r="MRZ69" s="13"/>
      <c r="MSA69" s="13"/>
      <c r="MSB69" s="13"/>
      <c r="MSC69" s="13"/>
      <c r="MSD69" s="13"/>
      <c r="MSE69" s="13"/>
      <c r="MSF69" s="13"/>
      <c r="MSG69" s="13"/>
      <c r="MSH69" s="13"/>
      <c r="MSI69" s="13"/>
      <c r="MSJ69" s="13"/>
      <c r="MSK69" s="13"/>
      <c r="MSL69" s="13"/>
      <c r="MSM69" s="13"/>
      <c r="MSN69" s="13"/>
      <c r="MSO69" s="13"/>
      <c r="MSP69" s="13"/>
      <c r="MSQ69" s="13"/>
      <c r="MSR69" s="13"/>
      <c r="MSS69" s="13"/>
      <c r="MST69" s="13"/>
      <c r="MSU69" s="13"/>
      <c r="MSV69" s="13"/>
      <c r="MSW69" s="13"/>
      <c r="MSX69" s="13"/>
      <c r="MSY69" s="13"/>
      <c r="MSZ69" s="13"/>
      <c r="MTA69" s="13"/>
      <c r="MTB69" s="13"/>
      <c r="MTC69" s="13"/>
      <c r="MTD69" s="13"/>
      <c r="MTE69" s="13"/>
      <c r="MTF69" s="13"/>
      <c r="MTG69" s="13"/>
      <c r="MTH69" s="13"/>
      <c r="MTI69" s="13"/>
      <c r="MTJ69" s="13"/>
      <c r="MTK69" s="13"/>
      <c r="MTL69" s="13"/>
      <c r="MTM69" s="13"/>
      <c r="MTN69" s="13"/>
      <c r="MTO69" s="13"/>
      <c r="MTP69" s="13"/>
      <c r="MTQ69" s="13"/>
      <c r="MTR69" s="13"/>
      <c r="MTS69" s="13"/>
      <c r="MTT69" s="13"/>
      <c r="MTU69" s="13"/>
      <c r="MTV69" s="13"/>
      <c r="MTW69" s="13"/>
      <c r="MTX69" s="13"/>
      <c r="MTY69" s="13"/>
      <c r="MTZ69" s="13"/>
      <c r="MUA69" s="13"/>
      <c r="MUB69" s="13"/>
      <c r="MUC69" s="13"/>
      <c r="MUD69" s="13"/>
      <c r="MUE69" s="13"/>
      <c r="MUF69" s="13"/>
      <c r="MUG69" s="13"/>
      <c r="MUH69" s="13"/>
      <c r="MUI69" s="13"/>
      <c r="MUJ69" s="13"/>
      <c r="MUK69" s="13"/>
      <c r="MUL69" s="13"/>
      <c r="MUM69" s="13"/>
      <c r="MUN69" s="13"/>
      <c r="MUO69" s="13"/>
      <c r="MUP69" s="13"/>
      <c r="MUQ69" s="13"/>
      <c r="MUR69" s="13"/>
      <c r="MUS69" s="13"/>
      <c r="MUT69" s="13"/>
      <c r="MUU69" s="13"/>
      <c r="MUV69" s="13"/>
      <c r="MUW69" s="13"/>
      <c r="MUX69" s="13"/>
      <c r="MUY69" s="13"/>
      <c r="MUZ69" s="13"/>
      <c r="MVA69" s="13"/>
      <c r="MVB69" s="13"/>
      <c r="MVC69" s="13"/>
      <c r="MVD69" s="13"/>
      <c r="MVE69" s="13"/>
      <c r="MVF69" s="13"/>
      <c r="MVG69" s="13"/>
      <c r="MVH69" s="13"/>
      <c r="MVI69" s="13"/>
      <c r="MVJ69" s="13"/>
      <c r="MVK69" s="13"/>
      <c r="MVL69" s="13"/>
      <c r="MVM69" s="13"/>
      <c r="MVN69" s="13"/>
      <c r="MVO69" s="13"/>
      <c r="MVP69" s="13"/>
      <c r="MVQ69" s="13"/>
      <c r="MVR69" s="13"/>
      <c r="MVS69" s="13"/>
      <c r="MVT69" s="13"/>
      <c r="MVU69" s="13"/>
      <c r="MVV69" s="13"/>
      <c r="MVW69" s="13"/>
      <c r="MVX69" s="13"/>
      <c r="MVY69" s="13"/>
      <c r="MVZ69" s="13"/>
      <c r="MWA69" s="13"/>
      <c r="MWB69" s="13"/>
      <c r="MWC69" s="13"/>
      <c r="MWD69" s="13"/>
      <c r="MWE69" s="13"/>
      <c r="MWF69" s="13"/>
      <c r="MWG69" s="13"/>
      <c r="MWH69" s="13"/>
      <c r="MWI69" s="13"/>
      <c r="MWJ69" s="13"/>
      <c r="MWK69" s="13"/>
      <c r="MWL69" s="13"/>
      <c r="MWM69" s="13"/>
      <c r="MWN69" s="13"/>
      <c r="MWO69" s="13"/>
      <c r="MWP69" s="13"/>
      <c r="MWQ69" s="13"/>
      <c r="MWR69" s="13"/>
      <c r="MWS69" s="13"/>
      <c r="MWT69" s="13"/>
      <c r="MWU69" s="13"/>
      <c r="MWV69" s="13"/>
      <c r="MWW69" s="13"/>
      <c r="MWX69" s="13"/>
      <c r="MWY69" s="13"/>
      <c r="MWZ69" s="13"/>
      <c r="MXA69" s="13"/>
      <c r="MXB69" s="13"/>
      <c r="MXC69" s="13"/>
      <c r="MXD69" s="13"/>
      <c r="MXE69" s="13"/>
      <c r="MXF69" s="13"/>
      <c r="MXG69" s="13"/>
      <c r="MXH69" s="13"/>
      <c r="MXI69" s="13"/>
      <c r="MXJ69" s="13"/>
      <c r="MXK69" s="13"/>
      <c r="MXL69" s="13"/>
      <c r="MXM69" s="13"/>
      <c r="MXN69" s="13"/>
      <c r="MXO69" s="13"/>
      <c r="MXP69" s="13"/>
      <c r="MXQ69" s="13"/>
      <c r="MXR69" s="13"/>
      <c r="MXS69" s="13"/>
      <c r="MXT69" s="13"/>
      <c r="MXU69" s="13"/>
      <c r="MXV69" s="13"/>
      <c r="MXW69" s="13"/>
      <c r="MXX69" s="13"/>
      <c r="MXY69" s="13"/>
      <c r="MXZ69" s="13"/>
      <c r="MYA69" s="13"/>
      <c r="MYB69" s="13"/>
      <c r="MYC69" s="13"/>
      <c r="MYD69" s="13"/>
      <c r="MYE69" s="13"/>
      <c r="MYF69" s="13"/>
      <c r="MYG69" s="13"/>
      <c r="MYH69" s="13"/>
      <c r="MYI69" s="13"/>
      <c r="MYJ69" s="13"/>
      <c r="MYK69" s="13"/>
      <c r="MYL69" s="13"/>
      <c r="MYM69" s="13"/>
      <c r="MYN69" s="13"/>
      <c r="MYO69" s="13"/>
      <c r="MYP69" s="13"/>
      <c r="MYQ69" s="13"/>
      <c r="MYR69" s="13"/>
      <c r="MYS69" s="13"/>
      <c r="MYT69" s="13"/>
      <c r="MYU69" s="13"/>
      <c r="MYV69" s="13"/>
      <c r="MYW69" s="13"/>
      <c r="MYX69" s="13"/>
      <c r="MYY69" s="13"/>
      <c r="MYZ69" s="13"/>
      <c r="MZA69" s="13"/>
      <c r="MZB69" s="13"/>
      <c r="MZC69" s="13"/>
      <c r="MZD69" s="13"/>
      <c r="MZE69" s="13"/>
      <c r="MZF69" s="13"/>
      <c r="MZG69" s="13"/>
      <c r="MZH69" s="13"/>
      <c r="MZI69" s="13"/>
      <c r="MZJ69" s="13"/>
      <c r="MZK69" s="13"/>
      <c r="MZL69" s="13"/>
      <c r="MZM69" s="13"/>
      <c r="MZN69" s="13"/>
      <c r="MZO69" s="13"/>
      <c r="MZP69" s="13"/>
      <c r="MZQ69" s="13"/>
      <c r="MZR69" s="13"/>
      <c r="MZS69" s="13"/>
      <c r="MZT69" s="13"/>
      <c r="MZU69" s="13"/>
      <c r="MZV69" s="13"/>
      <c r="MZW69" s="13"/>
      <c r="MZX69" s="13"/>
      <c r="MZY69" s="13"/>
      <c r="MZZ69" s="13"/>
      <c r="NAA69" s="13"/>
      <c r="NAB69" s="13"/>
      <c r="NAC69" s="13"/>
      <c r="NAD69" s="13"/>
      <c r="NAE69" s="13"/>
      <c r="NAF69" s="13"/>
      <c r="NAG69" s="13"/>
      <c r="NAH69" s="13"/>
      <c r="NAI69" s="13"/>
      <c r="NAJ69" s="13"/>
      <c r="NAK69" s="13"/>
      <c r="NAL69" s="13"/>
      <c r="NAM69" s="13"/>
      <c r="NAN69" s="13"/>
      <c r="NAO69" s="13"/>
      <c r="NAP69" s="13"/>
      <c r="NAQ69" s="13"/>
      <c r="NAR69" s="13"/>
      <c r="NAS69" s="13"/>
      <c r="NAT69" s="13"/>
      <c r="NAU69" s="13"/>
      <c r="NAV69" s="13"/>
      <c r="NAW69" s="13"/>
      <c r="NAX69" s="13"/>
      <c r="NAY69" s="13"/>
      <c r="NAZ69" s="13"/>
      <c r="NBA69" s="13"/>
      <c r="NBB69" s="13"/>
      <c r="NBC69" s="13"/>
      <c r="NBD69" s="13"/>
      <c r="NBE69" s="13"/>
      <c r="NBF69" s="13"/>
      <c r="NBG69" s="13"/>
      <c r="NBH69" s="13"/>
      <c r="NBI69" s="13"/>
      <c r="NBJ69" s="13"/>
      <c r="NBK69" s="13"/>
      <c r="NBL69" s="13"/>
      <c r="NBM69" s="13"/>
      <c r="NBN69" s="13"/>
      <c r="NBO69" s="13"/>
      <c r="NBP69" s="13"/>
      <c r="NBQ69" s="13"/>
      <c r="NBR69" s="13"/>
      <c r="NBS69" s="13"/>
      <c r="NBT69" s="13"/>
      <c r="NBU69" s="13"/>
      <c r="NBV69" s="13"/>
      <c r="NBW69" s="13"/>
      <c r="NBX69" s="13"/>
      <c r="NBY69" s="13"/>
      <c r="NBZ69" s="13"/>
      <c r="NCA69" s="13"/>
      <c r="NCB69" s="13"/>
      <c r="NCC69" s="13"/>
      <c r="NCD69" s="13"/>
      <c r="NCE69" s="13"/>
      <c r="NCF69" s="13"/>
      <c r="NCG69" s="13"/>
      <c r="NCH69" s="13"/>
      <c r="NCI69" s="13"/>
      <c r="NCJ69" s="13"/>
      <c r="NCK69" s="13"/>
      <c r="NCL69" s="13"/>
      <c r="NCM69" s="13"/>
      <c r="NCN69" s="13"/>
      <c r="NCO69" s="13"/>
      <c r="NCP69" s="13"/>
      <c r="NCQ69" s="13"/>
      <c r="NCR69" s="13"/>
      <c r="NCS69" s="13"/>
      <c r="NCT69" s="13"/>
      <c r="NCU69" s="13"/>
      <c r="NCV69" s="13"/>
      <c r="NCW69" s="13"/>
      <c r="NCX69" s="13"/>
      <c r="NCY69" s="13"/>
      <c r="NCZ69" s="13"/>
      <c r="NDA69" s="13"/>
      <c r="NDB69" s="13"/>
      <c r="NDC69" s="13"/>
      <c r="NDD69" s="13"/>
      <c r="NDE69" s="13"/>
      <c r="NDF69" s="13"/>
      <c r="NDG69" s="13"/>
      <c r="NDH69" s="13"/>
      <c r="NDI69" s="13"/>
      <c r="NDJ69" s="13"/>
      <c r="NDK69" s="13"/>
      <c r="NDL69" s="13"/>
      <c r="NDM69" s="13"/>
      <c r="NDN69" s="13"/>
      <c r="NDO69" s="13"/>
      <c r="NDP69" s="13"/>
      <c r="NDQ69" s="13"/>
      <c r="NDR69" s="13"/>
      <c r="NDS69" s="13"/>
      <c r="NDT69" s="13"/>
      <c r="NDU69" s="13"/>
      <c r="NDV69" s="13"/>
      <c r="NDW69" s="13"/>
      <c r="NDX69" s="13"/>
      <c r="NDY69" s="13"/>
      <c r="NDZ69" s="13"/>
      <c r="NEA69" s="13"/>
      <c r="NEB69" s="13"/>
      <c r="NEC69" s="13"/>
      <c r="NED69" s="13"/>
      <c r="NEE69" s="13"/>
      <c r="NEF69" s="13"/>
      <c r="NEG69" s="13"/>
      <c r="NEH69" s="13"/>
      <c r="NEI69" s="13"/>
      <c r="NEJ69" s="13"/>
      <c r="NEK69" s="13"/>
      <c r="NEL69" s="13"/>
      <c r="NEM69" s="13"/>
      <c r="NEN69" s="13"/>
      <c r="NEO69" s="13"/>
      <c r="NEP69" s="13"/>
      <c r="NEQ69" s="13"/>
      <c r="NER69" s="13"/>
      <c r="NES69" s="13"/>
      <c r="NET69" s="13"/>
      <c r="NEU69" s="13"/>
      <c r="NEV69" s="13"/>
      <c r="NEW69" s="13"/>
      <c r="NEX69" s="13"/>
      <c r="NEY69" s="13"/>
      <c r="NEZ69" s="13"/>
      <c r="NFA69" s="13"/>
      <c r="NFB69" s="13"/>
      <c r="NFC69" s="13"/>
      <c r="NFD69" s="13"/>
      <c r="NFE69" s="13"/>
      <c r="NFF69" s="13"/>
      <c r="NFG69" s="13"/>
      <c r="NFH69" s="13"/>
      <c r="NFI69" s="13"/>
      <c r="NFJ69" s="13"/>
      <c r="NFK69" s="13"/>
      <c r="NFL69" s="13"/>
      <c r="NFM69" s="13"/>
      <c r="NFN69" s="13"/>
      <c r="NFO69" s="13"/>
      <c r="NFP69" s="13"/>
      <c r="NFQ69" s="13"/>
      <c r="NFR69" s="13"/>
      <c r="NFS69" s="13"/>
      <c r="NFT69" s="13"/>
      <c r="NFU69" s="13"/>
      <c r="NFV69" s="13"/>
      <c r="NFW69" s="13"/>
      <c r="NFX69" s="13"/>
      <c r="NFY69" s="13"/>
      <c r="NFZ69" s="13"/>
      <c r="NGA69" s="13"/>
      <c r="NGB69" s="13"/>
      <c r="NGC69" s="13"/>
      <c r="NGD69" s="13"/>
      <c r="NGE69" s="13"/>
      <c r="NGF69" s="13"/>
      <c r="NGG69" s="13"/>
      <c r="NGH69" s="13"/>
      <c r="NGI69" s="13"/>
      <c r="NGJ69" s="13"/>
      <c r="NGK69" s="13"/>
      <c r="NGL69" s="13"/>
      <c r="NGM69" s="13"/>
      <c r="NGN69" s="13"/>
      <c r="NGO69" s="13"/>
      <c r="NGP69" s="13"/>
      <c r="NGQ69" s="13"/>
      <c r="NGR69" s="13"/>
      <c r="NGS69" s="13"/>
      <c r="NGT69" s="13"/>
      <c r="NGU69" s="13"/>
      <c r="NGV69" s="13"/>
      <c r="NGW69" s="13"/>
      <c r="NGX69" s="13"/>
      <c r="NGY69" s="13"/>
      <c r="NGZ69" s="13"/>
      <c r="NHA69" s="13"/>
      <c r="NHB69" s="13"/>
      <c r="NHC69" s="13"/>
      <c r="NHD69" s="13"/>
      <c r="NHE69" s="13"/>
      <c r="NHF69" s="13"/>
      <c r="NHG69" s="13"/>
      <c r="NHH69" s="13"/>
      <c r="NHI69" s="13"/>
      <c r="NHJ69" s="13"/>
      <c r="NHK69" s="13"/>
      <c r="NHL69" s="13"/>
      <c r="NHM69" s="13"/>
      <c r="NHN69" s="13"/>
      <c r="NHO69" s="13"/>
      <c r="NHP69" s="13"/>
      <c r="NHQ69" s="13"/>
      <c r="NHR69" s="13"/>
      <c r="NHS69" s="13"/>
      <c r="NHT69" s="13"/>
      <c r="NHU69" s="13"/>
      <c r="NHV69" s="13"/>
      <c r="NHW69" s="13"/>
      <c r="NHX69" s="13"/>
      <c r="NHY69" s="13"/>
      <c r="NHZ69" s="13"/>
      <c r="NIA69" s="13"/>
      <c r="NIB69" s="13"/>
      <c r="NIC69" s="13"/>
      <c r="NID69" s="13"/>
      <c r="NIE69" s="13"/>
      <c r="NIF69" s="13"/>
      <c r="NIG69" s="13"/>
      <c r="NIH69" s="13"/>
      <c r="NII69" s="13"/>
      <c r="NIJ69" s="13"/>
      <c r="NIK69" s="13"/>
      <c r="NIL69" s="13"/>
      <c r="NIM69" s="13"/>
      <c r="NIN69" s="13"/>
      <c r="NIO69" s="13"/>
      <c r="NIP69" s="13"/>
      <c r="NIQ69" s="13"/>
      <c r="NIR69" s="13"/>
      <c r="NIS69" s="13"/>
      <c r="NIT69" s="13"/>
      <c r="NIU69" s="13"/>
      <c r="NIV69" s="13"/>
      <c r="NIW69" s="13"/>
      <c r="NIX69" s="13"/>
      <c r="NIY69" s="13"/>
      <c r="NIZ69" s="13"/>
      <c r="NJA69" s="13"/>
      <c r="NJB69" s="13"/>
      <c r="NJC69" s="13"/>
      <c r="NJD69" s="13"/>
      <c r="NJE69" s="13"/>
      <c r="NJF69" s="13"/>
      <c r="NJG69" s="13"/>
      <c r="NJH69" s="13"/>
      <c r="NJI69" s="13"/>
      <c r="NJJ69" s="13"/>
      <c r="NJK69" s="13"/>
      <c r="NJL69" s="13"/>
      <c r="NJM69" s="13"/>
      <c r="NJN69" s="13"/>
      <c r="NJO69" s="13"/>
      <c r="NJP69" s="13"/>
      <c r="NJQ69" s="13"/>
      <c r="NJR69" s="13"/>
      <c r="NJS69" s="13"/>
      <c r="NJT69" s="13"/>
      <c r="NJU69" s="13"/>
      <c r="NJV69" s="13"/>
      <c r="NJW69" s="13"/>
      <c r="NJX69" s="13"/>
      <c r="NJY69" s="13"/>
      <c r="NJZ69" s="13"/>
      <c r="NKA69" s="13"/>
      <c r="NKB69" s="13"/>
      <c r="NKC69" s="13"/>
      <c r="NKD69" s="13"/>
      <c r="NKE69" s="13"/>
      <c r="NKF69" s="13"/>
      <c r="NKG69" s="13"/>
      <c r="NKH69" s="13"/>
      <c r="NKI69" s="13"/>
      <c r="NKJ69" s="13"/>
      <c r="NKK69" s="13"/>
      <c r="NKL69" s="13"/>
      <c r="NKM69" s="13"/>
      <c r="NKN69" s="13"/>
      <c r="NKO69" s="13"/>
      <c r="NKP69" s="13"/>
      <c r="NKQ69" s="13"/>
      <c r="NKR69" s="13"/>
      <c r="NKS69" s="13"/>
      <c r="NKT69" s="13"/>
      <c r="NKU69" s="13"/>
      <c r="NKV69" s="13"/>
      <c r="NKW69" s="13"/>
      <c r="NKX69" s="13"/>
      <c r="NKY69" s="13"/>
      <c r="NKZ69" s="13"/>
      <c r="NLA69" s="13"/>
      <c r="NLB69" s="13"/>
      <c r="NLC69" s="13"/>
      <c r="NLD69" s="13"/>
      <c r="NLE69" s="13"/>
      <c r="NLF69" s="13"/>
      <c r="NLG69" s="13"/>
      <c r="NLH69" s="13"/>
      <c r="NLI69" s="13"/>
      <c r="NLJ69" s="13"/>
      <c r="NLK69" s="13"/>
      <c r="NLL69" s="13"/>
      <c r="NLM69" s="13"/>
      <c r="NLN69" s="13"/>
      <c r="NLO69" s="13"/>
      <c r="NLP69" s="13"/>
      <c r="NLQ69" s="13"/>
      <c r="NLR69" s="13"/>
      <c r="NLS69" s="13"/>
      <c r="NLT69" s="13"/>
      <c r="NLU69" s="13"/>
      <c r="NLV69" s="13"/>
      <c r="NLW69" s="13"/>
      <c r="NLX69" s="13"/>
      <c r="NLY69" s="13"/>
      <c r="NLZ69" s="13"/>
      <c r="NMA69" s="13"/>
      <c r="NMB69" s="13"/>
      <c r="NMC69" s="13"/>
      <c r="NMD69" s="13"/>
      <c r="NME69" s="13"/>
      <c r="NMF69" s="13"/>
      <c r="NMG69" s="13"/>
      <c r="NMH69" s="13"/>
      <c r="NMI69" s="13"/>
      <c r="NMJ69" s="13"/>
      <c r="NMK69" s="13"/>
      <c r="NML69" s="13"/>
      <c r="NMM69" s="13"/>
      <c r="NMN69" s="13"/>
      <c r="NMO69" s="13"/>
      <c r="NMP69" s="13"/>
      <c r="NMQ69" s="13"/>
      <c r="NMR69" s="13"/>
      <c r="NMS69" s="13"/>
      <c r="NMT69" s="13"/>
      <c r="NMU69" s="13"/>
      <c r="NMV69" s="13"/>
      <c r="NMW69" s="13"/>
      <c r="NMX69" s="13"/>
      <c r="NMY69" s="13"/>
      <c r="NMZ69" s="13"/>
      <c r="NNA69" s="13"/>
      <c r="NNB69" s="13"/>
      <c r="NNC69" s="13"/>
      <c r="NND69" s="13"/>
      <c r="NNE69" s="13"/>
      <c r="NNF69" s="13"/>
      <c r="NNG69" s="13"/>
      <c r="NNH69" s="13"/>
      <c r="NNI69" s="13"/>
      <c r="NNJ69" s="13"/>
      <c r="NNK69" s="13"/>
      <c r="NNL69" s="13"/>
      <c r="NNM69" s="13"/>
      <c r="NNN69" s="13"/>
      <c r="NNO69" s="13"/>
      <c r="NNP69" s="13"/>
      <c r="NNQ69" s="13"/>
      <c r="NNR69" s="13"/>
      <c r="NNS69" s="13"/>
      <c r="NNT69" s="13"/>
      <c r="NNU69" s="13"/>
      <c r="NNV69" s="13"/>
      <c r="NNW69" s="13"/>
      <c r="NNX69" s="13"/>
      <c r="NNY69" s="13"/>
      <c r="NNZ69" s="13"/>
      <c r="NOA69" s="13"/>
      <c r="NOB69" s="13"/>
      <c r="NOC69" s="13"/>
      <c r="NOD69" s="13"/>
      <c r="NOE69" s="13"/>
      <c r="NOF69" s="13"/>
      <c r="NOG69" s="13"/>
      <c r="NOH69" s="13"/>
      <c r="NOI69" s="13"/>
      <c r="NOJ69" s="13"/>
      <c r="NOK69" s="13"/>
      <c r="NOL69" s="13"/>
      <c r="NOM69" s="13"/>
      <c r="NON69" s="13"/>
      <c r="NOO69" s="13"/>
      <c r="NOP69" s="13"/>
      <c r="NOQ69" s="13"/>
      <c r="NOR69" s="13"/>
      <c r="NOS69" s="13"/>
      <c r="NOT69" s="13"/>
      <c r="NOU69" s="13"/>
      <c r="NOV69" s="13"/>
      <c r="NOW69" s="13"/>
      <c r="NOX69" s="13"/>
      <c r="NOY69" s="13"/>
      <c r="NOZ69" s="13"/>
      <c r="NPA69" s="13"/>
      <c r="NPB69" s="13"/>
      <c r="NPC69" s="13"/>
      <c r="NPD69" s="13"/>
      <c r="NPE69" s="13"/>
      <c r="NPF69" s="13"/>
      <c r="NPG69" s="13"/>
      <c r="NPH69" s="13"/>
      <c r="NPI69" s="13"/>
      <c r="NPJ69" s="13"/>
      <c r="NPK69" s="13"/>
      <c r="NPL69" s="13"/>
      <c r="NPM69" s="13"/>
      <c r="NPN69" s="13"/>
      <c r="NPO69" s="13"/>
      <c r="NPP69" s="13"/>
      <c r="NPQ69" s="13"/>
      <c r="NPR69" s="13"/>
      <c r="NPS69" s="13"/>
      <c r="NPT69" s="13"/>
      <c r="NPU69" s="13"/>
      <c r="NPV69" s="13"/>
      <c r="NPW69" s="13"/>
      <c r="NPX69" s="13"/>
      <c r="NPY69" s="13"/>
      <c r="NPZ69" s="13"/>
      <c r="NQA69" s="13"/>
      <c r="NQB69" s="13"/>
      <c r="NQC69" s="13"/>
      <c r="NQD69" s="13"/>
      <c r="NQE69" s="13"/>
      <c r="NQF69" s="13"/>
      <c r="NQG69" s="13"/>
      <c r="NQH69" s="13"/>
      <c r="NQI69" s="13"/>
      <c r="NQJ69" s="13"/>
      <c r="NQK69" s="13"/>
      <c r="NQL69" s="13"/>
      <c r="NQM69" s="13"/>
      <c r="NQN69" s="13"/>
      <c r="NQO69" s="13"/>
      <c r="NQP69" s="13"/>
      <c r="NQQ69" s="13"/>
      <c r="NQR69" s="13"/>
      <c r="NQS69" s="13"/>
      <c r="NQT69" s="13"/>
      <c r="NQU69" s="13"/>
      <c r="NQV69" s="13"/>
      <c r="NQW69" s="13"/>
      <c r="NQX69" s="13"/>
      <c r="NQY69" s="13"/>
      <c r="NQZ69" s="13"/>
      <c r="NRA69" s="13"/>
      <c r="NRB69" s="13"/>
      <c r="NRC69" s="13"/>
      <c r="NRD69" s="13"/>
      <c r="NRE69" s="13"/>
      <c r="NRF69" s="13"/>
      <c r="NRG69" s="13"/>
      <c r="NRH69" s="13"/>
      <c r="NRI69" s="13"/>
      <c r="NRJ69" s="13"/>
      <c r="NRK69" s="13"/>
      <c r="NRL69" s="13"/>
      <c r="NRM69" s="13"/>
      <c r="NRN69" s="13"/>
      <c r="NRO69" s="13"/>
      <c r="NRP69" s="13"/>
      <c r="NRQ69" s="13"/>
      <c r="NRR69" s="13"/>
      <c r="NRS69" s="13"/>
      <c r="NRT69" s="13"/>
      <c r="NRU69" s="13"/>
      <c r="NRV69" s="13"/>
      <c r="NRW69" s="13"/>
      <c r="NRX69" s="13"/>
      <c r="NRY69" s="13"/>
      <c r="NRZ69" s="13"/>
      <c r="NSA69" s="13"/>
      <c r="NSB69" s="13"/>
      <c r="NSC69" s="13"/>
      <c r="NSD69" s="13"/>
      <c r="NSE69" s="13"/>
      <c r="NSF69" s="13"/>
      <c r="NSG69" s="13"/>
      <c r="NSH69" s="13"/>
      <c r="NSI69" s="13"/>
      <c r="NSJ69" s="13"/>
      <c r="NSK69" s="13"/>
      <c r="NSL69" s="13"/>
      <c r="NSM69" s="13"/>
      <c r="NSN69" s="13"/>
      <c r="NSO69" s="13"/>
      <c r="NSP69" s="13"/>
      <c r="NSQ69" s="13"/>
      <c r="NSR69" s="13"/>
      <c r="NSS69" s="13"/>
      <c r="NST69" s="13"/>
      <c r="NSU69" s="13"/>
      <c r="NSV69" s="13"/>
      <c r="NSW69" s="13"/>
      <c r="NSX69" s="13"/>
      <c r="NSY69" s="13"/>
      <c r="NSZ69" s="13"/>
      <c r="NTA69" s="13"/>
      <c r="NTB69" s="13"/>
      <c r="NTC69" s="13"/>
      <c r="NTD69" s="13"/>
      <c r="NTE69" s="13"/>
      <c r="NTF69" s="13"/>
      <c r="NTG69" s="13"/>
      <c r="NTH69" s="13"/>
      <c r="NTI69" s="13"/>
      <c r="NTJ69" s="13"/>
      <c r="NTK69" s="13"/>
      <c r="NTL69" s="13"/>
      <c r="NTM69" s="13"/>
      <c r="NTN69" s="13"/>
      <c r="NTO69" s="13"/>
      <c r="NTP69" s="13"/>
      <c r="NTQ69" s="13"/>
      <c r="NTR69" s="13"/>
      <c r="NTS69" s="13"/>
      <c r="NTT69" s="13"/>
      <c r="NTU69" s="13"/>
      <c r="NTV69" s="13"/>
      <c r="NTW69" s="13"/>
      <c r="NTX69" s="13"/>
      <c r="NTY69" s="13"/>
      <c r="NTZ69" s="13"/>
      <c r="NUA69" s="13"/>
      <c r="NUB69" s="13"/>
      <c r="NUC69" s="13"/>
      <c r="NUD69" s="13"/>
      <c r="NUE69" s="13"/>
      <c r="NUF69" s="13"/>
      <c r="NUG69" s="13"/>
      <c r="NUH69" s="13"/>
      <c r="NUI69" s="13"/>
      <c r="NUJ69" s="13"/>
      <c r="NUK69" s="13"/>
      <c r="NUL69" s="13"/>
      <c r="NUM69" s="13"/>
      <c r="NUN69" s="13"/>
      <c r="NUO69" s="13"/>
      <c r="NUP69" s="13"/>
      <c r="NUQ69" s="13"/>
      <c r="NUR69" s="13"/>
      <c r="NUS69" s="13"/>
      <c r="NUT69" s="13"/>
      <c r="NUU69" s="13"/>
      <c r="NUV69" s="13"/>
      <c r="NUW69" s="13"/>
      <c r="NUX69" s="13"/>
      <c r="NUY69" s="13"/>
      <c r="NUZ69" s="13"/>
      <c r="NVA69" s="13"/>
      <c r="NVB69" s="13"/>
      <c r="NVC69" s="13"/>
      <c r="NVD69" s="13"/>
      <c r="NVE69" s="13"/>
      <c r="NVF69" s="13"/>
      <c r="NVG69" s="13"/>
      <c r="NVH69" s="13"/>
      <c r="NVI69" s="13"/>
      <c r="NVJ69" s="13"/>
      <c r="NVK69" s="13"/>
      <c r="NVL69" s="13"/>
      <c r="NVM69" s="13"/>
      <c r="NVN69" s="13"/>
      <c r="NVO69" s="13"/>
      <c r="NVP69" s="13"/>
      <c r="NVQ69" s="13"/>
      <c r="NVR69" s="13"/>
      <c r="NVS69" s="13"/>
      <c r="NVT69" s="13"/>
      <c r="NVU69" s="13"/>
      <c r="NVV69" s="13"/>
      <c r="NVW69" s="13"/>
      <c r="NVX69" s="13"/>
      <c r="NVY69" s="13"/>
      <c r="NVZ69" s="13"/>
      <c r="NWA69" s="13"/>
      <c r="NWB69" s="13"/>
      <c r="NWC69" s="13"/>
      <c r="NWD69" s="13"/>
      <c r="NWE69" s="13"/>
      <c r="NWF69" s="13"/>
      <c r="NWG69" s="13"/>
      <c r="NWH69" s="13"/>
      <c r="NWI69" s="13"/>
      <c r="NWJ69" s="13"/>
      <c r="NWK69" s="13"/>
      <c r="NWL69" s="13"/>
      <c r="NWM69" s="13"/>
      <c r="NWN69" s="13"/>
      <c r="NWO69" s="13"/>
      <c r="NWP69" s="13"/>
      <c r="NWQ69" s="13"/>
      <c r="NWR69" s="13"/>
      <c r="NWS69" s="13"/>
      <c r="NWT69" s="13"/>
      <c r="NWU69" s="13"/>
      <c r="NWV69" s="13"/>
      <c r="NWW69" s="13"/>
      <c r="NWX69" s="13"/>
      <c r="NWY69" s="13"/>
      <c r="NWZ69" s="13"/>
      <c r="NXA69" s="13"/>
      <c r="NXB69" s="13"/>
      <c r="NXC69" s="13"/>
      <c r="NXD69" s="13"/>
      <c r="NXE69" s="13"/>
      <c r="NXF69" s="13"/>
      <c r="NXG69" s="13"/>
      <c r="NXH69" s="13"/>
      <c r="NXI69" s="13"/>
      <c r="NXJ69" s="13"/>
      <c r="NXK69" s="13"/>
      <c r="NXL69" s="13"/>
      <c r="NXM69" s="13"/>
      <c r="NXN69" s="13"/>
      <c r="NXO69" s="13"/>
      <c r="NXP69" s="13"/>
      <c r="NXQ69" s="13"/>
      <c r="NXR69" s="13"/>
      <c r="NXS69" s="13"/>
      <c r="NXT69" s="13"/>
      <c r="NXU69" s="13"/>
      <c r="NXV69" s="13"/>
      <c r="NXW69" s="13"/>
      <c r="NXX69" s="13"/>
      <c r="NXY69" s="13"/>
      <c r="NXZ69" s="13"/>
      <c r="NYA69" s="13"/>
      <c r="NYB69" s="13"/>
      <c r="NYC69" s="13"/>
      <c r="NYD69" s="13"/>
      <c r="NYE69" s="13"/>
      <c r="NYF69" s="13"/>
      <c r="NYG69" s="13"/>
      <c r="NYH69" s="13"/>
      <c r="NYI69" s="13"/>
      <c r="NYJ69" s="13"/>
      <c r="NYK69" s="13"/>
      <c r="NYL69" s="13"/>
      <c r="NYM69" s="13"/>
      <c r="NYN69" s="13"/>
      <c r="NYO69" s="13"/>
      <c r="NYP69" s="13"/>
      <c r="NYQ69" s="13"/>
      <c r="NYR69" s="13"/>
      <c r="NYS69" s="13"/>
      <c r="NYT69" s="13"/>
      <c r="NYU69" s="13"/>
      <c r="NYV69" s="13"/>
      <c r="NYW69" s="13"/>
      <c r="NYX69" s="13"/>
      <c r="NYY69" s="13"/>
      <c r="NYZ69" s="13"/>
      <c r="NZA69" s="13"/>
      <c r="NZB69" s="13"/>
      <c r="NZC69" s="13"/>
      <c r="NZD69" s="13"/>
      <c r="NZE69" s="13"/>
      <c r="NZF69" s="13"/>
      <c r="NZG69" s="13"/>
      <c r="NZH69" s="13"/>
      <c r="NZI69" s="13"/>
      <c r="NZJ69" s="13"/>
      <c r="NZK69" s="13"/>
      <c r="NZL69" s="13"/>
      <c r="NZM69" s="13"/>
      <c r="NZN69" s="13"/>
      <c r="NZO69" s="13"/>
      <c r="NZP69" s="13"/>
      <c r="NZQ69" s="13"/>
      <c r="NZR69" s="13"/>
      <c r="NZS69" s="13"/>
      <c r="NZT69" s="13"/>
      <c r="NZU69" s="13"/>
      <c r="NZV69" s="13"/>
      <c r="NZW69" s="13"/>
      <c r="NZX69" s="13"/>
      <c r="NZY69" s="13"/>
      <c r="NZZ69" s="13"/>
      <c r="OAA69" s="13"/>
      <c r="OAB69" s="13"/>
      <c r="OAC69" s="13"/>
      <c r="OAD69" s="13"/>
      <c r="OAE69" s="13"/>
      <c r="OAF69" s="13"/>
      <c r="OAG69" s="13"/>
      <c r="OAH69" s="13"/>
      <c r="OAI69" s="13"/>
      <c r="OAJ69" s="13"/>
      <c r="OAK69" s="13"/>
      <c r="OAL69" s="13"/>
      <c r="OAM69" s="13"/>
      <c r="OAN69" s="13"/>
      <c r="OAO69" s="13"/>
      <c r="OAP69" s="13"/>
      <c r="OAQ69" s="13"/>
      <c r="OAR69" s="13"/>
      <c r="OAS69" s="13"/>
      <c r="OAT69" s="13"/>
      <c r="OAU69" s="13"/>
      <c r="OAV69" s="13"/>
      <c r="OAW69" s="13"/>
      <c r="OAX69" s="13"/>
      <c r="OAY69" s="13"/>
      <c r="OAZ69" s="13"/>
      <c r="OBA69" s="13"/>
      <c r="OBB69" s="13"/>
      <c r="OBC69" s="13"/>
      <c r="OBD69" s="13"/>
      <c r="OBE69" s="13"/>
      <c r="OBF69" s="13"/>
      <c r="OBG69" s="13"/>
      <c r="OBH69" s="13"/>
      <c r="OBI69" s="13"/>
      <c r="OBJ69" s="13"/>
      <c r="OBK69" s="13"/>
      <c r="OBL69" s="13"/>
      <c r="OBM69" s="13"/>
      <c r="OBN69" s="13"/>
      <c r="OBO69" s="13"/>
      <c r="OBP69" s="13"/>
      <c r="OBQ69" s="13"/>
      <c r="OBR69" s="13"/>
      <c r="OBS69" s="13"/>
      <c r="OBT69" s="13"/>
      <c r="OBU69" s="13"/>
      <c r="OBV69" s="13"/>
      <c r="OBW69" s="13"/>
      <c r="OBX69" s="13"/>
      <c r="OBY69" s="13"/>
      <c r="OBZ69" s="13"/>
      <c r="OCA69" s="13"/>
      <c r="OCB69" s="13"/>
      <c r="OCC69" s="13"/>
      <c r="OCD69" s="13"/>
      <c r="OCE69" s="13"/>
      <c r="OCF69" s="13"/>
      <c r="OCG69" s="13"/>
      <c r="OCH69" s="13"/>
      <c r="OCI69" s="13"/>
      <c r="OCJ69" s="13"/>
      <c r="OCK69" s="13"/>
      <c r="OCL69" s="13"/>
      <c r="OCM69" s="13"/>
      <c r="OCN69" s="13"/>
      <c r="OCO69" s="13"/>
      <c r="OCP69" s="13"/>
      <c r="OCQ69" s="13"/>
      <c r="OCR69" s="13"/>
      <c r="OCS69" s="13"/>
      <c r="OCT69" s="13"/>
      <c r="OCU69" s="13"/>
      <c r="OCV69" s="13"/>
      <c r="OCW69" s="13"/>
      <c r="OCX69" s="13"/>
      <c r="OCY69" s="13"/>
      <c r="OCZ69" s="13"/>
      <c r="ODA69" s="13"/>
      <c r="ODB69" s="13"/>
      <c r="ODC69" s="13"/>
      <c r="ODD69" s="13"/>
      <c r="ODE69" s="13"/>
      <c r="ODF69" s="13"/>
      <c r="ODG69" s="13"/>
      <c r="ODH69" s="13"/>
      <c r="ODI69" s="13"/>
      <c r="ODJ69" s="13"/>
      <c r="ODK69" s="13"/>
      <c r="ODL69" s="13"/>
      <c r="ODM69" s="13"/>
      <c r="ODN69" s="13"/>
      <c r="ODO69" s="13"/>
      <c r="ODP69" s="13"/>
      <c r="ODQ69" s="13"/>
      <c r="ODR69" s="13"/>
      <c r="ODS69" s="13"/>
      <c r="ODT69" s="13"/>
      <c r="ODU69" s="13"/>
      <c r="ODV69" s="13"/>
      <c r="ODW69" s="13"/>
      <c r="ODX69" s="13"/>
      <c r="ODY69" s="13"/>
      <c r="ODZ69" s="13"/>
      <c r="OEA69" s="13"/>
      <c r="OEB69" s="13"/>
      <c r="OEC69" s="13"/>
      <c r="OED69" s="13"/>
      <c r="OEE69" s="13"/>
      <c r="OEF69" s="13"/>
      <c r="OEG69" s="13"/>
      <c r="OEH69" s="13"/>
      <c r="OEI69" s="13"/>
      <c r="OEJ69" s="13"/>
      <c r="OEK69" s="13"/>
      <c r="OEL69" s="13"/>
      <c r="OEM69" s="13"/>
      <c r="OEN69" s="13"/>
      <c r="OEO69" s="13"/>
      <c r="OEP69" s="13"/>
      <c r="OEQ69" s="13"/>
      <c r="OER69" s="13"/>
      <c r="OES69" s="13"/>
      <c r="OET69" s="13"/>
      <c r="OEU69" s="13"/>
      <c r="OEV69" s="13"/>
      <c r="OEW69" s="13"/>
      <c r="OEX69" s="13"/>
      <c r="OEY69" s="13"/>
      <c r="OEZ69" s="13"/>
      <c r="OFA69" s="13"/>
      <c r="OFB69" s="13"/>
      <c r="OFC69" s="13"/>
      <c r="OFD69" s="13"/>
      <c r="OFE69" s="13"/>
      <c r="OFF69" s="13"/>
      <c r="OFG69" s="13"/>
      <c r="OFH69" s="13"/>
      <c r="OFI69" s="13"/>
      <c r="OFJ69" s="13"/>
      <c r="OFK69" s="13"/>
      <c r="OFL69" s="13"/>
      <c r="OFM69" s="13"/>
      <c r="OFN69" s="13"/>
      <c r="OFO69" s="13"/>
      <c r="OFP69" s="13"/>
      <c r="OFQ69" s="13"/>
      <c r="OFR69" s="13"/>
      <c r="OFS69" s="13"/>
      <c r="OFT69" s="13"/>
      <c r="OFU69" s="13"/>
      <c r="OFV69" s="13"/>
      <c r="OFW69" s="13"/>
      <c r="OFX69" s="13"/>
      <c r="OFY69" s="13"/>
      <c r="OFZ69" s="13"/>
      <c r="OGA69" s="13"/>
      <c r="OGB69" s="13"/>
      <c r="OGC69" s="13"/>
      <c r="OGD69" s="13"/>
      <c r="OGE69" s="13"/>
      <c r="OGF69" s="13"/>
      <c r="OGG69" s="13"/>
      <c r="OGH69" s="13"/>
      <c r="OGI69" s="13"/>
      <c r="OGJ69" s="13"/>
      <c r="OGK69" s="13"/>
      <c r="OGL69" s="13"/>
      <c r="OGM69" s="13"/>
      <c r="OGN69" s="13"/>
      <c r="OGO69" s="13"/>
      <c r="OGP69" s="13"/>
      <c r="OGQ69" s="13"/>
      <c r="OGR69" s="13"/>
      <c r="OGS69" s="13"/>
      <c r="OGT69" s="13"/>
      <c r="OGU69" s="13"/>
      <c r="OGV69" s="13"/>
      <c r="OGW69" s="13"/>
      <c r="OGX69" s="13"/>
      <c r="OGY69" s="13"/>
      <c r="OGZ69" s="13"/>
      <c r="OHA69" s="13"/>
      <c r="OHB69" s="13"/>
      <c r="OHC69" s="13"/>
      <c r="OHD69" s="13"/>
      <c r="OHE69" s="13"/>
      <c r="OHF69" s="13"/>
      <c r="OHG69" s="13"/>
      <c r="OHH69" s="13"/>
      <c r="OHI69" s="13"/>
      <c r="OHJ69" s="13"/>
      <c r="OHK69" s="13"/>
      <c r="OHL69" s="13"/>
      <c r="OHM69" s="13"/>
      <c r="OHN69" s="13"/>
      <c r="OHO69" s="13"/>
      <c r="OHP69" s="13"/>
      <c r="OHQ69" s="13"/>
      <c r="OHR69" s="13"/>
      <c r="OHS69" s="13"/>
      <c r="OHT69" s="13"/>
      <c r="OHU69" s="13"/>
      <c r="OHV69" s="13"/>
      <c r="OHW69" s="13"/>
      <c r="OHX69" s="13"/>
      <c r="OHY69" s="13"/>
      <c r="OHZ69" s="13"/>
      <c r="OIA69" s="13"/>
      <c r="OIB69" s="13"/>
      <c r="OIC69" s="13"/>
      <c r="OID69" s="13"/>
      <c r="OIE69" s="13"/>
      <c r="OIF69" s="13"/>
      <c r="OIG69" s="13"/>
      <c r="OIH69" s="13"/>
      <c r="OII69" s="13"/>
      <c r="OIJ69" s="13"/>
      <c r="OIK69" s="13"/>
      <c r="OIL69" s="13"/>
      <c r="OIM69" s="13"/>
      <c r="OIN69" s="13"/>
      <c r="OIO69" s="13"/>
      <c r="OIP69" s="13"/>
      <c r="OIQ69" s="13"/>
      <c r="OIR69" s="13"/>
      <c r="OIS69" s="13"/>
      <c r="OIT69" s="13"/>
      <c r="OIU69" s="13"/>
      <c r="OIV69" s="13"/>
      <c r="OIW69" s="13"/>
      <c r="OIX69" s="13"/>
      <c r="OIY69" s="13"/>
      <c r="OIZ69" s="13"/>
      <c r="OJA69" s="13"/>
      <c r="OJB69" s="13"/>
      <c r="OJC69" s="13"/>
      <c r="OJD69" s="13"/>
      <c r="OJE69" s="13"/>
      <c r="OJF69" s="13"/>
      <c r="OJG69" s="13"/>
      <c r="OJH69" s="13"/>
      <c r="OJI69" s="13"/>
      <c r="OJJ69" s="13"/>
      <c r="OJK69" s="13"/>
      <c r="OJL69" s="13"/>
      <c r="OJM69" s="13"/>
      <c r="OJN69" s="13"/>
      <c r="OJO69" s="13"/>
      <c r="OJP69" s="13"/>
      <c r="OJQ69" s="13"/>
      <c r="OJR69" s="13"/>
      <c r="OJS69" s="13"/>
      <c r="OJT69" s="13"/>
      <c r="OJU69" s="13"/>
      <c r="OJV69" s="13"/>
      <c r="OJW69" s="13"/>
      <c r="OJX69" s="13"/>
      <c r="OJY69" s="13"/>
      <c r="OJZ69" s="13"/>
      <c r="OKA69" s="13"/>
      <c r="OKB69" s="13"/>
      <c r="OKC69" s="13"/>
      <c r="OKD69" s="13"/>
      <c r="OKE69" s="13"/>
      <c r="OKF69" s="13"/>
      <c r="OKG69" s="13"/>
      <c r="OKH69" s="13"/>
      <c r="OKI69" s="13"/>
      <c r="OKJ69" s="13"/>
      <c r="OKK69" s="13"/>
      <c r="OKL69" s="13"/>
      <c r="OKM69" s="13"/>
      <c r="OKN69" s="13"/>
      <c r="OKO69" s="13"/>
      <c r="OKP69" s="13"/>
      <c r="OKQ69" s="13"/>
      <c r="OKR69" s="13"/>
      <c r="OKS69" s="13"/>
      <c r="OKT69" s="13"/>
      <c r="OKU69" s="13"/>
      <c r="OKV69" s="13"/>
      <c r="OKW69" s="13"/>
      <c r="OKX69" s="13"/>
      <c r="OKY69" s="13"/>
      <c r="OKZ69" s="13"/>
      <c r="OLA69" s="13"/>
      <c r="OLB69" s="13"/>
      <c r="OLC69" s="13"/>
      <c r="OLD69" s="13"/>
      <c r="OLE69" s="13"/>
      <c r="OLF69" s="13"/>
      <c r="OLG69" s="13"/>
      <c r="OLH69" s="13"/>
      <c r="OLI69" s="13"/>
      <c r="OLJ69" s="13"/>
      <c r="OLK69" s="13"/>
      <c r="OLL69" s="13"/>
      <c r="OLM69" s="13"/>
      <c r="OLN69" s="13"/>
      <c r="OLO69" s="13"/>
      <c r="OLP69" s="13"/>
      <c r="OLQ69" s="13"/>
      <c r="OLR69" s="13"/>
      <c r="OLS69" s="13"/>
      <c r="OLT69" s="13"/>
      <c r="OLU69" s="13"/>
      <c r="OLV69" s="13"/>
      <c r="OLW69" s="13"/>
      <c r="OLX69" s="13"/>
      <c r="OLY69" s="13"/>
      <c r="OLZ69" s="13"/>
      <c r="OMA69" s="13"/>
      <c r="OMB69" s="13"/>
      <c r="OMC69" s="13"/>
      <c r="OMD69" s="13"/>
      <c r="OME69" s="13"/>
      <c r="OMF69" s="13"/>
      <c r="OMG69" s="13"/>
      <c r="OMH69" s="13"/>
      <c r="OMI69" s="13"/>
      <c r="OMJ69" s="13"/>
      <c r="OMK69" s="13"/>
      <c r="OML69" s="13"/>
      <c r="OMM69" s="13"/>
      <c r="OMN69" s="13"/>
      <c r="OMO69" s="13"/>
      <c r="OMP69" s="13"/>
      <c r="OMQ69" s="13"/>
      <c r="OMR69" s="13"/>
      <c r="OMS69" s="13"/>
      <c r="OMT69" s="13"/>
      <c r="OMU69" s="13"/>
      <c r="OMV69" s="13"/>
      <c r="OMW69" s="13"/>
      <c r="OMX69" s="13"/>
      <c r="OMY69" s="13"/>
      <c r="OMZ69" s="13"/>
      <c r="ONA69" s="13"/>
      <c r="ONB69" s="13"/>
      <c r="ONC69" s="13"/>
      <c r="OND69" s="13"/>
      <c r="ONE69" s="13"/>
      <c r="ONF69" s="13"/>
      <c r="ONG69" s="13"/>
      <c r="ONH69" s="13"/>
      <c r="ONI69" s="13"/>
      <c r="ONJ69" s="13"/>
      <c r="ONK69" s="13"/>
      <c r="ONL69" s="13"/>
      <c r="ONM69" s="13"/>
      <c r="ONN69" s="13"/>
      <c r="ONO69" s="13"/>
      <c r="ONP69" s="13"/>
      <c r="ONQ69" s="13"/>
      <c r="ONR69" s="13"/>
      <c r="ONS69" s="13"/>
      <c r="ONT69" s="13"/>
      <c r="ONU69" s="13"/>
      <c r="ONV69" s="13"/>
      <c r="ONW69" s="13"/>
      <c r="ONX69" s="13"/>
      <c r="ONY69" s="13"/>
      <c r="ONZ69" s="13"/>
      <c r="OOA69" s="13"/>
      <c r="OOB69" s="13"/>
      <c r="OOC69" s="13"/>
      <c r="OOD69" s="13"/>
      <c r="OOE69" s="13"/>
      <c r="OOF69" s="13"/>
      <c r="OOG69" s="13"/>
      <c r="OOH69" s="13"/>
      <c r="OOI69" s="13"/>
      <c r="OOJ69" s="13"/>
      <c r="OOK69" s="13"/>
      <c r="OOL69" s="13"/>
      <c r="OOM69" s="13"/>
      <c r="OON69" s="13"/>
      <c r="OOO69" s="13"/>
      <c r="OOP69" s="13"/>
      <c r="OOQ69" s="13"/>
      <c r="OOR69" s="13"/>
      <c r="OOS69" s="13"/>
      <c r="OOT69" s="13"/>
      <c r="OOU69" s="13"/>
      <c r="OOV69" s="13"/>
      <c r="OOW69" s="13"/>
      <c r="OOX69" s="13"/>
      <c r="OOY69" s="13"/>
      <c r="OOZ69" s="13"/>
      <c r="OPA69" s="13"/>
      <c r="OPB69" s="13"/>
      <c r="OPC69" s="13"/>
      <c r="OPD69" s="13"/>
      <c r="OPE69" s="13"/>
      <c r="OPF69" s="13"/>
      <c r="OPG69" s="13"/>
      <c r="OPH69" s="13"/>
      <c r="OPI69" s="13"/>
      <c r="OPJ69" s="13"/>
      <c r="OPK69" s="13"/>
      <c r="OPL69" s="13"/>
      <c r="OPM69" s="13"/>
      <c r="OPN69" s="13"/>
      <c r="OPO69" s="13"/>
      <c r="OPP69" s="13"/>
      <c r="OPQ69" s="13"/>
      <c r="OPR69" s="13"/>
      <c r="OPS69" s="13"/>
      <c r="OPT69" s="13"/>
      <c r="OPU69" s="13"/>
      <c r="OPV69" s="13"/>
      <c r="OPW69" s="13"/>
      <c r="OPX69" s="13"/>
      <c r="OPY69" s="13"/>
      <c r="OPZ69" s="13"/>
      <c r="OQA69" s="13"/>
      <c r="OQB69" s="13"/>
      <c r="OQC69" s="13"/>
      <c r="OQD69" s="13"/>
      <c r="OQE69" s="13"/>
      <c r="OQF69" s="13"/>
      <c r="OQG69" s="13"/>
      <c r="OQH69" s="13"/>
      <c r="OQI69" s="13"/>
      <c r="OQJ69" s="13"/>
      <c r="OQK69" s="13"/>
      <c r="OQL69" s="13"/>
      <c r="OQM69" s="13"/>
      <c r="OQN69" s="13"/>
      <c r="OQO69" s="13"/>
      <c r="OQP69" s="13"/>
      <c r="OQQ69" s="13"/>
      <c r="OQR69" s="13"/>
      <c r="OQS69" s="13"/>
      <c r="OQT69" s="13"/>
      <c r="OQU69" s="13"/>
      <c r="OQV69" s="13"/>
      <c r="OQW69" s="13"/>
      <c r="OQX69" s="13"/>
      <c r="OQY69" s="13"/>
      <c r="OQZ69" s="13"/>
      <c r="ORA69" s="13"/>
      <c r="ORB69" s="13"/>
      <c r="ORC69" s="13"/>
      <c r="ORD69" s="13"/>
      <c r="ORE69" s="13"/>
      <c r="ORF69" s="13"/>
      <c r="ORG69" s="13"/>
      <c r="ORH69" s="13"/>
      <c r="ORI69" s="13"/>
      <c r="ORJ69" s="13"/>
      <c r="ORK69" s="13"/>
      <c r="ORL69" s="13"/>
      <c r="ORM69" s="13"/>
      <c r="ORN69" s="13"/>
      <c r="ORO69" s="13"/>
      <c r="ORP69" s="13"/>
      <c r="ORQ69" s="13"/>
      <c r="ORR69" s="13"/>
      <c r="ORS69" s="13"/>
      <c r="ORT69" s="13"/>
      <c r="ORU69" s="13"/>
      <c r="ORV69" s="13"/>
      <c r="ORW69" s="13"/>
      <c r="ORX69" s="13"/>
      <c r="ORY69" s="13"/>
      <c r="ORZ69" s="13"/>
      <c r="OSA69" s="13"/>
      <c r="OSB69" s="13"/>
      <c r="OSC69" s="13"/>
      <c r="OSD69" s="13"/>
      <c r="OSE69" s="13"/>
      <c r="OSF69" s="13"/>
      <c r="OSG69" s="13"/>
      <c r="OSH69" s="13"/>
      <c r="OSI69" s="13"/>
      <c r="OSJ69" s="13"/>
      <c r="OSK69" s="13"/>
      <c r="OSL69" s="13"/>
      <c r="OSM69" s="13"/>
      <c r="OSN69" s="13"/>
      <c r="OSO69" s="13"/>
      <c r="OSP69" s="13"/>
      <c r="OSQ69" s="13"/>
      <c r="OSR69" s="13"/>
      <c r="OSS69" s="13"/>
      <c r="OST69" s="13"/>
      <c r="OSU69" s="13"/>
      <c r="OSV69" s="13"/>
      <c r="OSW69" s="13"/>
      <c r="OSX69" s="13"/>
      <c r="OSY69" s="13"/>
      <c r="OSZ69" s="13"/>
      <c r="OTA69" s="13"/>
      <c r="OTB69" s="13"/>
      <c r="OTC69" s="13"/>
      <c r="OTD69" s="13"/>
      <c r="OTE69" s="13"/>
      <c r="OTF69" s="13"/>
      <c r="OTG69" s="13"/>
      <c r="OTH69" s="13"/>
      <c r="OTI69" s="13"/>
      <c r="OTJ69" s="13"/>
      <c r="OTK69" s="13"/>
      <c r="OTL69" s="13"/>
      <c r="OTM69" s="13"/>
      <c r="OTN69" s="13"/>
      <c r="OTO69" s="13"/>
      <c r="OTP69" s="13"/>
      <c r="OTQ69" s="13"/>
      <c r="OTR69" s="13"/>
      <c r="OTS69" s="13"/>
      <c r="OTT69" s="13"/>
      <c r="OTU69" s="13"/>
      <c r="OTV69" s="13"/>
      <c r="OTW69" s="13"/>
      <c r="OTX69" s="13"/>
      <c r="OTY69" s="13"/>
      <c r="OTZ69" s="13"/>
      <c r="OUA69" s="13"/>
      <c r="OUB69" s="13"/>
      <c r="OUC69" s="13"/>
      <c r="OUD69" s="13"/>
      <c r="OUE69" s="13"/>
      <c r="OUF69" s="13"/>
      <c r="OUG69" s="13"/>
      <c r="OUH69" s="13"/>
      <c r="OUI69" s="13"/>
      <c r="OUJ69" s="13"/>
      <c r="OUK69" s="13"/>
      <c r="OUL69" s="13"/>
      <c r="OUM69" s="13"/>
      <c r="OUN69" s="13"/>
      <c r="OUO69" s="13"/>
      <c r="OUP69" s="13"/>
      <c r="OUQ69" s="13"/>
      <c r="OUR69" s="13"/>
      <c r="OUS69" s="13"/>
      <c r="OUT69" s="13"/>
      <c r="OUU69" s="13"/>
      <c r="OUV69" s="13"/>
      <c r="OUW69" s="13"/>
      <c r="OUX69" s="13"/>
      <c r="OUY69" s="13"/>
      <c r="OUZ69" s="13"/>
      <c r="OVA69" s="13"/>
      <c r="OVB69" s="13"/>
      <c r="OVC69" s="13"/>
      <c r="OVD69" s="13"/>
      <c r="OVE69" s="13"/>
      <c r="OVF69" s="13"/>
      <c r="OVG69" s="13"/>
      <c r="OVH69" s="13"/>
      <c r="OVI69" s="13"/>
      <c r="OVJ69" s="13"/>
      <c r="OVK69" s="13"/>
      <c r="OVL69" s="13"/>
      <c r="OVM69" s="13"/>
      <c r="OVN69" s="13"/>
      <c r="OVO69" s="13"/>
      <c r="OVP69" s="13"/>
      <c r="OVQ69" s="13"/>
      <c r="OVR69" s="13"/>
      <c r="OVS69" s="13"/>
      <c r="OVT69" s="13"/>
      <c r="OVU69" s="13"/>
      <c r="OVV69" s="13"/>
      <c r="OVW69" s="13"/>
      <c r="OVX69" s="13"/>
      <c r="OVY69" s="13"/>
      <c r="OVZ69" s="13"/>
      <c r="OWA69" s="13"/>
      <c r="OWB69" s="13"/>
      <c r="OWC69" s="13"/>
      <c r="OWD69" s="13"/>
      <c r="OWE69" s="13"/>
      <c r="OWF69" s="13"/>
      <c r="OWG69" s="13"/>
      <c r="OWH69" s="13"/>
      <c r="OWI69" s="13"/>
      <c r="OWJ69" s="13"/>
      <c r="OWK69" s="13"/>
      <c r="OWL69" s="13"/>
      <c r="OWM69" s="13"/>
      <c r="OWN69" s="13"/>
      <c r="OWO69" s="13"/>
      <c r="OWP69" s="13"/>
      <c r="OWQ69" s="13"/>
      <c r="OWR69" s="13"/>
      <c r="OWS69" s="13"/>
      <c r="OWT69" s="13"/>
      <c r="OWU69" s="13"/>
      <c r="OWV69" s="13"/>
      <c r="OWW69" s="13"/>
      <c r="OWX69" s="13"/>
      <c r="OWY69" s="13"/>
      <c r="OWZ69" s="13"/>
      <c r="OXA69" s="13"/>
      <c r="OXB69" s="13"/>
      <c r="OXC69" s="13"/>
      <c r="OXD69" s="13"/>
      <c r="OXE69" s="13"/>
      <c r="OXF69" s="13"/>
      <c r="OXG69" s="13"/>
      <c r="OXH69" s="13"/>
      <c r="OXI69" s="13"/>
      <c r="OXJ69" s="13"/>
      <c r="OXK69" s="13"/>
      <c r="OXL69" s="13"/>
      <c r="OXM69" s="13"/>
      <c r="OXN69" s="13"/>
      <c r="OXO69" s="13"/>
      <c r="OXP69" s="13"/>
      <c r="OXQ69" s="13"/>
      <c r="OXR69" s="13"/>
      <c r="OXS69" s="13"/>
      <c r="OXT69" s="13"/>
      <c r="OXU69" s="13"/>
      <c r="OXV69" s="13"/>
      <c r="OXW69" s="13"/>
      <c r="OXX69" s="13"/>
      <c r="OXY69" s="13"/>
      <c r="OXZ69" s="13"/>
      <c r="OYA69" s="13"/>
      <c r="OYB69" s="13"/>
      <c r="OYC69" s="13"/>
      <c r="OYD69" s="13"/>
      <c r="OYE69" s="13"/>
      <c r="OYF69" s="13"/>
      <c r="OYG69" s="13"/>
      <c r="OYH69" s="13"/>
      <c r="OYI69" s="13"/>
      <c r="OYJ69" s="13"/>
      <c r="OYK69" s="13"/>
      <c r="OYL69" s="13"/>
      <c r="OYM69" s="13"/>
      <c r="OYN69" s="13"/>
      <c r="OYO69" s="13"/>
      <c r="OYP69" s="13"/>
      <c r="OYQ69" s="13"/>
      <c r="OYR69" s="13"/>
      <c r="OYS69" s="13"/>
      <c r="OYT69" s="13"/>
      <c r="OYU69" s="13"/>
      <c r="OYV69" s="13"/>
      <c r="OYW69" s="13"/>
      <c r="OYX69" s="13"/>
      <c r="OYY69" s="13"/>
      <c r="OYZ69" s="13"/>
      <c r="OZA69" s="13"/>
      <c r="OZB69" s="13"/>
      <c r="OZC69" s="13"/>
      <c r="OZD69" s="13"/>
      <c r="OZE69" s="13"/>
      <c r="OZF69" s="13"/>
      <c r="OZG69" s="13"/>
      <c r="OZH69" s="13"/>
      <c r="OZI69" s="13"/>
      <c r="OZJ69" s="13"/>
      <c r="OZK69" s="13"/>
      <c r="OZL69" s="13"/>
      <c r="OZM69" s="13"/>
      <c r="OZN69" s="13"/>
      <c r="OZO69" s="13"/>
      <c r="OZP69" s="13"/>
      <c r="OZQ69" s="13"/>
      <c r="OZR69" s="13"/>
      <c r="OZS69" s="13"/>
      <c r="OZT69" s="13"/>
      <c r="OZU69" s="13"/>
      <c r="OZV69" s="13"/>
      <c r="OZW69" s="13"/>
      <c r="OZX69" s="13"/>
      <c r="OZY69" s="13"/>
      <c r="OZZ69" s="13"/>
      <c r="PAA69" s="13"/>
      <c r="PAB69" s="13"/>
      <c r="PAC69" s="13"/>
      <c r="PAD69" s="13"/>
      <c r="PAE69" s="13"/>
      <c r="PAF69" s="13"/>
      <c r="PAG69" s="13"/>
      <c r="PAH69" s="13"/>
      <c r="PAI69" s="13"/>
      <c r="PAJ69" s="13"/>
      <c r="PAK69" s="13"/>
      <c r="PAL69" s="13"/>
      <c r="PAM69" s="13"/>
      <c r="PAN69" s="13"/>
      <c r="PAO69" s="13"/>
      <c r="PAP69" s="13"/>
      <c r="PAQ69" s="13"/>
      <c r="PAR69" s="13"/>
      <c r="PAS69" s="13"/>
      <c r="PAT69" s="13"/>
      <c r="PAU69" s="13"/>
      <c r="PAV69" s="13"/>
      <c r="PAW69" s="13"/>
      <c r="PAX69" s="13"/>
      <c r="PAY69" s="13"/>
      <c r="PAZ69" s="13"/>
      <c r="PBA69" s="13"/>
      <c r="PBB69" s="13"/>
      <c r="PBC69" s="13"/>
      <c r="PBD69" s="13"/>
      <c r="PBE69" s="13"/>
      <c r="PBF69" s="13"/>
      <c r="PBG69" s="13"/>
      <c r="PBH69" s="13"/>
      <c r="PBI69" s="13"/>
      <c r="PBJ69" s="13"/>
      <c r="PBK69" s="13"/>
      <c r="PBL69" s="13"/>
      <c r="PBM69" s="13"/>
      <c r="PBN69" s="13"/>
      <c r="PBO69" s="13"/>
      <c r="PBP69" s="13"/>
      <c r="PBQ69" s="13"/>
      <c r="PBR69" s="13"/>
      <c r="PBS69" s="13"/>
      <c r="PBT69" s="13"/>
      <c r="PBU69" s="13"/>
      <c r="PBV69" s="13"/>
      <c r="PBW69" s="13"/>
      <c r="PBX69" s="13"/>
      <c r="PBY69" s="13"/>
      <c r="PBZ69" s="13"/>
      <c r="PCA69" s="13"/>
      <c r="PCB69" s="13"/>
      <c r="PCC69" s="13"/>
      <c r="PCD69" s="13"/>
      <c r="PCE69" s="13"/>
      <c r="PCF69" s="13"/>
      <c r="PCG69" s="13"/>
      <c r="PCH69" s="13"/>
      <c r="PCI69" s="13"/>
      <c r="PCJ69" s="13"/>
      <c r="PCK69" s="13"/>
      <c r="PCL69" s="13"/>
      <c r="PCM69" s="13"/>
      <c r="PCN69" s="13"/>
      <c r="PCO69" s="13"/>
      <c r="PCP69" s="13"/>
      <c r="PCQ69" s="13"/>
      <c r="PCR69" s="13"/>
      <c r="PCS69" s="13"/>
      <c r="PCT69" s="13"/>
      <c r="PCU69" s="13"/>
      <c r="PCV69" s="13"/>
      <c r="PCW69" s="13"/>
      <c r="PCX69" s="13"/>
      <c r="PCY69" s="13"/>
      <c r="PCZ69" s="13"/>
      <c r="PDA69" s="13"/>
      <c r="PDB69" s="13"/>
      <c r="PDC69" s="13"/>
      <c r="PDD69" s="13"/>
      <c r="PDE69" s="13"/>
      <c r="PDF69" s="13"/>
      <c r="PDG69" s="13"/>
      <c r="PDH69" s="13"/>
      <c r="PDI69" s="13"/>
      <c r="PDJ69" s="13"/>
      <c r="PDK69" s="13"/>
      <c r="PDL69" s="13"/>
      <c r="PDM69" s="13"/>
      <c r="PDN69" s="13"/>
      <c r="PDO69" s="13"/>
      <c r="PDP69" s="13"/>
      <c r="PDQ69" s="13"/>
      <c r="PDR69" s="13"/>
      <c r="PDS69" s="13"/>
      <c r="PDT69" s="13"/>
      <c r="PDU69" s="13"/>
      <c r="PDV69" s="13"/>
      <c r="PDW69" s="13"/>
      <c r="PDX69" s="13"/>
      <c r="PDY69" s="13"/>
      <c r="PDZ69" s="13"/>
      <c r="PEA69" s="13"/>
      <c r="PEB69" s="13"/>
      <c r="PEC69" s="13"/>
      <c r="PED69" s="13"/>
      <c r="PEE69" s="13"/>
      <c r="PEF69" s="13"/>
      <c r="PEG69" s="13"/>
      <c r="PEH69" s="13"/>
      <c r="PEI69" s="13"/>
      <c r="PEJ69" s="13"/>
      <c r="PEK69" s="13"/>
      <c r="PEL69" s="13"/>
      <c r="PEM69" s="13"/>
      <c r="PEN69" s="13"/>
      <c r="PEO69" s="13"/>
      <c r="PEP69" s="13"/>
      <c r="PEQ69" s="13"/>
      <c r="PER69" s="13"/>
      <c r="PES69" s="13"/>
      <c r="PET69" s="13"/>
      <c r="PEU69" s="13"/>
      <c r="PEV69" s="13"/>
      <c r="PEW69" s="13"/>
      <c r="PEX69" s="13"/>
      <c r="PEY69" s="13"/>
      <c r="PEZ69" s="13"/>
      <c r="PFA69" s="13"/>
      <c r="PFB69" s="13"/>
      <c r="PFC69" s="13"/>
      <c r="PFD69" s="13"/>
      <c r="PFE69" s="13"/>
      <c r="PFF69" s="13"/>
      <c r="PFG69" s="13"/>
      <c r="PFH69" s="13"/>
      <c r="PFI69" s="13"/>
      <c r="PFJ69" s="13"/>
      <c r="PFK69" s="13"/>
      <c r="PFL69" s="13"/>
      <c r="PFM69" s="13"/>
      <c r="PFN69" s="13"/>
      <c r="PFO69" s="13"/>
      <c r="PFP69" s="13"/>
      <c r="PFQ69" s="13"/>
      <c r="PFR69" s="13"/>
      <c r="PFS69" s="13"/>
      <c r="PFT69" s="13"/>
      <c r="PFU69" s="13"/>
      <c r="PFV69" s="13"/>
      <c r="PFW69" s="13"/>
      <c r="PFX69" s="13"/>
      <c r="PFY69" s="13"/>
      <c r="PFZ69" s="13"/>
      <c r="PGA69" s="13"/>
      <c r="PGB69" s="13"/>
      <c r="PGC69" s="13"/>
      <c r="PGD69" s="13"/>
      <c r="PGE69" s="13"/>
      <c r="PGF69" s="13"/>
      <c r="PGG69" s="13"/>
      <c r="PGH69" s="13"/>
      <c r="PGI69" s="13"/>
      <c r="PGJ69" s="13"/>
      <c r="PGK69" s="13"/>
      <c r="PGL69" s="13"/>
      <c r="PGM69" s="13"/>
      <c r="PGN69" s="13"/>
      <c r="PGO69" s="13"/>
      <c r="PGP69" s="13"/>
      <c r="PGQ69" s="13"/>
      <c r="PGR69" s="13"/>
      <c r="PGS69" s="13"/>
      <c r="PGT69" s="13"/>
      <c r="PGU69" s="13"/>
      <c r="PGV69" s="13"/>
      <c r="PGW69" s="13"/>
      <c r="PGX69" s="13"/>
      <c r="PGY69" s="13"/>
      <c r="PGZ69" s="13"/>
      <c r="PHA69" s="13"/>
      <c r="PHB69" s="13"/>
      <c r="PHC69" s="13"/>
      <c r="PHD69" s="13"/>
      <c r="PHE69" s="13"/>
      <c r="PHF69" s="13"/>
      <c r="PHG69" s="13"/>
      <c r="PHH69" s="13"/>
      <c r="PHI69" s="13"/>
      <c r="PHJ69" s="13"/>
      <c r="PHK69" s="13"/>
      <c r="PHL69" s="13"/>
      <c r="PHM69" s="13"/>
      <c r="PHN69" s="13"/>
      <c r="PHO69" s="13"/>
      <c r="PHP69" s="13"/>
      <c r="PHQ69" s="13"/>
      <c r="PHR69" s="13"/>
      <c r="PHS69" s="13"/>
      <c r="PHT69" s="13"/>
      <c r="PHU69" s="13"/>
      <c r="PHV69" s="13"/>
      <c r="PHW69" s="13"/>
      <c r="PHX69" s="13"/>
      <c r="PHY69" s="13"/>
      <c r="PHZ69" s="13"/>
      <c r="PIA69" s="13"/>
      <c r="PIB69" s="13"/>
      <c r="PIC69" s="13"/>
      <c r="PID69" s="13"/>
      <c r="PIE69" s="13"/>
      <c r="PIF69" s="13"/>
      <c r="PIG69" s="13"/>
      <c r="PIH69" s="13"/>
      <c r="PII69" s="13"/>
      <c r="PIJ69" s="13"/>
      <c r="PIK69" s="13"/>
      <c r="PIL69" s="13"/>
      <c r="PIM69" s="13"/>
      <c r="PIN69" s="13"/>
      <c r="PIO69" s="13"/>
      <c r="PIP69" s="13"/>
      <c r="PIQ69" s="13"/>
      <c r="PIR69" s="13"/>
      <c r="PIS69" s="13"/>
      <c r="PIT69" s="13"/>
      <c r="PIU69" s="13"/>
      <c r="PIV69" s="13"/>
      <c r="PIW69" s="13"/>
      <c r="PIX69" s="13"/>
      <c r="PIY69" s="13"/>
      <c r="PIZ69" s="13"/>
      <c r="PJA69" s="13"/>
      <c r="PJB69" s="13"/>
      <c r="PJC69" s="13"/>
      <c r="PJD69" s="13"/>
      <c r="PJE69" s="13"/>
      <c r="PJF69" s="13"/>
      <c r="PJG69" s="13"/>
      <c r="PJH69" s="13"/>
      <c r="PJI69" s="13"/>
      <c r="PJJ69" s="13"/>
      <c r="PJK69" s="13"/>
      <c r="PJL69" s="13"/>
      <c r="PJM69" s="13"/>
      <c r="PJN69" s="13"/>
      <c r="PJO69" s="13"/>
      <c r="PJP69" s="13"/>
      <c r="PJQ69" s="13"/>
      <c r="PJR69" s="13"/>
      <c r="PJS69" s="13"/>
      <c r="PJT69" s="13"/>
      <c r="PJU69" s="13"/>
      <c r="PJV69" s="13"/>
      <c r="PJW69" s="13"/>
      <c r="PJX69" s="13"/>
      <c r="PJY69" s="13"/>
      <c r="PJZ69" s="13"/>
      <c r="PKA69" s="13"/>
      <c r="PKB69" s="13"/>
      <c r="PKC69" s="13"/>
      <c r="PKD69" s="13"/>
      <c r="PKE69" s="13"/>
      <c r="PKF69" s="13"/>
      <c r="PKG69" s="13"/>
      <c r="PKH69" s="13"/>
      <c r="PKI69" s="13"/>
      <c r="PKJ69" s="13"/>
      <c r="PKK69" s="13"/>
      <c r="PKL69" s="13"/>
      <c r="PKM69" s="13"/>
      <c r="PKN69" s="13"/>
      <c r="PKO69" s="13"/>
      <c r="PKP69" s="13"/>
      <c r="PKQ69" s="13"/>
      <c r="PKR69" s="13"/>
      <c r="PKS69" s="13"/>
      <c r="PKT69" s="13"/>
      <c r="PKU69" s="13"/>
      <c r="PKV69" s="13"/>
      <c r="PKW69" s="13"/>
      <c r="PKX69" s="13"/>
      <c r="PKY69" s="13"/>
      <c r="PKZ69" s="13"/>
      <c r="PLA69" s="13"/>
      <c r="PLB69" s="13"/>
      <c r="PLC69" s="13"/>
      <c r="PLD69" s="13"/>
      <c r="PLE69" s="13"/>
      <c r="PLF69" s="13"/>
      <c r="PLG69" s="13"/>
      <c r="PLH69" s="13"/>
      <c r="PLI69" s="13"/>
      <c r="PLJ69" s="13"/>
      <c r="PLK69" s="13"/>
      <c r="PLL69" s="13"/>
      <c r="PLM69" s="13"/>
      <c r="PLN69" s="13"/>
      <c r="PLO69" s="13"/>
      <c r="PLP69" s="13"/>
      <c r="PLQ69" s="13"/>
      <c r="PLR69" s="13"/>
      <c r="PLS69" s="13"/>
      <c r="PLT69" s="13"/>
      <c r="PLU69" s="13"/>
      <c r="PLV69" s="13"/>
      <c r="PLW69" s="13"/>
      <c r="PLX69" s="13"/>
      <c r="PLY69" s="13"/>
      <c r="PLZ69" s="13"/>
      <c r="PMA69" s="13"/>
      <c r="PMB69" s="13"/>
      <c r="PMC69" s="13"/>
      <c r="PMD69" s="13"/>
      <c r="PME69" s="13"/>
      <c r="PMF69" s="13"/>
      <c r="PMG69" s="13"/>
      <c r="PMH69" s="13"/>
      <c r="PMI69" s="13"/>
      <c r="PMJ69" s="13"/>
      <c r="PMK69" s="13"/>
      <c r="PML69" s="13"/>
      <c r="PMM69" s="13"/>
      <c r="PMN69" s="13"/>
      <c r="PMO69" s="13"/>
      <c r="PMP69" s="13"/>
      <c r="PMQ69" s="13"/>
      <c r="PMR69" s="13"/>
      <c r="PMS69" s="13"/>
      <c r="PMT69" s="13"/>
      <c r="PMU69" s="13"/>
      <c r="PMV69" s="13"/>
      <c r="PMW69" s="13"/>
      <c r="PMX69" s="13"/>
      <c r="PMY69" s="13"/>
      <c r="PMZ69" s="13"/>
      <c r="PNA69" s="13"/>
      <c r="PNB69" s="13"/>
      <c r="PNC69" s="13"/>
      <c r="PND69" s="13"/>
      <c r="PNE69" s="13"/>
      <c r="PNF69" s="13"/>
      <c r="PNG69" s="13"/>
      <c r="PNH69" s="13"/>
      <c r="PNI69" s="13"/>
      <c r="PNJ69" s="13"/>
      <c r="PNK69" s="13"/>
      <c r="PNL69" s="13"/>
      <c r="PNM69" s="13"/>
      <c r="PNN69" s="13"/>
      <c r="PNO69" s="13"/>
      <c r="PNP69" s="13"/>
      <c r="PNQ69" s="13"/>
      <c r="PNR69" s="13"/>
      <c r="PNS69" s="13"/>
      <c r="PNT69" s="13"/>
      <c r="PNU69" s="13"/>
      <c r="PNV69" s="13"/>
      <c r="PNW69" s="13"/>
      <c r="PNX69" s="13"/>
      <c r="PNY69" s="13"/>
      <c r="PNZ69" s="13"/>
      <c r="POA69" s="13"/>
      <c r="POB69" s="13"/>
      <c r="POC69" s="13"/>
      <c r="POD69" s="13"/>
      <c r="POE69" s="13"/>
      <c r="POF69" s="13"/>
      <c r="POG69" s="13"/>
      <c r="POH69" s="13"/>
      <c r="POI69" s="13"/>
      <c r="POJ69" s="13"/>
      <c r="POK69" s="13"/>
      <c r="POL69" s="13"/>
      <c r="POM69" s="13"/>
      <c r="PON69" s="13"/>
      <c r="POO69" s="13"/>
      <c r="POP69" s="13"/>
      <c r="POQ69" s="13"/>
      <c r="POR69" s="13"/>
      <c r="POS69" s="13"/>
      <c r="POT69" s="13"/>
      <c r="POU69" s="13"/>
      <c r="POV69" s="13"/>
      <c r="POW69" s="13"/>
      <c r="POX69" s="13"/>
      <c r="POY69" s="13"/>
      <c r="POZ69" s="13"/>
      <c r="PPA69" s="13"/>
      <c r="PPB69" s="13"/>
      <c r="PPC69" s="13"/>
      <c r="PPD69" s="13"/>
      <c r="PPE69" s="13"/>
      <c r="PPF69" s="13"/>
      <c r="PPG69" s="13"/>
      <c r="PPH69" s="13"/>
      <c r="PPI69" s="13"/>
      <c r="PPJ69" s="13"/>
      <c r="PPK69" s="13"/>
      <c r="PPL69" s="13"/>
      <c r="PPM69" s="13"/>
      <c r="PPN69" s="13"/>
      <c r="PPO69" s="13"/>
      <c r="PPP69" s="13"/>
      <c r="PPQ69" s="13"/>
      <c r="PPR69" s="13"/>
      <c r="PPS69" s="13"/>
      <c r="PPT69" s="13"/>
      <c r="PPU69" s="13"/>
      <c r="PPV69" s="13"/>
      <c r="PPW69" s="13"/>
      <c r="PPX69" s="13"/>
      <c r="PPY69" s="13"/>
      <c r="PPZ69" s="13"/>
      <c r="PQA69" s="13"/>
      <c r="PQB69" s="13"/>
      <c r="PQC69" s="13"/>
      <c r="PQD69" s="13"/>
      <c r="PQE69" s="13"/>
      <c r="PQF69" s="13"/>
      <c r="PQG69" s="13"/>
      <c r="PQH69" s="13"/>
      <c r="PQI69" s="13"/>
      <c r="PQJ69" s="13"/>
      <c r="PQK69" s="13"/>
      <c r="PQL69" s="13"/>
      <c r="PQM69" s="13"/>
      <c r="PQN69" s="13"/>
      <c r="PQO69" s="13"/>
      <c r="PQP69" s="13"/>
      <c r="PQQ69" s="13"/>
      <c r="PQR69" s="13"/>
      <c r="PQS69" s="13"/>
      <c r="PQT69" s="13"/>
      <c r="PQU69" s="13"/>
      <c r="PQV69" s="13"/>
      <c r="PQW69" s="13"/>
      <c r="PQX69" s="13"/>
      <c r="PQY69" s="13"/>
      <c r="PQZ69" s="13"/>
      <c r="PRA69" s="13"/>
      <c r="PRB69" s="13"/>
      <c r="PRC69" s="13"/>
      <c r="PRD69" s="13"/>
      <c r="PRE69" s="13"/>
      <c r="PRF69" s="13"/>
      <c r="PRG69" s="13"/>
      <c r="PRH69" s="13"/>
      <c r="PRI69" s="13"/>
      <c r="PRJ69" s="13"/>
      <c r="PRK69" s="13"/>
      <c r="PRL69" s="13"/>
      <c r="PRM69" s="13"/>
      <c r="PRN69" s="13"/>
      <c r="PRO69" s="13"/>
      <c r="PRP69" s="13"/>
      <c r="PRQ69" s="13"/>
      <c r="PRR69" s="13"/>
      <c r="PRS69" s="13"/>
      <c r="PRT69" s="13"/>
      <c r="PRU69" s="13"/>
      <c r="PRV69" s="13"/>
      <c r="PRW69" s="13"/>
      <c r="PRX69" s="13"/>
      <c r="PRY69" s="13"/>
      <c r="PRZ69" s="13"/>
      <c r="PSA69" s="13"/>
      <c r="PSB69" s="13"/>
      <c r="PSC69" s="13"/>
      <c r="PSD69" s="13"/>
      <c r="PSE69" s="13"/>
      <c r="PSF69" s="13"/>
      <c r="PSG69" s="13"/>
      <c r="PSH69" s="13"/>
      <c r="PSI69" s="13"/>
      <c r="PSJ69" s="13"/>
      <c r="PSK69" s="13"/>
      <c r="PSL69" s="13"/>
      <c r="PSM69" s="13"/>
      <c r="PSN69" s="13"/>
      <c r="PSO69" s="13"/>
      <c r="PSP69" s="13"/>
      <c r="PSQ69" s="13"/>
      <c r="PSR69" s="13"/>
      <c r="PSS69" s="13"/>
      <c r="PST69" s="13"/>
      <c r="PSU69" s="13"/>
      <c r="PSV69" s="13"/>
      <c r="PSW69" s="13"/>
      <c r="PSX69" s="13"/>
      <c r="PSY69" s="13"/>
      <c r="PSZ69" s="13"/>
      <c r="PTA69" s="13"/>
      <c r="PTB69" s="13"/>
      <c r="PTC69" s="13"/>
      <c r="PTD69" s="13"/>
      <c r="PTE69" s="13"/>
      <c r="PTF69" s="13"/>
      <c r="PTG69" s="13"/>
      <c r="PTH69" s="13"/>
      <c r="PTI69" s="13"/>
      <c r="PTJ69" s="13"/>
      <c r="PTK69" s="13"/>
      <c r="PTL69" s="13"/>
      <c r="PTM69" s="13"/>
      <c r="PTN69" s="13"/>
      <c r="PTO69" s="13"/>
      <c r="PTP69" s="13"/>
      <c r="PTQ69" s="13"/>
      <c r="PTR69" s="13"/>
      <c r="PTS69" s="13"/>
      <c r="PTT69" s="13"/>
      <c r="PTU69" s="13"/>
      <c r="PTV69" s="13"/>
      <c r="PTW69" s="13"/>
      <c r="PTX69" s="13"/>
      <c r="PTY69" s="13"/>
      <c r="PTZ69" s="13"/>
      <c r="PUA69" s="13"/>
      <c r="PUB69" s="13"/>
      <c r="PUC69" s="13"/>
      <c r="PUD69" s="13"/>
      <c r="PUE69" s="13"/>
      <c r="PUF69" s="13"/>
      <c r="PUG69" s="13"/>
      <c r="PUH69" s="13"/>
      <c r="PUI69" s="13"/>
      <c r="PUJ69" s="13"/>
      <c r="PUK69" s="13"/>
      <c r="PUL69" s="13"/>
      <c r="PUM69" s="13"/>
      <c r="PUN69" s="13"/>
      <c r="PUO69" s="13"/>
      <c r="PUP69" s="13"/>
      <c r="PUQ69" s="13"/>
      <c r="PUR69" s="13"/>
      <c r="PUS69" s="13"/>
      <c r="PUT69" s="13"/>
      <c r="PUU69" s="13"/>
      <c r="PUV69" s="13"/>
      <c r="PUW69" s="13"/>
      <c r="PUX69" s="13"/>
      <c r="PUY69" s="13"/>
      <c r="PUZ69" s="13"/>
      <c r="PVA69" s="13"/>
      <c r="PVB69" s="13"/>
      <c r="PVC69" s="13"/>
      <c r="PVD69" s="13"/>
      <c r="PVE69" s="13"/>
      <c r="PVF69" s="13"/>
      <c r="PVG69" s="13"/>
      <c r="PVH69" s="13"/>
      <c r="PVI69" s="13"/>
      <c r="PVJ69" s="13"/>
      <c r="PVK69" s="13"/>
      <c r="PVL69" s="13"/>
      <c r="PVM69" s="13"/>
      <c r="PVN69" s="13"/>
      <c r="PVO69" s="13"/>
      <c r="PVP69" s="13"/>
      <c r="PVQ69" s="13"/>
      <c r="PVR69" s="13"/>
      <c r="PVS69" s="13"/>
      <c r="PVT69" s="13"/>
      <c r="PVU69" s="13"/>
      <c r="PVV69" s="13"/>
      <c r="PVW69" s="13"/>
      <c r="PVX69" s="13"/>
      <c r="PVY69" s="13"/>
      <c r="PVZ69" s="13"/>
      <c r="PWA69" s="13"/>
      <c r="PWB69" s="13"/>
      <c r="PWC69" s="13"/>
      <c r="PWD69" s="13"/>
      <c r="PWE69" s="13"/>
      <c r="PWF69" s="13"/>
      <c r="PWG69" s="13"/>
      <c r="PWH69" s="13"/>
      <c r="PWI69" s="13"/>
      <c r="PWJ69" s="13"/>
      <c r="PWK69" s="13"/>
      <c r="PWL69" s="13"/>
      <c r="PWM69" s="13"/>
      <c r="PWN69" s="13"/>
      <c r="PWO69" s="13"/>
      <c r="PWP69" s="13"/>
      <c r="PWQ69" s="13"/>
      <c r="PWR69" s="13"/>
      <c r="PWS69" s="13"/>
      <c r="PWT69" s="13"/>
      <c r="PWU69" s="13"/>
      <c r="PWV69" s="13"/>
      <c r="PWW69" s="13"/>
      <c r="PWX69" s="13"/>
      <c r="PWY69" s="13"/>
      <c r="PWZ69" s="13"/>
      <c r="PXA69" s="13"/>
      <c r="PXB69" s="13"/>
      <c r="PXC69" s="13"/>
      <c r="PXD69" s="13"/>
      <c r="PXE69" s="13"/>
      <c r="PXF69" s="13"/>
      <c r="PXG69" s="13"/>
      <c r="PXH69" s="13"/>
      <c r="PXI69" s="13"/>
      <c r="PXJ69" s="13"/>
      <c r="PXK69" s="13"/>
      <c r="PXL69" s="13"/>
      <c r="PXM69" s="13"/>
      <c r="PXN69" s="13"/>
      <c r="PXO69" s="13"/>
      <c r="PXP69" s="13"/>
      <c r="PXQ69" s="13"/>
      <c r="PXR69" s="13"/>
      <c r="PXS69" s="13"/>
      <c r="PXT69" s="13"/>
      <c r="PXU69" s="13"/>
      <c r="PXV69" s="13"/>
      <c r="PXW69" s="13"/>
      <c r="PXX69" s="13"/>
      <c r="PXY69" s="13"/>
      <c r="PXZ69" s="13"/>
      <c r="PYA69" s="13"/>
      <c r="PYB69" s="13"/>
      <c r="PYC69" s="13"/>
      <c r="PYD69" s="13"/>
      <c r="PYE69" s="13"/>
      <c r="PYF69" s="13"/>
      <c r="PYG69" s="13"/>
      <c r="PYH69" s="13"/>
      <c r="PYI69" s="13"/>
      <c r="PYJ69" s="13"/>
      <c r="PYK69" s="13"/>
      <c r="PYL69" s="13"/>
      <c r="PYM69" s="13"/>
      <c r="PYN69" s="13"/>
      <c r="PYO69" s="13"/>
      <c r="PYP69" s="13"/>
      <c r="PYQ69" s="13"/>
      <c r="PYR69" s="13"/>
      <c r="PYS69" s="13"/>
      <c r="PYT69" s="13"/>
      <c r="PYU69" s="13"/>
      <c r="PYV69" s="13"/>
      <c r="PYW69" s="13"/>
      <c r="PYX69" s="13"/>
      <c r="PYY69" s="13"/>
      <c r="PYZ69" s="13"/>
      <c r="PZA69" s="13"/>
      <c r="PZB69" s="13"/>
      <c r="PZC69" s="13"/>
      <c r="PZD69" s="13"/>
      <c r="PZE69" s="13"/>
      <c r="PZF69" s="13"/>
      <c r="PZG69" s="13"/>
      <c r="PZH69" s="13"/>
      <c r="PZI69" s="13"/>
      <c r="PZJ69" s="13"/>
      <c r="PZK69" s="13"/>
      <c r="PZL69" s="13"/>
      <c r="PZM69" s="13"/>
      <c r="PZN69" s="13"/>
      <c r="PZO69" s="13"/>
      <c r="PZP69" s="13"/>
      <c r="PZQ69" s="13"/>
      <c r="PZR69" s="13"/>
      <c r="PZS69" s="13"/>
      <c r="PZT69" s="13"/>
      <c r="PZU69" s="13"/>
      <c r="PZV69" s="13"/>
      <c r="PZW69" s="13"/>
      <c r="PZX69" s="13"/>
      <c r="PZY69" s="13"/>
      <c r="PZZ69" s="13"/>
      <c r="QAA69" s="13"/>
      <c r="QAB69" s="13"/>
      <c r="QAC69" s="13"/>
      <c r="QAD69" s="13"/>
      <c r="QAE69" s="13"/>
      <c r="QAF69" s="13"/>
      <c r="QAG69" s="13"/>
      <c r="QAH69" s="13"/>
      <c r="QAI69" s="13"/>
      <c r="QAJ69" s="13"/>
      <c r="QAK69" s="13"/>
      <c r="QAL69" s="13"/>
      <c r="QAM69" s="13"/>
      <c r="QAN69" s="13"/>
      <c r="QAO69" s="13"/>
      <c r="QAP69" s="13"/>
      <c r="QAQ69" s="13"/>
      <c r="QAR69" s="13"/>
      <c r="QAS69" s="13"/>
      <c r="QAT69" s="13"/>
      <c r="QAU69" s="13"/>
      <c r="QAV69" s="13"/>
      <c r="QAW69" s="13"/>
      <c r="QAX69" s="13"/>
      <c r="QAY69" s="13"/>
      <c r="QAZ69" s="13"/>
      <c r="QBA69" s="13"/>
      <c r="QBB69" s="13"/>
      <c r="QBC69" s="13"/>
      <c r="QBD69" s="13"/>
      <c r="QBE69" s="13"/>
      <c r="QBF69" s="13"/>
      <c r="QBG69" s="13"/>
      <c r="QBH69" s="13"/>
      <c r="QBI69" s="13"/>
      <c r="QBJ69" s="13"/>
      <c r="QBK69" s="13"/>
      <c r="QBL69" s="13"/>
      <c r="QBM69" s="13"/>
      <c r="QBN69" s="13"/>
      <c r="QBO69" s="13"/>
      <c r="QBP69" s="13"/>
      <c r="QBQ69" s="13"/>
      <c r="QBR69" s="13"/>
      <c r="QBS69" s="13"/>
      <c r="QBT69" s="13"/>
      <c r="QBU69" s="13"/>
      <c r="QBV69" s="13"/>
      <c r="QBW69" s="13"/>
      <c r="QBX69" s="13"/>
      <c r="QBY69" s="13"/>
      <c r="QBZ69" s="13"/>
      <c r="QCA69" s="13"/>
      <c r="QCB69" s="13"/>
      <c r="QCC69" s="13"/>
      <c r="QCD69" s="13"/>
      <c r="QCE69" s="13"/>
      <c r="QCF69" s="13"/>
      <c r="QCG69" s="13"/>
      <c r="QCH69" s="13"/>
      <c r="QCI69" s="13"/>
      <c r="QCJ69" s="13"/>
      <c r="QCK69" s="13"/>
      <c r="QCL69" s="13"/>
      <c r="QCM69" s="13"/>
      <c r="QCN69" s="13"/>
      <c r="QCO69" s="13"/>
      <c r="QCP69" s="13"/>
      <c r="QCQ69" s="13"/>
      <c r="QCR69" s="13"/>
      <c r="QCS69" s="13"/>
      <c r="QCT69" s="13"/>
      <c r="QCU69" s="13"/>
      <c r="QCV69" s="13"/>
      <c r="QCW69" s="13"/>
      <c r="QCX69" s="13"/>
      <c r="QCY69" s="13"/>
      <c r="QCZ69" s="13"/>
      <c r="QDA69" s="13"/>
      <c r="QDB69" s="13"/>
      <c r="QDC69" s="13"/>
      <c r="QDD69" s="13"/>
      <c r="QDE69" s="13"/>
      <c r="QDF69" s="13"/>
      <c r="QDG69" s="13"/>
      <c r="QDH69" s="13"/>
      <c r="QDI69" s="13"/>
      <c r="QDJ69" s="13"/>
      <c r="QDK69" s="13"/>
      <c r="QDL69" s="13"/>
      <c r="QDM69" s="13"/>
      <c r="QDN69" s="13"/>
      <c r="QDO69" s="13"/>
      <c r="QDP69" s="13"/>
      <c r="QDQ69" s="13"/>
      <c r="QDR69" s="13"/>
      <c r="QDS69" s="13"/>
      <c r="QDT69" s="13"/>
      <c r="QDU69" s="13"/>
      <c r="QDV69" s="13"/>
      <c r="QDW69" s="13"/>
      <c r="QDX69" s="13"/>
      <c r="QDY69" s="13"/>
      <c r="QDZ69" s="13"/>
      <c r="QEA69" s="13"/>
      <c r="QEB69" s="13"/>
      <c r="QEC69" s="13"/>
      <c r="QED69" s="13"/>
      <c r="QEE69" s="13"/>
      <c r="QEF69" s="13"/>
      <c r="QEG69" s="13"/>
      <c r="QEH69" s="13"/>
      <c r="QEI69" s="13"/>
      <c r="QEJ69" s="13"/>
      <c r="QEK69" s="13"/>
      <c r="QEL69" s="13"/>
      <c r="QEM69" s="13"/>
      <c r="QEN69" s="13"/>
      <c r="QEO69" s="13"/>
      <c r="QEP69" s="13"/>
      <c r="QEQ69" s="13"/>
      <c r="QER69" s="13"/>
      <c r="QES69" s="13"/>
      <c r="QET69" s="13"/>
      <c r="QEU69" s="13"/>
      <c r="QEV69" s="13"/>
      <c r="QEW69" s="13"/>
      <c r="QEX69" s="13"/>
      <c r="QEY69" s="13"/>
      <c r="QEZ69" s="13"/>
      <c r="QFA69" s="13"/>
      <c r="QFB69" s="13"/>
      <c r="QFC69" s="13"/>
      <c r="QFD69" s="13"/>
      <c r="QFE69" s="13"/>
      <c r="QFF69" s="13"/>
      <c r="QFG69" s="13"/>
      <c r="QFH69" s="13"/>
      <c r="QFI69" s="13"/>
      <c r="QFJ69" s="13"/>
      <c r="QFK69" s="13"/>
      <c r="QFL69" s="13"/>
      <c r="QFM69" s="13"/>
      <c r="QFN69" s="13"/>
      <c r="QFO69" s="13"/>
      <c r="QFP69" s="13"/>
      <c r="QFQ69" s="13"/>
      <c r="QFR69" s="13"/>
      <c r="QFS69" s="13"/>
      <c r="QFT69" s="13"/>
      <c r="QFU69" s="13"/>
      <c r="QFV69" s="13"/>
      <c r="QFW69" s="13"/>
      <c r="QFX69" s="13"/>
      <c r="QFY69" s="13"/>
      <c r="QFZ69" s="13"/>
      <c r="QGA69" s="13"/>
      <c r="QGB69" s="13"/>
      <c r="QGC69" s="13"/>
      <c r="QGD69" s="13"/>
      <c r="QGE69" s="13"/>
      <c r="QGF69" s="13"/>
      <c r="QGG69" s="13"/>
      <c r="QGH69" s="13"/>
      <c r="QGI69" s="13"/>
      <c r="QGJ69" s="13"/>
      <c r="QGK69" s="13"/>
      <c r="QGL69" s="13"/>
      <c r="QGM69" s="13"/>
      <c r="QGN69" s="13"/>
      <c r="QGO69" s="13"/>
      <c r="QGP69" s="13"/>
      <c r="QGQ69" s="13"/>
      <c r="QGR69" s="13"/>
      <c r="QGS69" s="13"/>
      <c r="QGT69" s="13"/>
      <c r="QGU69" s="13"/>
      <c r="QGV69" s="13"/>
      <c r="QGW69" s="13"/>
      <c r="QGX69" s="13"/>
      <c r="QGY69" s="13"/>
      <c r="QGZ69" s="13"/>
      <c r="QHA69" s="13"/>
      <c r="QHB69" s="13"/>
      <c r="QHC69" s="13"/>
      <c r="QHD69" s="13"/>
      <c r="QHE69" s="13"/>
      <c r="QHF69" s="13"/>
      <c r="QHG69" s="13"/>
      <c r="QHH69" s="13"/>
      <c r="QHI69" s="13"/>
      <c r="QHJ69" s="13"/>
      <c r="QHK69" s="13"/>
      <c r="QHL69" s="13"/>
      <c r="QHM69" s="13"/>
      <c r="QHN69" s="13"/>
      <c r="QHO69" s="13"/>
      <c r="QHP69" s="13"/>
      <c r="QHQ69" s="13"/>
      <c r="QHR69" s="13"/>
      <c r="QHS69" s="13"/>
      <c r="QHT69" s="13"/>
      <c r="QHU69" s="13"/>
      <c r="QHV69" s="13"/>
      <c r="QHW69" s="13"/>
      <c r="QHX69" s="13"/>
      <c r="QHY69" s="13"/>
      <c r="QHZ69" s="13"/>
      <c r="QIA69" s="13"/>
      <c r="QIB69" s="13"/>
      <c r="QIC69" s="13"/>
      <c r="QID69" s="13"/>
      <c r="QIE69" s="13"/>
      <c r="QIF69" s="13"/>
      <c r="QIG69" s="13"/>
      <c r="QIH69" s="13"/>
      <c r="QII69" s="13"/>
      <c r="QIJ69" s="13"/>
      <c r="QIK69" s="13"/>
      <c r="QIL69" s="13"/>
      <c r="QIM69" s="13"/>
      <c r="QIN69" s="13"/>
      <c r="QIO69" s="13"/>
      <c r="QIP69" s="13"/>
      <c r="QIQ69" s="13"/>
      <c r="QIR69" s="13"/>
      <c r="QIS69" s="13"/>
      <c r="QIT69" s="13"/>
      <c r="QIU69" s="13"/>
      <c r="QIV69" s="13"/>
      <c r="QIW69" s="13"/>
      <c r="QIX69" s="13"/>
      <c r="QIY69" s="13"/>
      <c r="QIZ69" s="13"/>
      <c r="QJA69" s="13"/>
      <c r="QJB69" s="13"/>
      <c r="QJC69" s="13"/>
      <c r="QJD69" s="13"/>
      <c r="QJE69" s="13"/>
      <c r="QJF69" s="13"/>
      <c r="QJG69" s="13"/>
      <c r="QJH69" s="13"/>
      <c r="QJI69" s="13"/>
      <c r="QJJ69" s="13"/>
      <c r="QJK69" s="13"/>
      <c r="QJL69" s="13"/>
      <c r="QJM69" s="13"/>
      <c r="QJN69" s="13"/>
      <c r="QJO69" s="13"/>
      <c r="QJP69" s="13"/>
      <c r="QJQ69" s="13"/>
      <c r="QJR69" s="13"/>
      <c r="QJS69" s="13"/>
      <c r="QJT69" s="13"/>
      <c r="QJU69" s="13"/>
      <c r="QJV69" s="13"/>
      <c r="QJW69" s="13"/>
      <c r="QJX69" s="13"/>
      <c r="QJY69" s="13"/>
      <c r="QJZ69" s="13"/>
      <c r="QKA69" s="13"/>
      <c r="QKB69" s="13"/>
      <c r="QKC69" s="13"/>
      <c r="QKD69" s="13"/>
      <c r="QKE69" s="13"/>
      <c r="QKF69" s="13"/>
      <c r="QKG69" s="13"/>
      <c r="QKH69" s="13"/>
      <c r="QKI69" s="13"/>
      <c r="QKJ69" s="13"/>
      <c r="QKK69" s="13"/>
      <c r="QKL69" s="13"/>
      <c r="QKM69" s="13"/>
      <c r="QKN69" s="13"/>
      <c r="QKO69" s="13"/>
      <c r="QKP69" s="13"/>
      <c r="QKQ69" s="13"/>
      <c r="QKR69" s="13"/>
      <c r="QKS69" s="13"/>
      <c r="QKT69" s="13"/>
      <c r="QKU69" s="13"/>
      <c r="QKV69" s="13"/>
      <c r="QKW69" s="13"/>
      <c r="QKX69" s="13"/>
      <c r="QKY69" s="13"/>
      <c r="QKZ69" s="13"/>
      <c r="QLA69" s="13"/>
      <c r="QLB69" s="13"/>
      <c r="QLC69" s="13"/>
      <c r="QLD69" s="13"/>
      <c r="QLE69" s="13"/>
      <c r="QLF69" s="13"/>
      <c r="QLG69" s="13"/>
      <c r="QLH69" s="13"/>
      <c r="QLI69" s="13"/>
      <c r="QLJ69" s="13"/>
      <c r="QLK69" s="13"/>
      <c r="QLL69" s="13"/>
      <c r="QLM69" s="13"/>
      <c r="QLN69" s="13"/>
      <c r="QLO69" s="13"/>
      <c r="QLP69" s="13"/>
      <c r="QLQ69" s="13"/>
      <c r="QLR69" s="13"/>
      <c r="QLS69" s="13"/>
      <c r="QLT69" s="13"/>
      <c r="QLU69" s="13"/>
      <c r="QLV69" s="13"/>
      <c r="QLW69" s="13"/>
      <c r="QLX69" s="13"/>
      <c r="QLY69" s="13"/>
      <c r="QLZ69" s="13"/>
      <c r="QMA69" s="13"/>
      <c r="QMB69" s="13"/>
      <c r="QMC69" s="13"/>
      <c r="QMD69" s="13"/>
      <c r="QME69" s="13"/>
      <c r="QMF69" s="13"/>
      <c r="QMG69" s="13"/>
      <c r="QMH69" s="13"/>
      <c r="QMI69" s="13"/>
      <c r="QMJ69" s="13"/>
      <c r="QMK69" s="13"/>
      <c r="QML69" s="13"/>
      <c r="QMM69" s="13"/>
      <c r="QMN69" s="13"/>
      <c r="QMO69" s="13"/>
      <c r="QMP69" s="13"/>
      <c r="QMQ69" s="13"/>
      <c r="QMR69" s="13"/>
      <c r="QMS69" s="13"/>
      <c r="QMT69" s="13"/>
      <c r="QMU69" s="13"/>
      <c r="QMV69" s="13"/>
      <c r="QMW69" s="13"/>
      <c r="QMX69" s="13"/>
      <c r="QMY69" s="13"/>
      <c r="QMZ69" s="13"/>
      <c r="QNA69" s="13"/>
      <c r="QNB69" s="13"/>
      <c r="QNC69" s="13"/>
      <c r="QND69" s="13"/>
      <c r="QNE69" s="13"/>
      <c r="QNF69" s="13"/>
      <c r="QNG69" s="13"/>
      <c r="QNH69" s="13"/>
      <c r="QNI69" s="13"/>
      <c r="QNJ69" s="13"/>
      <c r="QNK69" s="13"/>
      <c r="QNL69" s="13"/>
      <c r="QNM69" s="13"/>
      <c r="QNN69" s="13"/>
      <c r="QNO69" s="13"/>
      <c r="QNP69" s="13"/>
      <c r="QNQ69" s="13"/>
      <c r="QNR69" s="13"/>
      <c r="QNS69" s="13"/>
      <c r="QNT69" s="13"/>
      <c r="QNU69" s="13"/>
      <c r="QNV69" s="13"/>
      <c r="QNW69" s="13"/>
      <c r="QNX69" s="13"/>
      <c r="QNY69" s="13"/>
      <c r="QNZ69" s="13"/>
      <c r="QOA69" s="13"/>
      <c r="QOB69" s="13"/>
      <c r="QOC69" s="13"/>
      <c r="QOD69" s="13"/>
      <c r="QOE69" s="13"/>
      <c r="QOF69" s="13"/>
      <c r="QOG69" s="13"/>
      <c r="QOH69" s="13"/>
      <c r="QOI69" s="13"/>
      <c r="QOJ69" s="13"/>
      <c r="QOK69" s="13"/>
      <c r="QOL69" s="13"/>
      <c r="QOM69" s="13"/>
      <c r="QON69" s="13"/>
      <c r="QOO69" s="13"/>
      <c r="QOP69" s="13"/>
      <c r="QOQ69" s="13"/>
      <c r="QOR69" s="13"/>
      <c r="QOS69" s="13"/>
      <c r="QOT69" s="13"/>
      <c r="QOU69" s="13"/>
      <c r="QOV69" s="13"/>
      <c r="QOW69" s="13"/>
      <c r="QOX69" s="13"/>
      <c r="QOY69" s="13"/>
      <c r="QOZ69" s="13"/>
      <c r="QPA69" s="13"/>
      <c r="QPB69" s="13"/>
      <c r="QPC69" s="13"/>
      <c r="QPD69" s="13"/>
      <c r="QPE69" s="13"/>
      <c r="QPF69" s="13"/>
      <c r="QPG69" s="13"/>
      <c r="QPH69" s="13"/>
      <c r="QPI69" s="13"/>
      <c r="QPJ69" s="13"/>
      <c r="QPK69" s="13"/>
      <c r="QPL69" s="13"/>
      <c r="QPM69" s="13"/>
      <c r="QPN69" s="13"/>
      <c r="QPO69" s="13"/>
      <c r="QPP69" s="13"/>
      <c r="QPQ69" s="13"/>
      <c r="QPR69" s="13"/>
      <c r="QPS69" s="13"/>
      <c r="QPT69" s="13"/>
      <c r="QPU69" s="13"/>
      <c r="QPV69" s="13"/>
      <c r="QPW69" s="13"/>
      <c r="QPX69" s="13"/>
      <c r="QPY69" s="13"/>
      <c r="QPZ69" s="13"/>
      <c r="QQA69" s="13"/>
      <c r="QQB69" s="13"/>
      <c r="QQC69" s="13"/>
      <c r="QQD69" s="13"/>
      <c r="QQE69" s="13"/>
      <c r="QQF69" s="13"/>
      <c r="QQG69" s="13"/>
      <c r="QQH69" s="13"/>
      <c r="QQI69" s="13"/>
      <c r="QQJ69" s="13"/>
      <c r="QQK69" s="13"/>
      <c r="QQL69" s="13"/>
      <c r="QQM69" s="13"/>
      <c r="QQN69" s="13"/>
      <c r="QQO69" s="13"/>
      <c r="QQP69" s="13"/>
      <c r="QQQ69" s="13"/>
      <c r="QQR69" s="13"/>
      <c r="QQS69" s="13"/>
      <c r="QQT69" s="13"/>
      <c r="QQU69" s="13"/>
      <c r="QQV69" s="13"/>
      <c r="QQW69" s="13"/>
      <c r="QQX69" s="13"/>
      <c r="QQY69" s="13"/>
      <c r="QQZ69" s="13"/>
      <c r="QRA69" s="13"/>
      <c r="QRB69" s="13"/>
      <c r="QRC69" s="13"/>
      <c r="QRD69" s="13"/>
      <c r="QRE69" s="13"/>
      <c r="QRF69" s="13"/>
      <c r="QRG69" s="13"/>
      <c r="QRH69" s="13"/>
      <c r="QRI69" s="13"/>
      <c r="QRJ69" s="13"/>
      <c r="QRK69" s="13"/>
      <c r="QRL69" s="13"/>
      <c r="QRM69" s="13"/>
      <c r="QRN69" s="13"/>
      <c r="QRO69" s="13"/>
      <c r="QRP69" s="13"/>
      <c r="QRQ69" s="13"/>
      <c r="QRR69" s="13"/>
      <c r="QRS69" s="13"/>
      <c r="QRT69" s="13"/>
      <c r="QRU69" s="13"/>
      <c r="QRV69" s="13"/>
      <c r="QRW69" s="13"/>
      <c r="QRX69" s="13"/>
      <c r="QRY69" s="13"/>
      <c r="QRZ69" s="13"/>
      <c r="QSA69" s="13"/>
      <c r="QSB69" s="13"/>
      <c r="QSC69" s="13"/>
      <c r="QSD69" s="13"/>
      <c r="QSE69" s="13"/>
      <c r="QSF69" s="13"/>
      <c r="QSG69" s="13"/>
      <c r="QSH69" s="13"/>
      <c r="QSI69" s="13"/>
      <c r="QSJ69" s="13"/>
      <c r="QSK69" s="13"/>
      <c r="QSL69" s="13"/>
      <c r="QSM69" s="13"/>
      <c r="QSN69" s="13"/>
      <c r="QSO69" s="13"/>
      <c r="QSP69" s="13"/>
      <c r="QSQ69" s="13"/>
      <c r="QSR69" s="13"/>
      <c r="QSS69" s="13"/>
      <c r="QST69" s="13"/>
      <c r="QSU69" s="13"/>
      <c r="QSV69" s="13"/>
      <c r="QSW69" s="13"/>
      <c r="QSX69" s="13"/>
      <c r="QSY69" s="13"/>
      <c r="QSZ69" s="13"/>
      <c r="QTA69" s="13"/>
      <c r="QTB69" s="13"/>
      <c r="QTC69" s="13"/>
      <c r="QTD69" s="13"/>
      <c r="QTE69" s="13"/>
      <c r="QTF69" s="13"/>
      <c r="QTG69" s="13"/>
      <c r="QTH69" s="13"/>
      <c r="QTI69" s="13"/>
      <c r="QTJ69" s="13"/>
      <c r="QTK69" s="13"/>
      <c r="QTL69" s="13"/>
      <c r="QTM69" s="13"/>
      <c r="QTN69" s="13"/>
      <c r="QTO69" s="13"/>
      <c r="QTP69" s="13"/>
      <c r="QTQ69" s="13"/>
      <c r="QTR69" s="13"/>
      <c r="QTS69" s="13"/>
      <c r="QTT69" s="13"/>
      <c r="QTU69" s="13"/>
      <c r="QTV69" s="13"/>
      <c r="QTW69" s="13"/>
      <c r="QTX69" s="13"/>
      <c r="QTY69" s="13"/>
      <c r="QTZ69" s="13"/>
      <c r="QUA69" s="13"/>
      <c r="QUB69" s="13"/>
      <c r="QUC69" s="13"/>
      <c r="QUD69" s="13"/>
      <c r="QUE69" s="13"/>
      <c r="QUF69" s="13"/>
      <c r="QUG69" s="13"/>
      <c r="QUH69" s="13"/>
      <c r="QUI69" s="13"/>
      <c r="QUJ69" s="13"/>
      <c r="QUK69" s="13"/>
      <c r="QUL69" s="13"/>
      <c r="QUM69" s="13"/>
      <c r="QUN69" s="13"/>
      <c r="QUO69" s="13"/>
      <c r="QUP69" s="13"/>
      <c r="QUQ69" s="13"/>
      <c r="QUR69" s="13"/>
      <c r="QUS69" s="13"/>
      <c r="QUT69" s="13"/>
      <c r="QUU69" s="13"/>
      <c r="QUV69" s="13"/>
      <c r="QUW69" s="13"/>
      <c r="QUX69" s="13"/>
      <c r="QUY69" s="13"/>
      <c r="QUZ69" s="13"/>
      <c r="QVA69" s="13"/>
      <c r="QVB69" s="13"/>
      <c r="QVC69" s="13"/>
      <c r="QVD69" s="13"/>
      <c r="QVE69" s="13"/>
      <c r="QVF69" s="13"/>
      <c r="QVG69" s="13"/>
      <c r="QVH69" s="13"/>
      <c r="QVI69" s="13"/>
      <c r="QVJ69" s="13"/>
      <c r="QVK69" s="13"/>
      <c r="QVL69" s="13"/>
      <c r="QVM69" s="13"/>
      <c r="QVN69" s="13"/>
      <c r="QVO69" s="13"/>
      <c r="QVP69" s="13"/>
      <c r="QVQ69" s="13"/>
      <c r="QVR69" s="13"/>
      <c r="QVS69" s="13"/>
      <c r="QVT69" s="13"/>
      <c r="QVU69" s="13"/>
      <c r="QVV69" s="13"/>
      <c r="QVW69" s="13"/>
      <c r="QVX69" s="13"/>
      <c r="QVY69" s="13"/>
      <c r="QVZ69" s="13"/>
      <c r="QWA69" s="13"/>
      <c r="QWB69" s="13"/>
      <c r="QWC69" s="13"/>
      <c r="QWD69" s="13"/>
      <c r="QWE69" s="13"/>
      <c r="QWF69" s="13"/>
      <c r="QWG69" s="13"/>
      <c r="QWH69" s="13"/>
      <c r="QWI69" s="13"/>
      <c r="QWJ69" s="13"/>
      <c r="QWK69" s="13"/>
      <c r="QWL69" s="13"/>
      <c r="QWM69" s="13"/>
      <c r="QWN69" s="13"/>
      <c r="QWO69" s="13"/>
      <c r="QWP69" s="13"/>
      <c r="QWQ69" s="13"/>
      <c r="QWR69" s="13"/>
      <c r="QWS69" s="13"/>
      <c r="QWT69" s="13"/>
      <c r="QWU69" s="13"/>
      <c r="QWV69" s="13"/>
      <c r="QWW69" s="13"/>
      <c r="QWX69" s="13"/>
      <c r="QWY69" s="13"/>
      <c r="QWZ69" s="13"/>
      <c r="QXA69" s="13"/>
      <c r="QXB69" s="13"/>
      <c r="QXC69" s="13"/>
      <c r="QXD69" s="13"/>
      <c r="QXE69" s="13"/>
      <c r="QXF69" s="13"/>
      <c r="QXG69" s="13"/>
      <c r="QXH69" s="13"/>
      <c r="QXI69" s="13"/>
      <c r="QXJ69" s="13"/>
      <c r="QXK69" s="13"/>
      <c r="QXL69" s="13"/>
      <c r="QXM69" s="13"/>
      <c r="QXN69" s="13"/>
      <c r="QXO69" s="13"/>
      <c r="QXP69" s="13"/>
      <c r="QXQ69" s="13"/>
      <c r="QXR69" s="13"/>
      <c r="QXS69" s="13"/>
      <c r="QXT69" s="13"/>
      <c r="QXU69" s="13"/>
      <c r="QXV69" s="13"/>
      <c r="QXW69" s="13"/>
      <c r="QXX69" s="13"/>
      <c r="QXY69" s="13"/>
      <c r="QXZ69" s="13"/>
      <c r="QYA69" s="13"/>
      <c r="QYB69" s="13"/>
      <c r="QYC69" s="13"/>
      <c r="QYD69" s="13"/>
      <c r="QYE69" s="13"/>
      <c r="QYF69" s="13"/>
      <c r="QYG69" s="13"/>
      <c r="QYH69" s="13"/>
      <c r="QYI69" s="13"/>
      <c r="QYJ69" s="13"/>
      <c r="QYK69" s="13"/>
      <c r="QYL69" s="13"/>
      <c r="QYM69" s="13"/>
      <c r="QYN69" s="13"/>
      <c r="QYO69" s="13"/>
      <c r="QYP69" s="13"/>
      <c r="QYQ69" s="13"/>
      <c r="QYR69" s="13"/>
      <c r="QYS69" s="13"/>
      <c r="QYT69" s="13"/>
      <c r="QYU69" s="13"/>
      <c r="QYV69" s="13"/>
      <c r="QYW69" s="13"/>
      <c r="QYX69" s="13"/>
      <c r="QYY69" s="13"/>
      <c r="QYZ69" s="13"/>
      <c r="QZA69" s="13"/>
      <c r="QZB69" s="13"/>
      <c r="QZC69" s="13"/>
      <c r="QZD69" s="13"/>
      <c r="QZE69" s="13"/>
      <c r="QZF69" s="13"/>
      <c r="QZG69" s="13"/>
      <c r="QZH69" s="13"/>
      <c r="QZI69" s="13"/>
      <c r="QZJ69" s="13"/>
      <c r="QZK69" s="13"/>
      <c r="QZL69" s="13"/>
      <c r="QZM69" s="13"/>
      <c r="QZN69" s="13"/>
      <c r="QZO69" s="13"/>
      <c r="QZP69" s="13"/>
      <c r="QZQ69" s="13"/>
      <c r="QZR69" s="13"/>
      <c r="QZS69" s="13"/>
      <c r="QZT69" s="13"/>
      <c r="QZU69" s="13"/>
      <c r="QZV69" s="13"/>
      <c r="QZW69" s="13"/>
      <c r="QZX69" s="13"/>
      <c r="QZY69" s="13"/>
      <c r="QZZ69" s="13"/>
      <c r="RAA69" s="13"/>
      <c r="RAB69" s="13"/>
      <c r="RAC69" s="13"/>
      <c r="RAD69" s="13"/>
      <c r="RAE69" s="13"/>
      <c r="RAF69" s="13"/>
      <c r="RAG69" s="13"/>
      <c r="RAH69" s="13"/>
      <c r="RAI69" s="13"/>
      <c r="RAJ69" s="13"/>
      <c r="RAK69" s="13"/>
      <c r="RAL69" s="13"/>
      <c r="RAM69" s="13"/>
      <c r="RAN69" s="13"/>
      <c r="RAO69" s="13"/>
      <c r="RAP69" s="13"/>
      <c r="RAQ69" s="13"/>
      <c r="RAR69" s="13"/>
      <c r="RAS69" s="13"/>
      <c r="RAT69" s="13"/>
      <c r="RAU69" s="13"/>
      <c r="RAV69" s="13"/>
      <c r="RAW69" s="13"/>
      <c r="RAX69" s="13"/>
      <c r="RAY69" s="13"/>
      <c r="RAZ69" s="13"/>
      <c r="RBA69" s="13"/>
      <c r="RBB69" s="13"/>
      <c r="RBC69" s="13"/>
      <c r="RBD69" s="13"/>
      <c r="RBE69" s="13"/>
      <c r="RBF69" s="13"/>
      <c r="RBG69" s="13"/>
      <c r="RBH69" s="13"/>
      <c r="RBI69" s="13"/>
      <c r="RBJ69" s="13"/>
      <c r="RBK69" s="13"/>
      <c r="RBL69" s="13"/>
      <c r="RBM69" s="13"/>
      <c r="RBN69" s="13"/>
      <c r="RBO69" s="13"/>
      <c r="RBP69" s="13"/>
      <c r="RBQ69" s="13"/>
      <c r="RBR69" s="13"/>
      <c r="RBS69" s="13"/>
      <c r="RBT69" s="13"/>
      <c r="RBU69" s="13"/>
      <c r="RBV69" s="13"/>
      <c r="RBW69" s="13"/>
      <c r="RBX69" s="13"/>
      <c r="RBY69" s="13"/>
      <c r="RBZ69" s="13"/>
      <c r="RCA69" s="13"/>
      <c r="RCB69" s="13"/>
      <c r="RCC69" s="13"/>
      <c r="RCD69" s="13"/>
      <c r="RCE69" s="13"/>
      <c r="RCF69" s="13"/>
      <c r="RCG69" s="13"/>
      <c r="RCH69" s="13"/>
      <c r="RCI69" s="13"/>
      <c r="RCJ69" s="13"/>
      <c r="RCK69" s="13"/>
      <c r="RCL69" s="13"/>
      <c r="RCM69" s="13"/>
      <c r="RCN69" s="13"/>
      <c r="RCO69" s="13"/>
      <c r="RCP69" s="13"/>
      <c r="RCQ69" s="13"/>
      <c r="RCR69" s="13"/>
      <c r="RCS69" s="13"/>
      <c r="RCT69" s="13"/>
      <c r="RCU69" s="13"/>
      <c r="RCV69" s="13"/>
      <c r="RCW69" s="13"/>
      <c r="RCX69" s="13"/>
      <c r="RCY69" s="13"/>
      <c r="RCZ69" s="13"/>
      <c r="RDA69" s="13"/>
      <c r="RDB69" s="13"/>
      <c r="RDC69" s="13"/>
      <c r="RDD69" s="13"/>
      <c r="RDE69" s="13"/>
      <c r="RDF69" s="13"/>
      <c r="RDG69" s="13"/>
      <c r="RDH69" s="13"/>
      <c r="RDI69" s="13"/>
      <c r="RDJ69" s="13"/>
      <c r="RDK69" s="13"/>
      <c r="RDL69" s="13"/>
      <c r="RDM69" s="13"/>
      <c r="RDN69" s="13"/>
      <c r="RDO69" s="13"/>
      <c r="RDP69" s="13"/>
      <c r="RDQ69" s="13"/>
      <c r="RDR69" s="13"/>
      <c r="RDS69" s="13"/>
      <c r="RDT69" s="13"/>
      <c r="RDU69" s="13"/>
      <c r="RDV69" s="13"/>
      <c r="RDW69" s="13"/>
      <c r="RDX69" s="13"/>
      <c r="RDY69" s="13"/>
      <c r="RDZ69" s="13"/>
      <c r="REA69" s="13"/>
      <c r="REB69" s="13"/>
      <c r="REC69" s="13"/>
      <c r="RED69" s="13"/>
      <c r="REE69" s="13"/>
      <c r="REF69" s="13"/>
      <c r="REG69" s="13"/>
      <c r="REH69" s="13"/>
      <c r="REI69" s="13"/>
      <c r="REJ69" s="13"/>
      <c r="REK69" s="13"/>
      <c r="REL69" s="13"/>
      <c r="REM69" s="13"/>
      <c r="REN69" s="13"/>
      <c r="REO69" s="13"/>
      <c r="REP69" s="13"/>
      <c r="REQ69" s="13"/>
      <c r="RER69" s="13"/>
      <c r="RES69" s="13"/>
      <c r="RET69" s="13"/>
      <c r="REU69" s="13"/>
      <c r="REV69" s="13"/>
      <c r="REW69" s="13"/>
      <c r="REX69" s="13"/>
      <c r="REY69" s="13"/>
      <c r="REZ69" s="13"/>
      <c r="RFA69" s="13"/>
      <c r="RFB69" s="13"/>
      <c r="RFC69" s="13"/>
      <c r="RFD69" s="13"/>
      <c r="RFE69" s="13"/>
      <c r="RFF69" s="13"/>
      <c r="RFG69" s="13"/>
      <c r="RFH69" s="13"/>
      <c r="RFI69" s="13"/>
      <c r="RFJ69" s="13"/>
      <c r="RFK69" s="13"/>
      <c r="RFL69" s="13"/>
      <c r="RFM69" s="13"/>
      <c r="RFN69" s="13"/>
      <c r="RFO69" s="13"/>
      <c r="RFP69" s="13"/>
      <c r="RFQ69" s="13"/>
      <c r="RFR69" s="13"/>
      <c r="RFS69" s="13"/>
      <c r="RFT69" s="13"/>
      <c r="RFU69" s="13"/>
      <c r="RFV69" s="13"/>
      <c r="RFW69" s="13"/>
      <c r="RFX69" s="13"/>
      <c r="RFY69" s="13"/>
      <c r="RFZ69" s="13"/>
      <c r="RGA69" s="13"/>
      <c r="RGB69" s="13"/>
      <c r="RGC69" s="13"/>
      <c r="RGD69" s="13"/>
      <c r="RGE69" s="13"/>
      <c r="RGF69" s="13"/>
      <c r="RGG69" s="13"/>
      <c r="RGH69" s="13"/>
      <c r="RGI69" s="13"/>
      <c r="RGJ69" s="13"/>
      <c r="RGK69" s="13"/>
      <c r="RGL69" s="13"/>
      <c r="RGM69" s="13"/>
      <c r="RGN69" s="13"/>
      <c r="RGO69" s="13"/>
      <c r="RGP69" s="13"/>
      <c r="RGQ69" s="13"/>
      <c r="RGR69" s="13"/>
      <c r="RGS69" s="13"/>
      <c r="RGT69" s="13"/>
      <c r="RGU69" s="13"/>
      <c r="RGV69" s="13"/>
      <c r="RGW69" s="13"/>
      <c r="RGX69" s="13"/>
      <c r="RGY69" s="13"/>
      <c r="RGZ69" s="13"/>
      <c r="RHA69" s="13"/>
      <c r="RHB69" s="13"/>
      <c r="RHC69" s="13"/>
      <c r="RHD69" s="13"/>
      <c r="RHE69" s="13"/>
      <c r="RHF69" s="13"/>
      <c r="RHG69" s="13"/>
      <c r="RHH69" s="13"/>
      <c r="RHI69" s="13"/>
      <c r="RHJ69" s="13"/>
      <c r="RHK69" s="13"/>
      <c r="RHL69" s="13"/>
      <c r="RHM69" s="13"/>
      <c r="RHN69" s="13"/>
      <c r="RHO69" s="13"/>
      <c r="RHP69" s="13"/>
      <c r="RHQ69" s="13"/>
      <c r="RHR69" s="13"/>
      <c r="RHS69" s="13"/>
      <c r="RHT69" s="13"/>
      <c r="RHU69" s="13"/>
      <c r="RHV69" s="13"/>
      <c r="RHW69" s="13"/>
      <c r="RHX69" s="13"/>
      <c r="RHY69" s="13"/>
      <c r="RHZ69" s="13"/>
      <c r="RIA69" s="13"/>
      <c r="RIB69" s="13"/>
      <c r="RIC69" s="13"/>
      <c r="RID69" s="13"/>
      <c r="RIE69" s="13"/>
      <c r="RIF69" s="13"/>
      <c r="RIG69" s="13"/>
      <c r="RIH69" s="13"/>
      <c r="RII69" s="13"/>
      <c r="RIJ69" s="13"/>
      <c r="RIK69" s="13"/>
      <c r="RIL69" s="13"/>
      <c r="RIM69" s="13"/>
      <c r="RIN69" s="13"/>
      <c r="RIO69" s="13"/>
      <c r="RIP69" s="13"/>
      <c r="RIQ69" s="13"/>
      <c r="RIR69" s="13"/>
      <c r="RIS69" s="13"/>
      <c r="RIT69" s="13"/>
      <c r="RIU69" s="13"/>
      <c r="RIV69" s="13"/>
      <c r="RIW69" s="13"/>
      <c r="RIX69" s="13"/>
      <c r="RIY69" s="13"/>
      <c r="RIZ69" s="13"/>
      <c r="RJA69" s="13"/>
      <c r="RJB69" s="13"/>
      <c r="RJC69" s="13"/>
      <c r="RJD69" s="13"/>
      <c r="RJE69" s="13"/>
      <c r="RJF69" s="13"/>
      <c r="RJG69" s="13"/>
      <c r="RJH69" s="13"/>
      <c r="RJI69" s="13"/>
      <c r="RJJ69" s="13"/>
      <c r="RJK69" s="13"/>
      <c r="RJL69" s="13"/>
      <c r="RJM69" s="13"/>
      <c r="RJN69" s="13"/>
      <c r="RJO69" s="13"/>
      <c r="RJP69" s="13"/>
      <c r="RJQ69" s="13"/>
      <c r="RJR69" s="13"/>
      <c r="RJS69" s="13"/>
      <c r="RJT69" s="13"/>
      <c r="RJU69" s="13"/>
      <c r="RJV69" s="13"/>
      <c r="RJW69" s="13"/>
      <c r="RJX69" s="13"/>
      <c r="RJY69" s="13"/>
      <c r="RJZ69" s="13"/>
      <c r="RKA69" s="13"/>
      <c r="RKB69" s="13"/>
      <c r="RKC69" s="13"/>
      <c r="RKD69" s="13"/>
      <c r="RKE69" s="13"/>
      <c r="RKF69" s="13"/>
      <c r="RKG69" s="13"/>
      <c r="RKH69" s="13"/>
      <c r="RKI69" s="13"/>
      <c r="RKJ69" s="13"/>
      <c r="RKK69" s="13"/>
      <c r="RKL69" s="13"/>
      <c r="RKM69" s="13"/>
      <c r="RKN69" s="13"/>
      <c r="RKO69" s="13"/>
      <c r="RKP69" s="13"/>
      <c r="RKQ69" s="13"/>
      <c r="RKR69" s="13"/>
      <c r="RKS69" s="13"/>
      <c r="RKT69" s="13"/>
      <c r="RKU69" s="13"/>
      <c r="RKV69" s="13"/>
      <c r="RKW69" s="13"/>
      <c r="RKX69" s="13"/>
      <c r="RKY69" s="13"/>
      <c r="RKZ69" s="13"/>
      <c r="RLA69" s="13"/>
      <c r="RLB69" s="13"/>
      <c r="RLC69" s="13"/>
      <c r="RLD69" s="13"/>
      <c r="RLE69" s="13"/>
      <c r="RLF69" s="13"/>
      <c r="RLG69" s="13"/>
      <c r="RLH69" s="13"/>
      <c r="RLI69" s="13"/>
      <c r="RLJ69" s="13"/>
      <c r="RLK69" s="13"/>
      <c r="RLL69" s="13"/>
      <c r="RLM69" s="13"/>
      <c r="RLN69" s="13"/>
      <c r="RLO69" s="13"/>
      <c r="RLP69" s="13"/>
      <c r="RLQ69" s="13"/>
      <c r="RLR69" s="13"/>
      <c r="RLS69" s="13"/>
      <c r="RLT69" s="13"/>
      <c r="RLU69" s="13"/>
      <c r="RLV69" s="13"/>
      <c r="RLW69" s="13"/>
      <c r="RLX69" s="13"/>
      <c r="RLY69" s="13"/>
      <c r="RLZ69" s="13"/>
      <c r="RMA69" s="13"/>
      <c r="RMB69" s="13"/>
      <c r="RMC69" s="13"/>
      <c r="RMD69" s="13"/>
      <c r="RME69" s="13"/>
      <c r="RMF69" s="13"/>
      <c r="RMG69" s="13"/>
      <c r="RMH69" s="13"/>
      <c r="RMI69" s="13"/>
      <c r="RMJ69" s="13"/>
      <c r="RMK69" s="13"/>
      <c r="RML69" s="13"/>
      <c r="RMM69" s="13"/>
      <c r="RMN69" s="13"/>
      <c r="RMO69" s="13"/>
      <c r="RMP69" s="13"/>
      <c r="RMQ69" s="13"/>
      <c r="RMR69" s="13"/>
      <c r="RMS69" s="13"/>
      <c r="RMT69" s="13"/>
      <c r="RMU69" s="13"/>
      <c r="RMV69" s="13"/>
      <c r="RMW69" s="13"/>
      <c r="RMX69" s="13"/>
      <c r="RMY69" s="13"/>
      <c r="RMZ69" s="13"/>
      <c r="RNA69" s="13"/>
      <c r="RNB69" s="13"/>
      <c r="RNC69" s="13"/>
      <c r="RND69" s="13"/>
      <c r="RNE69" s="13"/>
      <c r="RNF69" s="13"/>
      <c r="RNG69" s="13"/>
      <c r="RNH69" s="13"/>
      <c r="RNI69" s="13"/>
      <c r="RNJ69" s="13"/>
      <c r="RNK69" s="13"/>
      <c r="RNL69" s="13"/>
      <c r="RNM69" s="13"/>
      <c r="RNN69" s="13"/>
      <c r="RNO69" s="13"/>
      <c r="RNP69" s="13"/>
      <c r="RNQ69" s="13"/>
      <c r="RNR69" s="13"/>
      <c r="RNS69" s="13"/>
      <c r="RNT69" s="13"/>
      <c r="RNU69" s="13"/>
      <c r="RNV69" s="13"/>
      <c r="RNW69" s="13"/>
      <c r="RNX69" s="13"/>
      <c r="RNY69" s="13"/>
      <c r="RNZ69" s="13"/>
      <c r="ROA69" s="13"/>
      <c r="ROB69" s="13"/>
      <c r="ROC69" s="13"/>
      <c r="ROD69" s="13"/>
      <c r="ROE69" s="13"/>
      <c r="ROF69" s="13"/>
      <c r="ROG69" s="13"/>
      <c r="ROH69" s="13"/>
      <c r="ROI69" s="13"/>
      <c r="ROJ69" s="13"/>
      <c r="ROK69" s="13"/>
      <c r="ROL69" s="13"/>
      <c r="ROM69" s="13"/>
      <c r="RON69" s="13"/>
      <c r="ROO69" s="13"/>
      <c r="ROP69" s="13"/>
      <c r="ROQ69" s="13"/>
      <c r="ROR69" s="13"/>
      <c r="ROS69" s="13"/>
      <c r="ROT69" s="13"/>
      <c r="ROU69" s="13"/>
      <c r="ROV69" s="13"/>
      <c r="ROW69" s="13"/>
      <c r="ROX69" s="13"/>
      <c r="ROY69" s="13"/>
      <c r="ROZ69" s="13"/>
      <c r="RPA69" s="13"/>
      <c r="RPB69" s="13"/>
      <c r="RPC69" s="13"/>
      <c r="RPD69" s="13"/>
      <c r="RPE69" s="13"/>
      <c r="RPF69" s="13"/>
      <c r="RPG69" s="13"/>
      <c r="RPH69" s="13"/>
      <c r="RPI69" s="13"/>
      <c r="RPJ69" s="13"/>
      <c r="RPK69" s="13"/>
      <c r="RPL69" s="13"/>
      <c r="RPM69" s="13"/>
      <c r="RPN69" s="13"/>
      <c r="RPO69" s="13"/>
      <c r="RPP69" s="13"/>
      <c r="RPQ69" s="13"/>
      <c r="RPR69" s="13"/>
      <c r="RPS69" s="13"/>
      <c r="RPT69" s="13"/>
      <c r="RPU69" s="13"/>
      <c r="RPV69" s="13"/>
      <c r="RPW69" s="13"/>
      <c r="RPX69" s="13"/>
      <c r="RPY69" s="13"/>
      <c r="RPZ69" s="13"/>
      <c r="RQA69" s="13"/>
      <c r="RQB69" s="13"/>
      <c r="RQC69" s="13"/>
      <c r="RQD69" s="13"/>
      <c r="RQE69" s="13"/>
      <c r="RQF69" s="13"/>
      <c r="RQG69" s="13"/>
      <c r="RQH69" s="13"/>
      <c r="RQI69" s="13"/>
      <c r="RQJ69" s="13"/>
      <c r="RQK69" s="13"/>
      <c r="RQL69" s="13"/>
      <c r="RQM69" s="13"/>
      <c r="RQN69" s="13"/>
      <c r="RQO69" s="13"/>
      <c r="RQP69" s="13"/>
      <c r="RQQ69" s="13"/>
      <c r="RQR69" s="13"/>
      <c r="RQS69" s="13"/>
      <c r="RQT69" s="13"/>
      <c r="RQU69" s="13"/>
      <c r="RQV69" s="13"/>
      <c r="RQW69" s="13"/>
      <c r="RQX69" s="13"/>
      <c r="RQY69" s="13"/>
      <c r="RQZ69" s="13"/>
      <c r="RRA69" s="13"/>
      <c r="RRB69" s="13"/>
      <c r="RRC69" s="13"/>
      <c r="RRD69" s="13"/>
      <c r="RRE69" s="13"/>
      <c r="RRF69" s="13"/>
      <c r="RRG69" s="13"/>
      <c r="RRH69" s="13"/>
      <c r="RRI69" s="13"/>
      <c r="RRJ69" s="13"/>
      <c r="RRK69" s="13"/>
      <c r="RRL69" s="13"/>
      <c r="RRM69" s="13"/>
      <c r="RRN69" s="13"/>
      <c r="RRO69" s="13"/>
      <c r="RRP69" s="13"/>
      <c r="RRQ69" s="13"/>
      <c r="RRR69" s="13"/>
      <c r="RRS69" s="13"/>
      <c r="RRT69" s="13"/>
      <c r="RRU69" s="13"/>
      <c r="RRV69" s="13"/>
      <c r="RRW69" s="13"/>
      <c r="RRX69" s="13"/>
      <c r="RRY69" s="13"/>
      <c r="RRZ69" s="13"/>
      <c r="RSA69" s="13"/>
      <c r="RSB69" s="13"/>
      <c r="RSC69" s="13"/>
      <c r="RSD69" s="13"/>
      <c r="RSE69" s="13"/>
      <c r="RSF69" s="13"/>
      <c r="RSG69" s="13"/>
      <c r="RSH69" s="13"/>
      <c r="RSI69" s="13"/>
      <c r="RSJ69" s="13"/>
      <c r="RSK69" s="13"/>
      <c r="RSL69" s="13"/>
      <c r="RSM69" s="13"/>
      <c r="RSN69" s="13"/>
      <c r="RSO69" s="13"/>
      <c r="RSP69" s="13"/>
      <c r="RSQ69" s="13"/>
      <c r="RSR69" s="13"/>
      <c r="RSS69" s="13"/>
      <c r="RST69" s="13"/>
      <c r="RSU69" s="13"/>
      <c r="RSV69" s="13"/>
      <c r="RSW69" s="13"/>
      <c r="RSX69" s="13"/>
      <c r="RSY69" s="13"/>
      <c r="RSZ69" s="13"/>
      <c r="RTA69" s="13"/>
      <c r="RTB69" s="13"/>
      <c r="RTC69" s="13"/>
      <c r="RTD69" s="13"/>
      <c r="RTE69" s="13"/>
      <c r="RTF69" s="13"/>
      <c r="RTG69" s="13"/>
      <c r="RTH69" s="13"/>
      <c r="RTI69" s="13"/>
      <c r="RTJ69" s="13"/>
      <c r="RTK69" s="13"/>
      <c r="RTL69" s="13"/>
      <c r="RTM69" s="13"/>
      <c r="RTN69" s="13"/>
      <c r="RTO69" s="13"/>
      <c r="RTP69" s="13"/>
      <c r="RTQ69" s="13"/>
      <c r="RTR69" s="13"/>
      <c r="RTS69" s="13"/>
      <c r="RTT69" s="13"/>
      <c r="RTU69" s="13"/>
      <c r="RTV69" s="13"/>
      <c r="RTW69" s="13"/>
      <c r="RTX69" s="13"/>
      <c r="RTY69" s="13"/>
      <c r="RTZ69" s="13"/>
      <c r="RUA69" s="13"/>
      <c r="RUB69" s="13"/>
      <c r="RUC69" s="13"/>
      <c r="RUD69" s="13"/>
      <c r="RUE69" s="13"/>
      <c r="RUF69" s="13"/>
      <c r="RUG69" s="13"/>
      <c r="RUH69" s="13"/>
      <c r="RUI69" s="13"/>
      <c r="RUJ69" s="13"/>
      <c r="RUK69" s="13"/>
      <c r="RUL69" s="13"/>
      <c r="RUM69" s="13"/>
      <c r="RUN69" s="13"/>
      <c r="RUO69" s="13"/>
      <c r="RUP69" s="13"/>
      <c r="RUQ69" s="13"/>
      <c r="RUR69" s="13"/>
      <c r="RUS69" s="13"/>
      <c r="RUT69" s="13"/>
      <c r="RUU69" s="13"/>
      <c r="RUV69" s="13"/>
      <c r="RUW69" s="13"/>
      <c r="RUX69" s="13"/>
      <c r="RUY69" s="13"/>
      <c r="RUZ69" s="13"/>
      <c r="RVA69" s="13"/>
      <c r="RVB69" s="13"/>
      <c r="RVC69" s="13"/>
      <c r="RVD69" s="13"/>
      <c r="RVE69" s="13"/>
      <c r="RVF69" s="13"/>
      <c r="RVG69" s="13"/>
      <c r="RVH69" s="13"/>
      <c r="RVI69" s="13"/>
      <c r="RVJ69" s="13"/>
      <c r="RVK69" s="13"/>
      <c r="RVL69" s="13"/>
      <c r="RVM69" s="13"/>
      <c r="RVN69" s="13"/>
      <c r="RVO69" s="13"/>
      <c r="RVP69" s="13"/>
      <c r="RVQ69" s="13"/>
      <c r="RVR69" s="13"/>
      <c r="RVS69" s="13"/>
      <c r="RVT69" s="13"/>
      <c r="RVU69" s="13"/>
      <c r="RVV69" s="13"/>
      <c r="RVW69" s="13"/>
      <c r="RVX69" s="13"/>
      <c r="RVY69" s="13"/>
      <c r="RVZ69" s="13"/>
      <c r="RWA69" s="13"/>
      <c r="RWB69" s="13"/>
      <c r="RWC69" s="13"/>
      <c r="RWD69" s="13"/>
      <c r="RWE69" s="13"/>
      <c r="RWF69" s="13"/>
      <c r="RWG69" s="13"/>
      <c r="RWH69" s="13"/>
      <c r="RWI69" s="13"/>
      <c r="RWJ69" s="13"/>
      <c r="RWK69" s="13"/>
      <c r="RWL69" s="13"/>
      <c r="RWM69" s="13"/>
      <c r="RWN69" s="13"/>
      <c r="RWO69" s="13"/>
      <c r="RWP69" s="13"/>
      <c r="RWQ69" s="13"/>
      <c r="RWR69" s="13"/>
      <c r="RWS69" s="13"/>
      <c r="RWT69" s="13"/>
      <c r="RWU69" s="13"/>
      <c r="RWV69" s="13"/>
      <c r="RWW69" s="13"/>
      <c r="RWX69" s="13"/>
      <c r="RWY69" s="13"/>
      <c r="RWZ69" s="13"/>
      <c r="RXA69" s="13"/>
      <c r="RXB69" s="13"/>
      <c r="RXC69" s="13"/>
      <c r="RXD69" s="13"/>
      <c r="RXE69" s="13"/>
      <c r="RXF69" s="13"/>
      <c r="RXG69" s="13"/>
      <c r="RXH69" s="13"/>
      <c r="RXI69" s="13"/>
      <c r="RXJ69" s="13"/>
      <c r="RXK69" s="13"/>
      <c r="RXL69" s="13"/>
      <c r="RXM69" s="13"/>
      <c r="RXN69" s="13"/>
      <c r="RXO69" s="13"/>
      <c r="RXP69" s="13"/>
      <c r="RXQ69" s="13"/>
      <c r="RXR69" s="13"/>
      <c r="RXS69" s="13"/>
      <c r="RXT69" s="13"/>
      <c r="RXU69" s="13"/>
      <c r="RXV69" s="13"/>
      <c r="RXW69" s="13"/>
      <c r="RXX69" s="13"/>
      <c r="RXY69" s="13"/>
      <c r="RXZ69" s="13"/>
      <c r="RYA69" s="13"/>
      <c r="RYB69" s="13"/>
      <c r="RYC69" s="13"/>
      <c r="RYD69" s="13"/>
      <c r="RYE69" s="13"/>
      <c r="RYF69" s="13"/>
      <c r="RYG69" s="13"/>
      <c r="RYH69" s="13"/>
      <c r="RYI69" s="13"/>
      <c r="RYJ69" s="13"/>
      <c r="RYK69" s="13"/>
      <c r="RYL69" s="13"/>
      <c r="RYM69" s="13"/>
      <c r="RYN69" s="13"/>
      <c r="RYO69" s="13"/>
      <c r="RYP69" s="13"/>
      <c r="RYQ69" s="13"/>
      <c r="RYR69" s="13"/>
      <c r="RYS69" s="13"/>
      <c r="RYT69" s="13"/>
      <c r="RYU69" s="13"/>
      <c r="RYV69" s="13"/>
      <c r="RYW69" s="13"/>
      <c r="RYX69" s="13"/>
      <c r="RYY69" s="13"/>
      <c r="RYZ69" s="13"/>
      <c r="RZA69" s="13"/>
      <c r="RZB69" s="13"/>
      <c r="RZC69" s="13"/>
      <c r="RZD69" s="13"/>
      <c r="RZE69" s="13"/>
      <c r="RZF69" s="13"/>
      <c r="RZG69" s="13"/>
      <c r="RZH69" s="13"/>
      <c r="RZI69" s="13"/>
      <c r="RZJ69" s="13"/>
      <c r="RZK69" s="13"/>
      <c r="RZL69" s="13"/>
      <c r="RZM69" s="13"/>
      <c r="RZN69" s="13"/>
      <c r="RZO69" s="13"/>
      <c r="RZP69" s="13"/>
      <c r="RZQ69" s="13"/>
      <c r="RZR69" s="13"/>
      <c r="RZS69" s="13"/>
      <c r="RZT69" s="13"/>
      <c r="RZU69" s="13"/>
      <c r="RZV69" s="13"/>
      <c r="RZW69" s="13"/>
      <c r="RZX69" s="13"/>
      <c r="RZY69" s="13"/>
      <c r="RZZ69" s="13"/>
      <c r="SAA69" s="13"/>
      <c r="SAB69" s="13"/>
      <c r="SAC69" s="13"/>
      <c r="SAD69" s="13"/>
      <c r="SAE69" s="13"/>
      <c r="SAF69" s="13"/>
      <c r="SAG69" s="13"/>
      <c r="SAH69" s="13"/>
      <c r="SAI69" s="13"/>
      <c r="SAJ69" s="13"/>
      <c r="SAK69" s="13"/>
      <c r="SAL69" s="13"/>
      <c r="SAM69" s="13"/>
      <c r="SAN69" s="13"/>
      <c r="SAO69" s="13"/>
      <c r="SAP69" s="13"/>
      <c r="SAQ69" s="13"/>
      <c r="SAR69" s="13"/>
      <c r="SAS69" s="13"/>
      <c r="SAT69" s="13"/>
      <c r="SAU69" s="13"/>
      <c r="SAV69" s="13"/>
      <c r="SAW69" s="13"/>
      <c r="SAX69" s="13"/>
      <c r="SAY69" s="13"/>
      <c r="SAZ69" s="13"/>
      <c r="SBA69" s="13"/>
      <c r="SBB69" s="13"/>
      <c r="SBC69" s="13"/>
      <c r="SBD69" s="13"/>
      <c r="SBE69" s="13"/>
      <c r="SBF69" s="13"/>
      <c r="SBG69" s="13"/>
      <c r="SBH69" s="13"/>
      <c r="SBI69" s="13"/>
      <c r="SBJ69" s="13"/>
      <c r="SBK69" s="13"/>
      <c r="SBL69" s="13"/>
      <c r="SBM69" s="13"/>
      <c r="SBN69" s="13"/>
      <c r="SBO69" s="13"/>
      <c r="SBP69" s="13"/>
      <c r="SBQ69" s="13"/>
      <c r="SBR69" s="13"/>
      <c r="SBS69" s="13"/>
      <c r="SBT69" s="13"/>
      <c r="SBU69" s="13"/>
      <c r="SBV69" s="13"/>
      <c r="SBW69" s="13"/>
      <c r="SBX69" s="13"/>
      <c r="SBY69" s="13"/>
      <c r="SBZ69" s="13"/>
      <c r="SCA69" s="13"/>
      <c r="SCB69" s="13"/>
      <c r="SCC69" s="13"/>
      <c r="SCD69" s="13"/>
      <c r="SCE69" s="13"/>
      <c r="SCF69" s="13"/>
      <c r="SCG69" s="13"/>
      <c r="SCH69" s="13"/>
      <c r="SCI69" s="13"/>
      <c r="SCJ69" s="13"/>
      <c r="SCK69" s="13"/>
      <c r="SCL69" s="13"/>
      <c r="SCM69" s="13"/>
      <c r="SCN69" s="13"/>
      <c r="SCO69" s="13"/>
      <c r="SCP69" s="13"/>
      <c r="SCQ69" s="13"/>
      <c r="SCR69" s="13"/>
      <c r="SCS69" s="13"/>
      <c r="SCT69" s="13"/>
      <c r="SCU69" s="13"/>
      <c r="SCV69" s="13"/>
      <c r="SCW69" s="13"/>
      <c r="SCX69" s="13"/>
      <c r="SCY69" s="13"/>
      <c r="SCZ69" s="13"/>
      <c r="SDA69" s="13"/>
      <c r="SDB69" s="13"/>
      <c r="SDC69" s="13"/>
      <c r="SDD69" s="13"/>
      <c r="SDE69" s="13"/>
      <c r="SDF69" s="13"/>
      <c r="SDG69" s="13"/>
      <c r="SDH69" s="13"/>
      <c r="SDI69" s="13"/>
      <c r="SDJ69" s="13"/>
      <c r="SDK69" s="13"/>
      <c r="SDL69" s="13"/>
      <c r="SDM69" s="13"/>
      <c r="SDN69" s="13"/>
      <c r="SDO69" s="13"/>
      <c r="SDP69" s="13"/>
      <c r="SDQ69" s="13"/>
      <c r="SDR69" s="13"/>
      <c r="SDS69" s="13"/>
      <c r="SDT69" s="13"/>
      <c r="SDU69" s="13"/>
      <c r="SDV69" s="13"/>
      <c r="SDW69" s="13"/>
      <c r="SDX69" s="13"/>
      <c r="SDY69" s="13"/>
      <c r="SDZ69" s="13"/>
      <c r="SEA69" s="13"/>
      <c r="SEB69" s="13"/>
      <c r="SEC69" s="13"/>
      <c r="SED69" s="13"/>
      <c r="SEE69" s="13"/>
      <c r="SEF69" s="13"/>
      <c r="SEG69" s="13"/>
      <c r="SEH69" s="13"/>
      <c r="SEI69" s="13"/>
      <c r="SEJ69" s="13"/>
      <c r="SEK69" s="13"/>
      <c r="SEL69" s="13"/>
      <c r="SEM69" s="13"/>
      <c r="SEN69" s="13"/>
      <c r="SEO69" s="13"/>
      <c r="SEP69" s="13"/>
      <c r="SEQ69" s="13"/>
      <c r="SER69" s="13"/>
      <c r="SES69" s="13"/>
      <c r="SET69" s="13"/>
      <c r="SEU69" s="13"/>
      <c r="SEV69" s="13"/>
      <c r="SEW69" s="13"/>
      <c r="SEX69" s="13"/>
      <c r="SEY69" s="13"/>
      <c r="SEZ69" s="13"/>
      <c r="SFA69" s="13"/>
      <c r="SFB69" s="13"/>
      <c r="SFC69" s="13"/>
      <c r="SFD69" s="13"/>
      <c r="SFE69" s="13"/>
      <c r="SFF69" s="13"/>
      <c r="SFG69" s="13"/>
      <c r="SFH69" s="13"/>
      <c r="SFI69" s="13"/>
      <c r="SFJ69" s="13"/>
      <c r="SFK69" s="13"/>
      <c r="SFL69" s="13"/>
      <c r="SFM69" s="13"/>
      <c r="SFN69" s="13"/>
      <c r="SFO69" s="13"/>
      <c r="SFP69" s="13"/>
      <c r="SFQ69" s="13"/>
      <c r="SFR69" s="13"/>
      <c r="SFS69" s="13"/>
      <c r="SFT69" s="13"/>
      <c r="SFU69" s="13"/>
      <c r="SFV69" s="13"/>
      <c r="SFW69" s="13"/>
      <c r="SFX69" s="13"/>
      <c r="SFY69" s="13"/>
      <c r="SFZ69" s="13"/>
      <c r="SGA69" s="13"/>
      <c r="SGB69" s="13"/>
      <c r="SGC69" s="13"/>
      <c r="SGD69" s="13"/>
      <c r="SGE69" s="13"/>
      <c r="SGF69" s="13"/>
      <c r="SGG69" s="13"/>
      <c r="SGH69" s="13"/>
      <c r="SGI69" s="13"/>
      <c r="SGJ69" s="13"/>
      <c r="SGK69" s="13"/>
      <c r="SGL69" s="13"/>
      <c r="SGM69" s="13"/>
      <c r="SGN69" s="13"/>
      <c r="SGO69" s="13"/>
      <c r="SGP69" s="13"/>
      <c r="SGQ69" s="13"/>
      <c r="SGR69" s="13"/>
      <c r="SGS69" s="13"/>
      <c r="SGT69" s="13"/>
      <c r="SGU69" s="13"/>
      <c r="SGV69" s="13"/>
      <c r="SGW69" s="13"/>
      <c r="SGX69" s="13"/>
      <c r="SGY69" s="13"/>
      <c r="SGZ69" s="13"/>
      <c r="SHA69" s="13"/>
      <c r="SHB69" s="13"/>
      <c r="SHC69" s="13"/>
      <c r="SHD69" s="13"/>
      <c r="SHE69" s="13"/>
      <c r="SHF69" s="13"/>
      <c r="SHG69" s="13"/>
      <c r="SHH69" s="13"/>
      <c r="SHI69" s="13"/>
      <c r="SHJ69" s="13"/>
      <c r="SHK69" s="13"/>
      <c r="SHL69" s="13"/>
      <c r="SHM69" s="13"/>
      <c r="SHN69" s="13"/>
      <c r="SHO69" s="13"/>
      <c r="SHP69" s="13"/>
      <c r="SHQ69" s="13"/>
      <c r="SHR69" s="13"/>
      <c r="SHS69" s="13"/>
      <c r="SHT69" s="13"/>
      <c r="SHU69" s="13"/>
      <c r="SHV69" s="13"/>
      <c r="SHW69" s="13"/>
      <c r="SHX69" s="13"/>
      <c r="SHY69" s="13"/>
      <c r="SHZ69" s="13"/>
      <c r="SIA69" s="13"/>
      <c r="SIB69" s="13"/>
      <c r="SIC69" s="13"/>
      <c r="SID69" s="13"/>
      <c r="SIE69" s="13"/>
      <c r="SIF69" s="13"/>
      <c r="SIG69" s="13"/>
      <c r="SIH69" s="13"/>
      <c r="SII69" s="13"/>
      <c r="SIJ69" s="13"/>
      <c r="SIK69" s="13"/>
      <c r="SIL69" s="13"/>
      <c r="SIM69" s="13"/>
      <c r="SIN69" s="13"/>
      <c r="SIO69" s="13"/>
      <c r="SIP69" s="13"/>
      <c r="SIQ69" s="13"/>
      <c r="SIR69" s="13"/>
      <c r="SIS69" s="13"/>
      <c r="SIT69" s="13"/>
      <c r="SIU69" s="13"/>
      <c r="SIV69" s="13"/>
      <c r="SIW69" s="13"/>
      <c r="SIX69" s="13"/>
      <c r="SIY69" s="13"/>
      <c r="SIZ69" s="13"/>
      <c r="SJA69" s="13"/>
      <c r="SJB69" s="13"/>
      <c r="SJC69" s="13"/>
      <c r="SJD69" s="13"/>
      <c r="SJE69" s="13"/>
      <c r="SJF69" s="13"/>
      <c r="SJG69" s="13"/>
      <c r="SJH69" s="13"/>
      <c r="SJI69" s="13"/>
      <c r="SJJ69" s="13"/>
      <c r="SJK69" s="13"/>
      <c r="SJL69" s="13"/>
      <c r="SJM69" s="13"/>
      <c r="SJN69" s="13"/>
      <c r="SJO69" s="13"/>
      <c r="SJP69" s="13"/>
      <c r="SJQ69" s="13"/>
      <c r="SJR69" s="13"/>
      <c r="SJS69" s="13"/>
      <c r="SJT69" s="13"/>
      <c r="SJU69" s="13"/>
      <c r="SJV69" s="13"/>
      <c r="SJW69" s="13"/>
      <c r="SJX69" s="13"/>
      <c r="SJY69" s="13"/>
      <c r="SJZ69" s="13"/>
      <c r="SKA69" s="13"/>
      <c r="SKB69" s="13"/>
      <c r="SKC69" s="13"/>
      <c r="SKD69" s="13"/>
      <c r="SKE69" s="13"/>
      <c r="SKF69" s="13"/>
      <c r="SKG69" s="13"/>
      <c r="SKH69" s="13"/>
      <c r="SKI69" s="13"/>
      <c r="SKJ69" s="13"/>
      <c r="SKK69" s="13"/>
      <c r="SKL69" s="13"/>
      <c r="SKM69" s="13"/>
      <c r="SKN69" s="13"/>
      <c r="SKO69" s="13"/>
      <c r="SKP69" s="13"/>
      <c r="SKQ69" s="13"/>
      <c r="SKR69" s="13"/>
      <c r="SKS69" s="13"/>
      <c r="SKT69" s="13"/>
      <c r="SKU69" s="13"/>
      <c r="SKV69" s="13"/>
      <c r="SKW69" s="13"/>
      <c r="SKX69" s="13"/>
      <c r="SKY69" s="13"/>
      <c r="SKZ69" s="13"/>
      <c r="SLA69" s="13"/>
      <c r="SLB69" s="13"/>
      <c r="SLC69" s="13"/>
      <c r="SLD69" s="13"/>
      <c r="SLE69" s="13"/>
      <c r="SLF69" s="13"/>
      <c r="SLG69" s="13"/>
      <c r="SLH69" s="13"/>
      <c r="SLI69" s="13"/>
      <c r="SLJ69" s="13"/>
      <c r="SLK69" s="13"/>
      <c r="SLL69" s="13"/>
      <c r="SLM69" s="13"/>
      <c r="SLN69" s="13"/>
      <c r="SLO69" s="13"/>
      <c r="SLP69" s="13"/>
      <c r="SLQ69" s="13"/>
      <c r="SLR69" s="13"/>
      <c r="SLS69" s="13"/>
      <c r="SLT69" s="13"/>
      <c r="SLU69" s="13"/>
      <c r="SLV69" s="13"/>
      <c r="SLW69" s="13"/>
      <c r="SLX69" s="13"/>
      <c r="SLY69" s="13"/>
      <c r="SLZ69" s="13"/>
      <c r="SMA69" s="13"/>
      <c r="SMB69" s="13"/>
      <c r="SMC69" s="13"/>
      <c r="SMD69" s="13"/>
      <c r="SME69" s="13"/>
      <c r="SMF69" s="13"/>
      <c r="SMG69" s="13"/>
      <c r="SMH69" s="13"/>
      <c r="SMI69" s="13"/>
      <c r="SMJ69" s="13"/>
      <c r="SMK69" s="13"/>
      <c r="SML69" s="13"/>
      <c r="SMM69" s="13"/>
      <c r="SMN69" s="13"/>
      <c r="SMO69" s="13"/>
      <c r="SMP69" s="13"/>
      <c r="SMQ69" s="13"/>
      <c r="SMR69" s="13"/>
      <c r="SMS69" s="13"/>
      <c r="SMT69" s="13"/>
      <c r="SMU69" s="13"/>
      <c r="SMV69" s="13"/>
      <c r="SMW69" s="13"/>
      <c r="SMX69" s="13"/>
      <c r="SMY69" s="13"/>
      <c r="SMZ69" s="13"/>
      <c r="SNA69" s="13"/>
      <c r="SNB69" s="13"/>
      <c r="SNC69" s="13"/>
      <c r="SND69" s="13"/>
      <c r="SNE69" s="13"/>
      <c r="SNF69" s="13"/>
      <c r="SNG69" s="13"/>
      <c r="SNH69" s="13"/>
      <c r="SNI69" s="13"/>
      <c r="SNJ69" s="13"/>
      <c r="SNK69" s="13"/>
      <c r="SNL69" s="13"/>
      <c r="SNM69" s="13"/>
      <c r="SNN69" s="13"/>
      <c r="SNO69" s="13"/>
      <c r="SNP69" s="13"/>
      <c r="SNQ69" s="13"/>
      <c r="SNR69" s="13"/>
      <c r="SNS69" s="13"/>
      <c r="SNT69" s="13"/>
      <c r="SNU69" s="13"/>
      <c r="SNV69" s="13"/>
      <c r="SNW69" s="13"/>
      <c r="SNX69" s="13"/>
      <c r="SNY69" s="13"/>
      <c r="SNZ69" s="13"/>
      <c r="SOA69" s="13"/>
      <c r="SOB69" s="13"/>
      <c r="SOC69" s="13"/>
      <c r="SOD69" s="13"/>
      <c r="SOE69" s="13"/>
      <c r="SOF69" s="13"/>
      <c r="SOG69" s="13"/>
      <c r="SOH69" s="13"/>
      <c r="SOI69" s="13"/>
      <c r="SOJ69" s="13"/>
      <c r="SOK69" s="13"/>
      <c r="SOL69" s="13"/>
      <c r="SOM69" s="13"/>
      <c r="SON69" s="13"/>
      <c r="SOO69" s="13"/>
      <c r="SOP69" s="13"/>
      <c r="SOQ69" s="13"/>
      <c r="SOR69" s="13"/>
      <c r="SOS69" s="13"/>
      <c r="SOT69" s="13"/>
      <c r="SOU69" s="13"/>
      <c r="SOV69" s="13"/>
      <c r="SOW69" s="13"/>
      <c r="SOX69" s="13"/>
      <c r="SOY69" s="13"/>
      <c r="SOZ69" s="13"/>
      <c r="SPA69" s="13"/>
      <c r="SPB69" s="13"/>
      <c r="SPC69" s="13"/>
      <c r="SPD69" s="13"/>
      <c r="SPE69" s="13"/>
      <c r="SPF69" s="13"/>
      <c r="SPG69" s="13"/>
      <c r="SPH69" s="13"/>
      <c r="SPI69" s="13"/>
      <c r="SPJ69" s="13"/>
      <c r="SPK69" s="13"/>
      <c r="SPL69" s="13"/>
      <c r="SPM69" s="13"/>
      <c r="SPN69" s="13"/>
      <c r="SPO69" s="13"/>
      <c r="SPP69" s="13"/>
      <c r="SPQ69" s="13"/>
      <c r="SPR69" s="13"/>
      <c r="SPS69" s="13"/>
      <c r="SPT69" s="13"/>
      <c r="SPU69" s="13"/>
      <c r="SPV69" s="13"/>
      <c r="SPW69" s="13"/>
      <c r="SPX69" s="13"/>
      <c r="SPY69" s="13"/>
      <c r="SPZ69" s="13"/>
      <c r="SQA69" s="13"/>
      <c r="SQB69" s="13"/>
      <c r="SQC69" s="13"/>
      <c r="SQD69" s="13"/>
      <c r="SQE69" s="13"/>
      <c r="SQF69" s="13"/>
      <c r="SQG69" s="13"/>
      <c r="SQH69" s="13"/>
      <c r="SQI69" s="13"/>
      <c r="SQJ69" s="13"/>
      <c r="SQK69" s="13"/>
      <c r="SQL69" s="13"/>
      <c r="SQM69" s="13"/>
      <c r="SQN69" s="13"/>
      <c r="SQO69" s="13"/>
      <c r="SQP69" s="13"/>
      <c r="SQQ69" s="13"/>
      <c r="SQR69" s="13"/>
      <c r="SQS69" s="13"/>
      <c r="SQT69" s="13"/>
      <c r="SQU69" s="13"/>
      <c r="SQV69" s="13"/>
      <c r="SQW69" s="13"/>
      <c r="SQX69" s="13"/>
      <c r="SQY69" s="13"/>
      <c r="SQZ69" s="13"/>
      <c r="SRA69" s="13"/>
      <c r="SRB69" s="13"/>
      <c r="SRC69" s="13"/>
      <c r="SRD69" s="13"/>
      <c r="SRE69" s="13"/>
      <c r="SRF69" s="13"/>
      <c r="SRG69" s="13"/>
      <c r="SRH69" s="13"/>
      <c r="SRI69" s="13"/>
      <c r="SRJ69" s="13"/>
      <c r="SRK69" s="13"/>
      <c r="SRL69" s="13"/>
      <c r="SRM69" s="13"/>
      <c r="SRN69" s="13"/>
      <c r="SRO69" s="13"/>
      <c r="SRP69" s="13"/>
      <c r="SRQ69" s="13"/>
      <c r="SRR69" s="13"/>
      <c r="SRS69" s="13"/>
      <c r="SRT69" s="13"/>
      <c r="SRU69" s="13"/>
      <c r="SRV69" s="13"/>
      <c r="SRW69" s="13"/>
      <c r="SRX69" s="13"/>
      <c r="SRY69" s="13"/>
      <c r="SRZ69" s="13"/>
      <c r="SSA69" s="13"/>
      <c r="SSB69" s="13"/>
      <c r="SSC69" s="13"/>
      <c r="SSD69" s="13"/>
      <c r="SSE69" s="13"/>
      <c r="SSF69" s="13"/>
      <c r="SSG69" s="13"/>
      <c r="SSH69" s="13"/>
      <c r="SSI69" s="13"/>
      <c r="SSJ69" s="13"/>
      <c r="SSK69" s="13"/>
      <c r="SSL69" s="13"/>
      <c r="SSM69" s="13"/>
      <c r="SSN69" s="13"/>
      <c r="SSO69" s="13"/>
      <c r="SSP69" s="13"/>
      <c r="SSQ69" s="13"/>
      <c r="SSR69" s="13"/>
      <c r="SSS69" s="13"/>
      <c r="SST69" s="13"/>
      <c r="SSU69" s="13"/>
      <c r="SSV69" s="13"/>
      <c r="SSW69" s="13"/>
      <c r="SSX69" s="13"/>
      <c r="SSY69" s="13"/>
      <c r="SSZ69" s="13"/>
      <c r="STA69" s="13"/>
      <c r="STB69" s="13"/>
      <c r="STC69" s="13"/>
      <c r="STD69" s="13"/>
      <c r="STE69" s="13"/>
      <c r="STF69" s="13"/>
      <c r="STG69" s="13"/>
      <c r="STH69" s="13"/>
      <c r="STI69" s="13"/>
      <c r="STJ69" s="13"/>
      <c r="STK69" s="13"/>
      <c r="STL69" s="13"/>
      <c r="STM69" s="13"/>
      <c r="STN69" s="13"/>
      <c r="STO69" s="13"/>
      <c r="STP69" s="13"/>
      <c r="STQ69" s="13"/>
      <c r="STR69" s="13"/>
      <c r="STS69" s="13"/>
      <c r="STT69" s="13"/>
      <c r="STU69" s="13"/>
      <c r="STV69" s="13"/>
      <c r="STW69" s="13"/>
      <c r="STX69" s="13"/>
      <c r="STY69" s="13"/>
      <c r="STZ69" s="13"/>
      <c r="SUA69" s="13"/>
      <c r="SUB69" s="13"/>
      <c r="SUC69" s="13"/>
      <c r="SUD69" s="13"/>
      <c r="SUE69" s="13"/>
      <c r="SUF69" s="13"/>
      <c r="SUG69" s="13"/>
      <c r="SUH69" s="13"/>
      <c r="SUI69" s="13"/>
      <c r="SUJ69" s="13"/>
      <c r="SUK69" s="13"/>
      <c r="SUL69" s="13"/>
      <c r="SUM69" s="13"/>
      <c r="SUN69" s="13"/>
      <c r="SUO69" s="13"/>
      <c r="SUP69" s="13"/>
      <c r="SUQ69" s="13"/>
      <c r="SUR69" s="13"/>
      <c r="SUS69" s="13"/>
      <c r="SUT69" s="13"/>
      <c r="SUU69" s="13"/>
      <c r="SUV69" s="13"/>
      <c r="SUW69" s="13"/>
      <c r="SUX69" s="13"/>
      <c r="SUY69" s="13"/>
      <c r="SUZ69" s="13"/>
      <c r="SVA69" s="13"/>
      <c r="SVB69" s="13"/>
      <c r="SVC69" s="13"/>
      <c r="SVD69" s="13"/>
      <c r="SVE69" s="13"/>
      <c r="SVF69" s="13"/>
      <c r="SVG69" s="13"/>
      <c r="SVH69" s="13"/>
      <c r="SVI69" s="13"/>
      <c r="SVJ69" s="13"/>
      <c r="SVK69" s="13"/>
      <c r="SVL69" s="13"/>
      <c r="SVM69" s="13"/>
      <c r="SVN69" s="13"/>
      <c r="SVO69" s="13"/>
      <c r="SVP69" s="13"/>
      <c r="SVQ69" s="13"/>
      <c r="SVR69" s="13"/>
      <c r="SVS69" s="13"/>
      <c r="SVT69" s="13"/>
      <c r="SVU69" s="13"/>
      <c r="SVV69" s="13"/>
      <c r="SVW69" s="13"/>
      <c r="SVX69" s="13"/>
      <c r="SVY69" s="13"/>
      <c r="SVZ69" s="13"/>
      <c r="SWA69" s="13"/>
      <c r="SWB69" s="13"/>
      <c r="SWC69" s="13"/>
      <c r="SWD69" s="13"/>
      <c r="SWE69" s="13"/>
      <c r="SWF69" s="13"/>
      <c r="SWG69" s="13"/>
      <c r="SWH69" s="13"/>
      <c r="SWI69" s="13"/>
      <c r="SWJ69" s="13"/>
      <c r="SWK69" s="13"/>
      <c r="SWL69" s="13"/>
      <c r="SWM69" s="13"/>
      <c r="SWN69" s="13"/>
      <c r="SWO69" s="13"/>
      <c r="SWP69" s="13"/>
      <c r="SWQ69" s="13"/>
      <c r="SWR69" s="13"/>
      <c r="SWS69" s="13"/>
      <c r="SWT69" s="13"/>
      <c r="SWU69" s="13"/>
      <c r="SWV69" s="13"/>
      <c r="SWW69" s="13"/>
      <c r="SWX69" s="13"/>
      <c r="SWY69" s="13"/>
      <c r="SWZ69" s="13"/>
      <c r="SXA69" s="13"/>
      <c r="SXB69" s="13"/>
      <c r="SXC69" s="13"/>
      <c r="SXD69" s="13"/>
      <c r="SXE69" s="13"/>
      <c r="SXF69" s="13"/>
      <c r="SXG69" s="13"/>
      <c r="SXH69" s="13"/>
      <c r="SXI69" s="13"/>
      <c r="SXJ69" s="13"/>
      <c r="SXK69" s="13"/>
      <c r="SXL69" s="13"/>
      <c r="SXM69" s="13"/>
      <c r="SXN69" s="13"/>
      <c r="SXO69" s="13"/>
      <c r="SXP69" s="13"/>
      <c r="SXQ69" s="13"/>
      <c r="SXR69" s="13"/>
      <c r="SXS69" s="13"/>
      <c r="SXT69" s="13"/>
      <c r="SXU69" s="13"/>
      <c r="SXV69" s="13"/>
      <c r="SXW69" s="13"/>
      <c r="SXX69" s="13"/>
      <c r="SXY69" s="13"/>
      <c r="SXZ69" s="13"/>
      <c r="SYA69" s="13"/>
      <c r="SYB69" s="13"/>
      <c r="SYC69" s="13"/>
      <c r="SYD69" s="13"/>
      <c r="SYE69" s="13"/>
      <c r="SYF69" s="13"/>
      <c r="SYG69" s="13"/>
      <c r="SYH69" s="13"/>
      <c r="SYI69" s="13"/>
      <c r="SYJ69" s="13"/>
      <c r="SYK69" s="13"/>
      <c r="SYL69" s="13"/>
      <c r="SYM69" s="13"/>
      <c r="SYN69" s="13"/>
      <c r="SYO69" s="13"/>
      <c r="SYP69" s="13"/>
      <c r="SYQ69" s="13"/>
      <c r="SYR69" s="13"/>
      <c r="SYS69" s="13"/>
      <c r="SYT69" s="13"/>
      <c r="SYU69" s="13"/>
      <c r="SYV69" s="13"/>
      <c r="SYW69" s="13"/>
      <c r="SYX69" s="13"/>
      <c r="SYY69" s="13"/>
      <c r="SYZ69" s="13"/>
      <c r="SZA69" s="13"/>
      <c r="SZB69" s="13"/>
      <c r="SZC69" s="13"/>
      <c r="SZD69" s="13"/>
      <c r="SZE69" s="13"/>
      <c r="SZF69" s="13"/>
      <c r="SZG69" s="13"/>
      <c r="SZH69" s="13"/>
      <c r="SZI69" s="13"/>
      <c r="SZJ69" s="13"/>
      <c r="SZK69" s="13"/>
      <c r="SZL69" s="13"/>
      <c r="SZM69" s="13"/>
      <c r="SZN69" s="13"/>
      <c r="SZO69" s="13"/>
      <c r="SZP69" s="13"/>
      <c r="SZQ69" s="13"/>
      <c r="SZR69" s="13"/>
      <c r="SZS69" s="13"/>
      <c r="SZT69" s="13"/>
      <c r="SZU69" s="13"/>
      <c r="SZV69" s="13"/>
      <c r="SZW69" s="13"/>
      <c r="SZX69" s="13"/>
      <c r="SZY69" s="13"/>
      <c r="SZZ69" s="13"/>
      <c r="TAA69" s="13"/>
      <c r="TAB69" s="13"/>
      <c r="TAC69" s="13"/>
      <c r="TAD69" s="13"/>
      <c r="TAE69" s="13"/>
      <c r="TAF69" s="13"/>
      <c r="TAG69" s="13"/>
      <c r="TAH69" s="13"/>
      <c r="TAI69" s="13"/>
      <c r="TAJ69" s="13"/>
      <c r="TAK69" s="13"/>
      <c r="TAL69" s="13"/>
      <c r="TAM69" s="13"/>
      <c r="TAN69" s="13"/>
      <c r="TAO69" s="13"/>
      <c r="TAP69" s="13"/>
      <c r="TAQ69" s="13"/>
      <c r="TAR69" s="13"/>
      <c r="TAS69" s="13"/>
      <c r="TAT69" s="13"/>
      <c r="TAU69" s="13"/>
      <c r="TAV69" s="13"/>
      <c r="TAW69" s="13"/>
      <c r="TAX69" s="13"/>
      <c r="TAY69" s="13"/>
      <c r="TAZ69" s="13"/>
      <c r="TBA69" s="13"/>
      <c r="TBB69" s="13"/>
      <c r="TBC69" s="13"/>
      <c r="TBD69" s="13"/>
      <c r="TBE69" s="13"/>
      <c r="TBF69" s="13"/>
      <c r="TBG69" s="13"/>
      <c r="TBH69" s="13"/>
      <c r="TBI69" s="13"/>
      <c r="TBJ69" s="13"/>
      <c r="TBK69" s="13"/>
      <c r="TBL69" s="13"/>
      <c r="TBM69" s="13"/>
      <c r="TBN69" s="13"/>
      <c r="TBO69" s="13"/>
      <c r="TBP69" s="13"/>
      <c r="TBQ69" s="13"/>
      <c r="TBR69" s="13"/>
      <c r="TBS69" s="13"/>
      <c r="TBT69" s="13"/>
      <c r="TBU69" s="13"/>
      <c r="TBV69" s="13"/>
      <c r="TBW69" s="13"/>
      <c r="TBX69" s="13"/>
      <c r="TBY69" s="13"/>
      <c r="TBZ69" s="13"/>
      <c r="TCA69" s="13"/>
      <c r="TCB69" s="13"/>
      <c r="TCC69" s="13"/>
      <c r="TCD69" s="13"/>
      <c r="TCE69" s="13"/>
      <c r="TCF69" s="13"/>
      <c r="TCG69" s="13"/>
      <c r="TCH69" s="13"/>
      <c r="TCI69" s="13"/>
      <c r="TCJ69" s="13"/>
      <c r="TCK69" s="13"/>
      <c r="TCL69" s="13"/>
      <c r="TCM69" s="13"/>
      <c r="TCN69" s="13"/>
      <c r="TCO69" s="13"/>
      <c r="TCP69" s="13"/>
      <c r="TCQ69" s="13"/>
      <c r="TCR69" s="13"/>
      <c r="TCS69" s="13"/>
      <c r="TCT69" s="13"/>
      <c r="TCU69" s="13"/>
      <c r="TCV69" s="13"/>
      <c r="TCW69" s="13"/>
      <c r="TCX69" s="13"/>
      <c r="TCY69" s="13"/>
      <c r="TCZ69" s="13"/>
      <c r="TDA69" s="13"/>
      <c r="TDB69" s="13"/>
      <c r="TDC69" s="13"/>
      <c r="TDD69" s="13"/>
      <c r="TDE69" s="13"/>
      <c r="TDF69" s="13"/>
      <c r="TDG69" s="13"/>
      <c r="TDH69" s="13"/>
      <c r="TDI69" s="13"/>
      <c r="TDJ69" s="13"/>
      <c r="TDK69" s="13"/>
      <c r="TDL69" s="13"/>
      <c r="TDM69" s="13"/>
      <c r="TDN69" s="13"/>
      <c r="TDO69" s="13"/>
      <c r="TDP69" s="13"/>
      <c r="TDQ69" s="13"/>
      <c r="TDR69" s="13"/>
      <c r="TDS69" s="13"/>
      <c r="TDT69" s="13"/>
      <c r="TDU69" s="13"/>
      <c r="TDV69" s="13"/>
      <c r="TDW69" s="13"/>
      <c r="TDX69" s="13"/>
      <c r="TDY69" s="13"/>
      <c r="TDZ69" s="13"/>
      <c r="TEA69" s="13"/>
      <c r="TEB69" s="13"/>
      <c r="TEC69" s="13"/>
      <c r="TED69" s="13"/>
      <c r="TEE69" s="13"/>
      <c r="TEF69" s="13"/>
      <c r="TEG69" s="13"/>
      <c r="TEH69" s="13"/>
      <c r="TEI69" s="13"/>
      <c r="TEJ69" s="13"/>
      <c r="TEK69" s="13"/>
      <c r="TEL69" s="13"/>
      <c r="TEM69" s="13"/>
      <c r="TEN69" s="13"/>
      <c r="TEO69" s="13"/>
      <c r="TEP69" s="13"/>
      <c r="TEQ69" s="13"/>
      <c r="TER69" s="13"/>
      <c r="TES69" s="13"/>
      <c r="TET69" s="13"/>
      <c r="TEU69" s="13"/>
      <c r="TEV69" s="13"/>
      <c r="TEW69" s="13"/>
      <c r="TEX69" s="13"/>
      <c r="TEY69" s="13"/>
      <c r="TEZ69" s="13"/>
      <c r="TFA69" s="13"/>
      <c r="TFB69" s="13"/>
      <c r="TFC69" s="13"/>
      <c r="TFD69" s="13"/>
      <c r="TFE69" s="13"/>
      <c r="TFF69" s="13"/>
      <c r="TFG69" s="13"/>
      <c r="TFH69" s="13"/>
      <c r="TFI69" s="13"/>
      <c r="TFJ69" s="13"/>
      <c r="TFK69" s="13"/>
      <c r="TFL69" s="13"/>
      <c r="TFM69" s="13"/>
      <c r="TFN69" s="13"/>
      <c r="TFO69" s="13"/>
      <c r="TFP69" s="13"/>
      <c r="TFQ69" s="13"/>
      <c r="TFR69" s="13"/>
      <c r="TFS69" s="13"/>
      <c r="TFT69" s="13"/>
      <c r="TFU69" s="13"/>
      <c r="TFV69" s="13"/>
      <c r="TFW69" s="13"/>
      <c r="TFX69" s="13"/>
      <c r="TFY69" s="13"/>
      <c r="TFZ69" s="13"/>
      <c r="TGA69" s="13"/>
      <c r="TGB69" s="13"/>
      <c r="TGC69" s="13"/>
      <c r="TGD69" s="13"/>
      <c r="TGE69" s="13"/>
      <c r="TGF69" s="13"/>
      <c r="TGG69" s="13"/>
      <c r="TGH69" s="13"/>
      <c r="TGI69" s="13"/>
      <c r="TGJ69" s="13"/>
      <c r="TGK69" s="13"/>
      <c r="TGL69" s="13"/>
      <c r="TGM69" s="13"/>
      <c r="TGN69" s="13"/>
      <c r="TGO69" s="13"/>
      <c r="TGP69" s="13"/>
      <c r="TGQ69" s="13"/>
      <c r="TGR69" s="13"/>
      <c r="TGS69" s="13"/>
      <c r="TGT69" s="13"/>
      <c r="TGU69" s="13"/>
      <c r="TGV69" s="13"/>
      <c r="TGW69" s="13"/>
      <c r="TGX69" s="13"/>
      <c r="TGY69" s="13"/>
      <c r="TGZ69" s="13"/>
      <c r="THA69" s="13"/>
      <c r="THB69" s="13"/>
      <c r="THC69" s="13"/>
      <c r="THD69" s="13"/>
      <c r="THE69" s="13"/>
      <c r="THF69" s="13"/>
      <c r="THG69" s="13"/>
      <c r="THH69" s="13"/>
      <c r="THI69" s="13"/>
      <c r="THJ69" s="13"/>
      <c r="THK69" s="13"/>
      <c r="THL69" s="13"/>
      <c r="THM69" s="13"/>
      <c r="THN69" s="13"/>
      <c r="THO69" s="13"/>
      <c r="THP69" s="13"/>
      <c r="THQ69" s="13"/>
      <c r="THR69" s="13"/>
      <c r="THS69" s="13"/>
      <c r="THT69" s="13"/>
      <c r="THU69" s="13"/>
      <c r="THV69" s="13"/>
      <c r="THW69" s="13"/>
      <c r="THX69" s="13"/>
      <c r="THY69" s="13"/>
      <c r="THZ69" s="13"/>
      <c r="TIA69" s="13"/>
      <c r="TIB69" s="13"/>
      <c r="TIC69" s="13"/>
      <c r="TID69" s="13"/>
      <c r="TIE69" s="13"/>
      <c r="TIF69" s="13"/>
      <c r="TIG69" s="13"/>
      <c r="TIH69" s="13"/>
      <c r="TII69" s="13"/>
      <c r="TIJ69" s="13"/>
      <c r="TIK69" s="13"/>
      <c r="TIL69" s="13"/>
      <c r="TIM69" s="13"/>
      <c r="TIN69" s="13"/>
      <c r="TIO69" s="13"/>
      <c r="TIP69" s="13"/>
      <c r="TIQ69" s="13"/>
      <c r="TIR69" s="13"/>
      <c r="TIS69" s="13"/>
      <c r="TIT69" s="13"/>
      <c r="TIU69" s="13"/>
      <c r="TIV69" s="13"/>
      <c r="TIW69" s="13"/>
      <c r="TIX69" s="13"/>
      <c r="TIY69" s="13"/>
      <c r="TIZ69" s="13"/>
      <c r="TJA69" s="13"/>
      <c r="TJB69" s="13"/>
      <c r="TJC69" s="13"/>
      <c r="TJD69" s="13"/>
      <c r="TJE69" s="13"/>
      <c r="TJF69" s="13"/>
      <c r="TJG69" s="13"/>
      <c r="TJH69" s="13"/>
      <c r="TJI69" s="13"/>
      <c r="TJJ69" s="13"/>
      <c r="TJK69" s="13"/>
      <c r="TJL69" s="13"/>
      <c r="TJM69" s="13"/>
      <c r="TJN69" s="13"/>
      <c r="TJO69" s="13"/>
      <c r="TJP69" s="13"/>
      <c r="TJQ69" s="13"/>
      <c r="TJR69" s="13"/>
      <c r="TJS69" s="13"/>
      <c r="TJT69" s="13"/>
      <c r="TJU69" s="13"/>
      <c r="TJV69" s="13"/>
      <c r="TJW69" s="13"/>
      <c r="TJX69" s="13"/>
      <c r="TJY69" s="13"/>
      <c r="TJZ69" s="13"/>
      <c r="TKA69" s="13"/>
      <c r="TKB69" s="13"/>
      <c r="TKC69" s="13"/>
      <c r="TKD69" s="13"/>
      <c r="TKE69" s="13"/>
      <c r="TKF69" s="13"/>
      <c r="TKG69" s="13"/>
      <c r="TKH69" s="13"/>
      <c r="TKI69" s="13"/>
      <c r="TKJ69" s="13"/>
      <c r="TKK69" s="13"/>
      <c r="TKL69" s="13"/>
      <c r="TKM69" s="13"/>
      <c r="TKN69" s="13"/>
      <c r="TKO69" s="13"/>
      <c r="TKP69" s="13"/>
      <c r="TKQ69" s="13"/>
      <c r="TKR69" s="13"/>
      <c r="TKS69" s="13"/>
      <c r="TKT69" s="13"/>
      <c r="TKU69" s="13"/>
      <c r="TKV69" s="13"/>
      <c r="TKW69" s="13"/>
      <c r="TKX69" s="13"/>
      <c r="TKY69" s="13"/>
      <c r="TKZ69" s="13"/>
      <c r="TLA69" s="13"/>
      <c r="TLB69" s="13"/>
      <c r="TLC69" s="13"/>
      <c r="TLD69" s="13"/>
      <c r="TLE69" s="13"/>
      <c r="TLF69" s="13"/>
      <c r="TLG69" s="13"/>
      <c r="TLH69" s="13"/>
      <c r="TLI69" s="13"/>
      <c r="TLJ69" s="13"/>
      <c r="TLK69" s="13"/>
      <c r="TLL69" s="13"/>
      <c r="TLM69" s="13"/>
      <c r="TLN69" s="13"/>
      <c r="TLO69" s="13"/>
      <c r="TLP69" s="13"/>
      <c r="TLQ69" s="13"/>
      <c r="TLR69" s="13"/>
      <c r="TLS69" s="13"/>
      <c r="TLT69" s="13"/>
      <c r="TLU69" s="13"/>
      <c r="TLV69" s="13"/>
      <c r="TLW69" s="13"/>
      <c r="TLX69" s="13"/>
      <c r="TLY69" s="13"/>
      <c r="TLZ69" s="13"/>
      <c r="TMA69" s="13"/>
      <c r="TMB69" s="13"/>
      <c r="TMC69" s="13"/>
      <c r="TMD69" s="13"/>
      <c r="TME69" s="13"/>
      <c r="TMF69" s="13"/>
      <c r="TMG69" s="13"/>
      <c r="TMH69" s="13"/>
      <c r="TMI69" s="13"/>
      <c r="TMJ69" s="13"/>
      <c r="TMK69" s="13"/>
      <c r="TML69" s="13"/>
      <c r="TMM69" s="13"/>
      <c r="TMN69" s="13"/>
      <c r="TMO69" s="13"/>
      <c r="TMP69" s="13"/>
      <c r="TMQ69" s="13"/>
      <c r="TMR69" s="13"/>
      <c r="TMS69" s="13"/>
      <c r="TMT69" s="13"/>
      <c r="TMU69" s="13"/>
      <c r="TMV69" s="13"/>
      <c r="TMW69" s="13"/>
      <c r="TMX69" s="13"/>
      <c r="TMY69" s="13"/>
      <c r="TMZ69" s="13"/>
      <c r="TNA69" s="13"/>
      <c r="TNB69" s="13"/>
      <c r="TNC69" s="13"/>
      <c r="TND69" s="13"/>
      <c r="TNE69" s="13"/>
      <c r="TNF69" s="13"/>
      <c r="TNG69" s="13"/>
      <c r="TNH69" s="13"/>
      <c r="TNI69" s="13"/>
      <c r="TNJ69" s="13"/>
      <c r="TNK69" s="13"/>
      <c r="TNL69" s="13"/>
      <c r="TNM69" s="13"/>
      <c r="TNN69" s="13"/>
      <c r="TNO69" s="13"/>
      <c r="TNP69" s="13"/>
      <c r="TNQ69" s="13"/>
      <c r="TNR69" s="13"/>
      <c r="TNS69" s="13"/>
      <c r="TNT69" s="13"/>
      <c r="TNU69" s="13"/>
      <c r="TNV69" s="13"/>
      <c r="TNW69" s="13"/>
      <c r="TNX69" s="13"/>
      <c r="TNY69" s="13"/>
      <c r="TNZ69" s="13"/>
      <c r="TOA69" s="13"/>
      <c r="TOB69" s="13"/>
      <c r="TOC69" s="13"/>
      <c r="TOD69" s="13"/>
      <c r="TOE69" s="13"/>
      <c r="TOF69" s="13"/>
      <c r="TOG69" s="13"/>
      <c r="TOH69" s="13"/>
      <c r="TOI69" s="13"/>
      <c r="TOJ69" s="13"/>
      <c r="TOK69" s="13"/>
      <c r="TOL69" s="13"/>
      <c r="TOM69" s="13"/>
      <c r="TON69" s="13"/>
      <c r="TOO69" s="13"/>
      <c r="TOP69" s="13"/>
      <c r="TOQ69" s="13"/>
      <c r="TOR69" s="13"/>
      <c r="TOS69" s="13"/>
      <c r="TOT69" s="13"/>
      <c r="TOU69" s="13"/>
      <c r="TOV69" s="13"/>
      <c r="TOW69" s="13"/>
      <c r="TOX69" s="13"/>
      <c r="TOY69" s="13"/>
      <c r="TOZ69" s="13"/>
      <c r="TPA69" s="13"/>
      <c r="TPB69" s="13"/>
      <c r="TPC69" s="13"/>
      <c r="TPD69" s="13"/>
      <c r="TPE69" s="13"/>
      <c r="TPF69" s="13"/>
      <c r="TPG69" s="13"/>
      <c r="TPH69" s="13"/>
      <c r="TPI69" s="13"/>
      <c r="TPJ69" s="13"/>
      <c r="TPK69" s="13"/>
      <c r="TPL69" s="13"/>
      <c r="TPM69" s="13"/>
      <c r="TPN69" s="13"/>
      <c r="TPO69" s="13"/>
      <c r="TPP69" s="13"/>
      <c r="TPQ69" s="13"/>
      <c r="TPR69" s="13"/>
      <c r="TPS69" s="13"/>
      <c r="TPT69" s="13"/>
      <c r="TPU69" s="13"/>
      <c r="TPV69" s="13"/>
      <c r="TPW69" s="13"/>
      <c r="TPX69" s="13"/>
      <c r="TPY69" s="13"/>
      <c r="TPZ69" s="13"/>
      <c r="TQA69" s="13"/>
      <c r="TQB69" s="13"/>
      <c r="TQC69" s="13"/>
      <c r="TQD69" s="13"/>
      <c r="TQE69" s="13"/>
      <c r="TQF69" s="13"/>
      <c r="TQG69" s="13"/>
      <c r="TQH69" s="13"/>
      <c r="TQI69" s="13"/>
      <c r="TQJ69" s="13"/>
      <c r="TQK69" s="13"/>
      <c r="TQL69" s="13"/>
      <c r="TQM69" s="13"/>
      <c r="TQN69" s="13"/>
      <c r="TQO69" s="13"/>
      <c r="TQP69" s="13"/>
      <c r="TQQ69" s="13"/>
      <c r="TQR69" s="13"/>
      <c r="TQS69" s="13"/>
      <c r="TQT69" s="13"/>
      <c r="TQU69" s="13"/>
      <c r="TQV69" s="13"/>
      <c r="TQW69" s="13"/>
      <c r="TQX69" s="13"/>
      <c r="TQY69" s="13"/>
      <c r="TQZ69" s="13"/>
      <c r="TRA69" s="13"/>
      <c r="TRB69" s="13"/>
      <c r="TRC69" s="13"/>
      <c r="TRD69" s="13"/>
      <c r="TRE69" s="13"/>
      <c r="TRF69" s="13"/>
      <c r="TRG69" s="13"/>
      <c r="TRH69" s="13"/>
      <c r="TRI69" s="13"/>
      <c r="TRJ69" s="13"/>
      <c r="TRK69" s="13"/>
      <c r="TRL69" s="13"/>
      <c r="TRM69" s="13"/>
      <c r="TRN69" s="13"/>
      <c r="TRO69" s="13"/>
      <c r="TRP69" s="13"/>
      <c r="TRQ69" s="13"/>
      <c r="TRR69" s="13"/>
      <c r="TRS69" s="13"/>
      <c r="TRT69" s="13"/>
      <c r="TRU69" s="13"/>
      <c r="TRV69" s="13"/>
      <c r="TRW69" s="13"/>
      <c r="TRX69" s="13"/>
      <c r="TRY69" s="13"/>
      <c r="TRZ69" s="13"/>
      <c r="TSA69" s="13"/>
      <c r="TSB69" s="13"/>
      <c r="TSC69" s="13"/>
      <c r="TSD69" s="13"/>
      <c r="TSE69" s="13"/>
      <c r="TSF69" s="13"/>
      <c r="TSG69" s="13"/>
      <c r="TSH69" s="13"/>
      <c r="TSI69" s="13"/>
      <c r="TSJ69" s="13"/>
      <c r="TSK69" s="13"/>
      <c r="TSL69" s="13"/>
      <c r="TSM69" s="13"/>
      <c r="TSN69" s="13"/>
      <c r="TSO69" s="13"/>
      <c r="TSP69" s="13"/>
      <c r="TSQ69" s="13"/>
      <c r="TSR69" s="13"/>
      <c r="TSS69" s="13"/>
      <c r="TST69" s="13"/>
      <c r="TSU69" s="13"/>
      <c r="TSV69" s="13"/>
      <c r="TSW69" s="13"/>
      <c r="TSX69" s="13"/>
      <c r="TSY69" s="13"/>
      <c r="TSZ69" s="13"/>
      <c r="TTA69" s="13"/>
      <c r="TTB69" s="13"/>
      <c r="TTC69" s="13"/>
      <c r="TTD69" s="13"/>
      <c r="TTE69" s="13"/>
      <c r="TTF69" s="13"/>
      <c r="TTG69" s="13"/>
      <c r="TTH69" s="13"/>
      <c r="TTI69" s="13"/>
      <c r="TTJ69" s="13"/>
      <c r="TTK69" s="13"/>
      <c r="TTL69" s="13"/>
      <c r="TTM69" s="13"/>
      <c r="TTN69" s="13"/>
      <c r="TTO69" s="13"/>
      <c r="TTP69" s="13"/>
      <c r="TTQ69" s="13"/>
      <c r="TTR69" s="13"/>
      <c r="TTS69" s="13"/>
      <c r="TTT69" s="13"/>
      <c r="TTU69" s="13"/>
      <c r="TTV69" s="13"/>
      <c r="TTW69" s="13"/>
      <c r="TTX69" s="13"/>
      <c r="TTY69" s="13"/>
      <c r="TTZ69" s="13"/>
      <c r="TUA69" s="13"/>
      <c r="TUB69" s="13"/>
      <c r="TUC69" s="13"/>
      <c r="TUD69" s="13"/>
      <c r="TUE69" s="13"/>
      <c r="TUF69" s="13"/>
      <c r="TUG69" s="13"/>
      <c r="TUH69" s="13"/>
      <c r="TUI69" s="13"/>
      <c r="TUJ69" s="13"/>
      <c r="TUK69" s="13"/>
      <c r="TUL69" s="13"/>
      <c r="TUM69" s="13"/>
      <c r="TUN69" s="13"/>
      <c r="TUO69" s="13"/>
      <c r="TUP69" s="13"/>
      <c r="TUQ69" s="13"/>
      <c r="TUR69" s="13"/>
      <c r="TUS69" s="13"/>
      <c r="TUT69" s="13"/>
      <c r="TUU69" s="13"/>
      <c r="TUV69" s="13"/>
      <c r="TUW69" s="13"/>
      <c r="TUX69" s="13"/>
      <c r="TUY69" s="13"/>
      <c r="TUZ69" s="13"/>
      <c r="TVA69" s="13"/>
      <c r="TVB69" s="13"/>
      <c r="TVC69" s="13"/>
      <c r="TVD69" s="13"/>
      <c r="TVE69" s="13"/>
      <c r="TVF69" s="13"/>
      <c r="TVG69" s="13"/>
      <c r="TVH69" s="13"/>
      <c r="TVI69" s="13"/>
      <c r="TVJ69" s="13"/>
      <c r="TVK69" s="13"/>
      <c r="TVL69" s="13"/>
      <c r="TVM69" s="13"/>
      <c r="TVN69" s="13"/>
      <c r="TVO69" s="13"/>
      <c r="TVP69" s="13"/>
      <c r="TVQ69" s="13"/>
      <c r="TVR69" s="13"/>
      <c r="TVS69" s="13"/>
      <c r="TVT69" s="13"/>
      <c r="TVU69" s="13"/>
      <c r="TVV69" s="13"/>
      <c r="TVW69" s="13"/>
      <c r="TVX69" s="13"/>
      <c r="TVY69" s="13"/>
      <c r="TVZ69" s="13"/>
      <c r="TWA69" s="13"/>
      <c r="TWB69" s="13"/>
      <c r="TWC69" s="13"/>
      <c r="TWD69" s="13"/>
      <c r="TWE69" s="13"/>
      <c r="TWF69" s="13"/>
      <c r="TWG69" s="13"/>
      <c r="TWH69" s="13"/>
      <c r="TWI69" s="13"/>
      <c r="TWJ69" s="13"/>
      <c r="TWK69" s="13"/>
      <c r="TWL69" s="13"/>
      <c r="TWM69" s="13"/>
      <c r="TWN69" s="13"/>
      <c r="TWO69" s="13"/>
      <c r="TWP69" s="13"/>
      <c r="TWQ69" s="13"/>
      <c r="TWR69" s="13"/>
      <c r="TWS69" s="13"/>
      <c r="TWT69" s="13"/>
      <c r="TWU69" s="13"/>
      <c r="TWV69" s="13"/>
      <c r="TWW69" s="13"/>
      <c r="TWX69" s="13"/>
      <c r="TWY69" s="13"/>
      <c r="TWZ69" s="13"/>
      <c r="TXA69" s="13"/>
      <c r="TXB69" s="13"/>
      <c r="TXC69" s="13"/>
      <c r="TXD69" s="13"/>
      <c r="TXE69" s="13"/>
      <c r="TXF69" s="13"/>
      <c r="TXG69" s="13"/>
      <c r="TXH69" s="13"/>
      <c r="TXI69" s="13"/>
      <c r="TXJ69" s="13"/>
      <c r="TXK69" s="13"/>
      <c r="TXL69" s="13"/>
      <c r="TXM69" s="13"/>
      <c r="TXN69" s="13"/>
      <c r="TXO69" s="13"/>
      <c r="TXP69" s="13"/>
      <c r="TXQ69" s="13"/>
      <c r="TXR69" s="13"/>
      <c r="TXS69" s="13"/>
      <c r="TXT69" s="13"/>
      <c r="TXU69" s="13"/>
      <c r="TXV69" s="13"/>
      <c r="TXW69" s="13"/>
      <c r="TXX69" s="13"/>
      <c r="TXY69" s="13"/>
      <c r="TXZ69" s="13"/>
      <c r="TYA69" s="13"/>
      <c r="TYB69" s="13"/>
      <c r="TYC69" s="13"/>
      <c r="TYD69" s="13"/>
      <c r="TYE69" s="13"/>
      <c r="TYF69" s="13"/>
      <c r="TYG69" s="13"/>
      <c r="TYH69" s="13"/>
      <c r="TYI69" s="13"/>
      <c r="TYJ69" s="13"/>
      <c r="TYK69" s="13"/>
      <c r="TYL69" s="13"/>
      <c r="TYM69" s="13"/>
      <c r="TYN69" s="13"/>
      <c r="TYO69" s="13"/>
      <c r="TYP69" s="13"/>
      <c r="TYQ69" s="13"/>
      <c r="TYR69" s="13"/>
      <c r="TYS69" s="13"/>
      <c r="TYT69" s="13"/>
      <c r="TYU69" s="13"/>
      <c r="TYV69" s="13"/>
      <c r="TYW69" s="13"/>
      <c r="TYX69" s="13"/>
      <c r="TYY69" s="13"/>
      <c r="TYZ69" s="13"/>
      <c r="TZA69" s="13"/>
      <c r="TZB69" s="13"/>
      <c r="TZC69" s="13"/>
      <c r="TZD69" s="13"/>
      <c r="TZE69" s="13"/>
      <c r="TZF69" s="13"/>
      <c r="TZG69" s="13"/>
      <c r="TZH69" s="13"/>
      <c r="TZI69" s="13"/>
      <c r="TZJ69" s="13"/>
      <c r="TZK69" s="13"/>
      <c r="TZL69" s="13"/>
      <c r="TZM69" s="13"/>
      <c r="TZN69" s="13"/>
      <c r="TZO69" s="13"/>
      <c r="TZP69" s="13"/>
      <c r="TZQ69" s="13"/>
      <c r="TZR69" s="13"/>
      <c r="TZS69" s="13"/>
      <c r="TZT69" s="13"/>
      <c r="TZU69" s="13"/>
      <c r="TZV69" s="13"/>
      <c r="TZW69" s="13"/>
      <c r="TZX69" s="13"/>
      <c r="TZY69" s="13"/>
      <c r="TZZ69" s="13"/>
      <c r="UAA69" s="13"/>
      <c r="UAB69" s="13"/>
      <c r="UAC69" s="13"/>
      <c r="UAD69" s="13"/>
      <c r="UAE69" s="13"/>
      <c r="UAF69" s="13"/>
      <c r="UAG69" s="13"/>
      <c r="UAH69" s="13"/>
      <c r="UAI69" s="13"/>
      <c r="UAJ69" s="13"/>
      <c r="UAK69" s="13"/>
      <c r="UAL69" s="13"/>
      <c r="UAM69" s="13"/>
      <c r="UAN69" s="13"/>
      <c r="UAO69" s="13"/>
      <c r="UAP69" s="13"/>
      <c r="UAQ69" s="13"/>
      <c r="UAR69" s="13"/>
      <c r="UAS69" s="13"/>
      <c r="UAT69" s="13"/>
      <c r="UAU69" s="13"/>
      <c r="UAV69" s="13"/>
      <c r="UAW69" s="13"/>
      <c r="UAX69" s="13"/>
      <c r="UAY69" s="13"/>
      <c r="UAZ69" s="13"/>
      <c r="UBA69" s="13"/>
      <c r="UBB69" s="13"/>
      <c r="UBC69" s="13"/>
      <c r="UBD69" s="13"/>
      <c r="UBE69" s="13"/>
      <c r="UBF69" s="13"/>
      <c r="UBG69" s="13"/>
      <c r="UBH69" s="13"/>
      <c r="UBI69" s="13"/>
      <c r="UBJ69" s="13"/>
      <c r="UBK69" s="13"/>
      <c r="UBL69" s="13"/>
      <c r="UBM69" s="13"/>
      <c r="UBN69" s="13"/>
      <c r="UBO69" s="13"/>
      <c r="UBP69" s="13"/>
      <c r="UBQ69" s="13"/>
      <c r="UBR69" s="13"/>
      <c r="UBS69" s="13"/>
      <c r="UBT69" s="13"/>
      <c r="UBU69" s="13"/>
      <c r="UBV69" s="13"/>
      <c r="UBW69" s="13"/>
      <c r="UBX69" s="13"/>
      <c r="UBY69" s="13"/>
      <c r="UBZ69" s="13"/>
      <c r="UCA69" s="13"/>
      <c r="UCB69" s="13"/>
      <c r="UCC69" s="13"/>
      <c r="UCD69" s="13"/>
      <c r="UCE69" s="13"/>
      <c r="UCF69" s="13"/>
      <c r="UCG69" s="13"/>
      <c r="UCH69" s="13"/>
      <c r="UCI69" s="13"/>
      <c r="UCJ69" s="13"/>
      <c r="UCK69" s="13"/>
      <c r="UCL69" s="13"/>
      <c r="UCM69" s="13"/>
      <c r="UCN69" s="13"/>
      <c r="UCO69" s="13"/>
      <c r="UCP69" s="13"/>
      <c r="UCQ69" s="13"/>
      <c r="UCR69" s="13"/>
      <c r="UCS69" s="13"/>
      <c r="UCT69" s="13"/>
      <c r="UCU69" s="13"/>
      <c r="UCV69" s="13"/>
      <c r="UCW69" s="13"/>
      <c r="UCX69" s="13"/>
      <c r="UCY69" s="13"/>
      <c r="UCZ69" s="13"/>
      <c r="UDA69" s="13"/>
      <c r="UDB69" s="13"/>
      <c r="UDC69" s="13"/>
      <c r="UDD69" s="13"/>
      <c r="UDE69" s="13"/>
      <c r="UDF69" s="13"/>
      <c r="UDG69" s="13"/>
      <c r="UDH69" s="13"/>
      <c r="UDI69" s="13"/>
      <c r="UDJ69" s="13"/>
      <c r="UDK69" s="13"/>
      <c r="UDL69" s="13"/>
      <c r="UDM69" s="13"/>
      <c r="UDN69" s="13"/>
      <c r="UDO69" s="13"/>
      <c r="UDP69" s="13"/>
      <c r="UDQ69" s="13"/>
      <c r="UDR69" s="13"/>
      <c r="UDS69" s="13"/>
      <c r="UDT69" s="13"/>
      <c r="UDU69" s="13"/>
      <c r="UDV69" s="13"/>
      <c r="UDW69" s="13"/>
      <c r="UDX69" s="13"/>
      <c r="UDY69" s="13"/>
      <c r="UDZ69" s="13"/>
      <c r="UEA69" s="13"/>
      <c r="UEB69" s="13"/>
      <c r="UEC69" s="13"/>
      <c r="UED69" s="13"/>
      <c r="UEE69" s="13"/>
      <c r="UEF69" s="13"/>
      <c r="UEG69" s="13"/>
      <c r="UEH69" s="13"/>
      <c r="UEI69" s="13"/>
      <c r="UEJ69" s="13"/>
      <c r="UEK69" s="13"/>
      <c r="UEL69" s="13"/>
      <c r="UEM69" s="13"/>
      <c r="UEN69" s="13"/>
      <c r="UEO69" s="13"/>
      <c r="UEP69" s="13"/>
      <c r="UEQ69" s="13"/>
      <c r="UER69" s="13"/>
      <c r="UES69" s="13"/>
      <c r="UET69" s="13"/>
      <c r="UEU69" s="13"/>
      <c r="UEV69" s="13"/>
      <c r="UEW69" s="13"/>
      <c r="UEX69" s="13"/>
      <c r="UEY69" s="13"/>
      <c r="UEZ69" s="13"/>
      <c r="UFA69" s="13"/>
      <c r="UFB69" s="13"/>
      <c r="UFC69" s="13"/>
      <c r="UFD69" s="13"/>
      <c r="UFE69" s="13"/>
      <c r="UFF69" s="13"/>
      <c r="UFG69" s="13"/>
      <c r="UFH69" s="13"/>
      <c r="UFI69" s="13"/>
      <c r="UFJ69" s="13"/>
      <c r="UFK69" s="13"/>
      <c r="UFL69" s="13"/>
      <c r="UFM69" s="13"/>
      <c r="UFN69" s="13"/>
      <c r="UFO69" s="13"/>
      <c r="UFP69" s="13"/>
      <c r="UFQ69" s="13"/>
      <c r="UFR69" s="13"/>
      <c r="UFS69" s="13"/>
      <c r="UFT69" s="13"/>
      <c r="UFU69" s="13"/>
      <c r="UFV69" s="13"/>
      <c r="UFW69" s="13"/>
      <c r="UFX69" s="13"/>
      <c r="UFY69" s="13"/>
      <c r="UFZ69" s="13"/>
      <c r="UGA69" s="13"/>
      <c r="UGB69" s="13"/>
      <c r="UGC69" s="13"/>
      <c r="UGD69" s="13"/>
      <c r="UGE69" s="13"/>
      <c r="UGF69" s="13"/>
      <c r="UGG69" s="13"/>
      <c r="UGH69" s="13"/>
      <c r="UGI69" s="13"/>
      <c r="UGJ69" s="13"/>
      <c r="UGK69" s="13"/>
      <c r="UGL69" s="13"/>
      <c r="UGM69" s="13"/>
      <c r="UGN69" s="13"/>
      <c r="UGO69" s="13"/>
      <c r="UGP69" s="13"/>
      <c r="UGQ69" s="13"/>
      <c r="UGR69" s="13"/>
      <c r="UGS69" s="13"/>
      <c r="UGT69" s="13"/>
      <c r="UGU69" s="13"/>
      <c r="UGV69" s="13"/>
      <c r="UGW69" s="13"/>
      <c r="UGX69" s="13"/>
      <c r="UGY69" s="13"/>
      <c r="UGZ69" s="13"/>
      <c r="UHA69" s="13"/>
      <c r="UHB69" s="13"/>
      <c r="UHC69" s="13"/>
      <c r="UHD69" s="13"/>
      <c r="UHE69" s="13"/>
      <c r="UHF69" s="13"/>
      <c r="UHG69" s="13"/>
      <c r="UHH69" s="13"/>
      <c r="UHI69" s="13"/>
      <c r="UHJ69" s="13"/>
      <c r="UHK69" s="13"/>
      <c r="UHL69" s="13"/>
      <c r="UHM69" s="13"/>
      <c r="UHN69" s="13"/>
      <c r="UHO69" s="13"/>
      <c r="UHP69" s="13"/>
      <c r="UHQ69" s="13"/>
      <c r="UHR69" s="13"/>
      <c r="UHS69" s="13"/>
      <c r="UHT69" s="13"/>
      <c r="UHU69" s="13"/>
      <c r="UHV69" s="13"/>
      <c r="UHW69" s="13"/>
      <c r="UHX69" s="13"/>
      <c r="UHY69" s="13"/>
      <c r="UHZ69" s="13"/>
      <c r="UIA69" s="13"/>
      <c r="UIB69" s="13"/>
      <c r="UIC69" s="13"/>
      <c r="UID69" s="13"/>
      <c r="UIE69" s="13"/>
      <c r="UIF69" s="13"/>
      <c r="UIG69" s="13"/>
      <c r="UIH69" s="13"/>
      <c r="UII69" s="13"/>
      <c r="UIJ69" s="13"/>
      <c r="UIK69" s="13"/>
      <c r="UIL69" s="13"/>
      <c r="UIM69" s="13"/>
      <c r="UIN69" s="13"/>
      <c r="UIO69" s="13"/>
      <c r="UIP69" s="13"/>
      <c r="UIQ69" s="13"/>
      <c r="UIR69" s="13"/>
      <c r="UIS69" s="13"/>
      <c r="UIT69" s="13"/>
      <c r="UIU69" s="13"/>
      <c r="UIV69" s="13"/>
      <c r="UIW69" s="13"/>
      <c r="UIX69" s="13"/>
      <c r="UIY69" s="13"/>
      <c r="UIZ69" s="13"/>
      <c r="UJA69" s="13"/>
      <c r="UJB69" s="13"/>
      <c r="UJC69" s="13"/>
      <c r="UJD69" s="13"/>
      <c r="UJE69" s="13"/>
      <c r="UJF69" s="13"/>
      <c r="UJG69" s="13"/>
      <c r="UJH69" s="13"/>
      <c r="UJI69" s="13"/>
      <c r="UJJ69" s="13"/>
      <c r="UJK69" s="13"/>
      <c r="UJL69" s="13"/>
      <c r="UJM69" s="13"/>
      <c r="UJN69" s="13"/>
      <c r="UJO69" s="13"/>
      <c r="UJP69" s="13"/>
      <c r="UJQ69" s="13"/>
      <c r="UJR69" s="13"/>
      <c r="UJS69" s="13"/>
      <c r="UJT69" s="13"/>
      <c r="UJU69" s="13"/>
      <c r="UJV69" s="13"/>
      <c r="UJW69" s="13"/>
      <c r="UJX69" s="13"/>
      <c r="UJY69" s="13"/>
      <c r="UJZ69" s="13"/>
      <c r="UKA69" s="13"/>
      <c r="UKB69" s="13"/>
      <c r="UKC69" s="13"/>
      <c r="UKD69" s="13"/>
      <c r="UKE69" s="13"/>
      <c r="UKF69" s="13"/>
      <c r="UKG69" s="13"/>
      <c r="UKH69" s="13"/>
      <c r="UKI69" s="13"/>
      <c r="UKJ69" s="13"/>
      <c r="UKK69" s="13"/>
      <c r="UKL69" s="13"/>
      <c r="UKM69" s="13"/>
      <c r="UKN69" s="13"/>
      <c r="UKO69" s="13"/>
      <c r="UKP69" s="13"/>
      <c r="UKQ69" s="13"/>
      <c r="UKR69" s="13"/>
      <c r="UKS69" s="13"/>
      <c r="UKT69" s="13"/>
      <c r="UKU69" s="13"/>
      <c r="UKV69" s="13"/>
      <c r="UKW69" s="13"/>
      <c r="UKX69" s="13"/>
      <c r="UKY69" s="13"/>
      <c r="UKZ69" s="13"/>
      <c r="ULA69" s="13"/>
      <c r="ULB69" s="13"/>
      <c r="ULC69" s="13"/>
      <c r="ULD69" s="13"/>
      <c r="ULE69" s="13"/>
      <c r="ULF69" s="13"/>
      <c r="ULG69" s="13"/>
      <c r="ULH69" s="13"/>
      <c r="ULI69" s="13"/>
      <c r="ULJ69" s="13"/>
      <c r="ULK69" s="13"/>
      <c r="ULL69" s="13"/>
      <c r="ULM69" s="13"/>
      <c r="ULN69" s="13"/>
      <c r="ULO69" s="13"/>
      <c r="ULP69" s="13"/>
      <c r="ULQ69" s="13"/>
      <c r="ULR69" s="13"/>
      <c r="ULS69" s="13"/>
      <c r="ULT69" s="13"/>
      <c r="ULU69" s="13"/>
      <c r="ULV69" s="13"/>
      <c r="ULW69" s="13"/>
      <c r="ULX69" s="13"/>
      <c r="ULY69" s="13"/>
      <c r="ULZ69" s="13"/>
      <c r="UMA69" s="13"/>
      <c r="UMB69" s="13"/>
      <c r="UMC69" s="13"/>
      <c r="UMD69" s="13"/>
      <c r="UME69" s="13"/>
      <c r="UMF69" s="13"/>
      <c r="UMG69" s="13"/>
      <c r="UMH69" s="13"/>
      <c r="UMI69" s="13"/>
      <c r="UMJ69" s="13"/>
      <c r="UMK69" s="13"/>
      <c r="UML69" s="13"/>
      <c r="UMM69" s="13"/>
      <c r="UMN69" s="13"/>
      <c r="UMO69" s="13"/>
      <c r="UMP69" s="13"/>
      <c r="UMQ69" s="13"/>
      <c r="UMR69" s="13"/>
      <c r="UMS69" s="13"/>
      <c r="UMT69" s="13"/>
      <c r="UMU69" s="13"/>
      <c r="UMV69" s="13"/>
      <c r="UMW69" s="13"/>
      <c r="UMX69" s="13"/>
      <c r="UMY69" s="13"/>
      <c r="UMZ69" s="13"/>
      <c r="UNA69" s="13"/>
      <c r="UNB69" s="13"/>
      <c r="UNC69" s="13"/>
      <c r="UND69" s="13"/>
      <c r="UNE69" s="13"/>
      <c r="UNF69" s="13"/>
      <c r="UNG69" s="13"/>
      <c r="UNH69" s="13"/>
      <c r="UNI69" s="13"/>
      <c r="UNJ69" s="13"/>
      <c r="UNK69" s="13"/>
      <c r="UNL69" s="13"/>
      <c r="UNM69" s="13"/>
      <c r="UNN69" s="13"/>
      <c r="UNO69" s="13"/>
      <c r="UNP69" s="13"/>
      <c r="UNQ69" s="13"/>
      <c r="UNR69" s="13"/>
      <c r="UNS69" s="13"/>
      <c r="UNT69" s="13"/>
      <c r="UNU69" s="13"/>
      <c r="UNV69" s="13"/>
      <c r="UNW69" s="13"/>
      <c r="UNX69" s="13"/>
      <c r="UNY69" s="13"/>
      <c r="UNZ69" s="13"/>
      <c r="UOA69" s="13"/>
      <c r="UOB69" s="13"/>
      <c r="UOC69" s="13"/>
      <c r="UOD69" s="13"/>
      <c r="UOE69" s="13"/>
      <c r="UOF69" s="13"/>
      <c r="UOG69" s="13"/>
      <c r="UOH69" s="13"/>
      <c r="UOI69" s="13"/>
      <c r="UOJ69" s="13"/>
      <c r="UOK69" s="13"/>
      <c r="UOL69" s="13"/>
      <c r="UOM69" s="13"/>
      <c r="UON69" s="13"/>
      <c r="UOO69" s="13"/>
      <c r="UOP69" s="13"/>
      <c r="UOQ69" s="13"/>
      <c r="UOR69" s="13"/>
      <c r="UOS69" s="13"/>
      <c r="UOT69" s="13"/>
      <c r="UOU69" s="13"/>
      <c r="UOV69" s="13"/>
      <c r="UOW69" s="13"/>
      <c r="UOX69" s="13"/>
      <c r="UOY69" s="13"/>
      <c r="UOZ69" s="13"/>
      <c r="UPA69" s="13"/>
      <c r="UPB69" s="13"/>
      <c r="UPC69" s="13"/>
      <c r="UPD69" s="13"/>
      <c r="UPE69" s="13"/>
      <c r="UPF69" s="13"/>
      <c r="UPG69" s="13"/>
      <c r="UPH69" s="13"/>
      <c r="UPI69" s="13"/>
      <c r="UPJ69" s="13"/>
      <c r="UPK69" s="13"/>
      <c r="UPL69" s="13"/>
      <c r="UPM69" s="13"/>
      <c r="UPN69" s="13"/>
      <c r="UPO69" s="13"/>
      <c r="UPP69" s="13"/>
      <c r="UPQ69" s="13"/>
      <c r="UPR69" s="13"/>
      <c r="UPS69" s="13"/>
      <c r="UPT69" s="13"/>
      <c r="UPU69" s="13"/>
      <c r="UPV69" s="13"/>
      <c r="UPW69" s="13"/>
      <c r="UPX69" s="13"/>
      <c r="UPY69" s="13"/>
      <c r="UPZ69" s="13"/>
      <c r="UQA69" s="13"/>
      <c r="UQB69" s="13"/>
      <c r="UQC69" s="13"/>
      <c r="UQD69" s="13"/>
      <c r="UQE69" s="13"/>
      <c r="UQF69" s="13"/>
      <c r="UQG69" s="13"/>
      <c r="UQH69" s="13"/>
      <c r="UQI69" s="13"/>
      <c r="UQJ69" s="13"/>
      <c r="UQK69" s="13"/>
      <c r="UQL69" s="13"/>
      <c r="UQM69" s="13"/>
      <c r="UQN69" s="13"/>
      <c r="UQO69" s="13"/>
      <c r="UQP69" s="13"/>
      <c r="UQQ69" s="13"/>
      <c r="UQR69" s="13"/>
      <c r="UQS69" s="13"/>
      <c r="UQT69" s="13"/>
      <c r="UQU69" s="13"/>
      <c r="UQV69" s="13"/>
      <c r="UQW69" s="13"/>
      <c r="UQX69" s="13"/>
      <c r="UQY69" s="13"/>
      <c r="UQZ69" s="13"/>
      <c r="URA69" s="13"/>
      <c r="URB69" s="13"/>
      <c r="URC69" s="13"/>
      <c r="URD69" s="13"/>
      <c r="URE69" s="13"/>
      <c r="URF69" s="13"/>
      <c r="URG69" s="13"/>
      <c r="URH69" s="13"/>
      <c r="URI69" s="13"/>
      <c r="URJ69" s="13"/>
      <c r="URK69" s="13"/>
      <c r="URL69" s="13"/>
      <c r="URM69" s="13"/>
      <c r="URN69" s="13"/>
      <c r="URO69" s="13"/>
      <c r="URP69" s="13"/>
      <c r="URQ69" s="13"/>
      <c r="URR69" s="13"/>
      <c r="URS69" s="13"/>
      <c r="URT69" s="13"/>
      <c r="URU69" s="13"/>
      <c r="URV69" s="13"/>
      <c r="URW69" s="13"/>
      <c r="URX69" s="13"/>
      <c r="URY69" s="13"/>
      <c r="URZ69" s="13"/>
      <c r="USA69" s="13"/>
      <c r="USB69" s="13"/>
      <c r="USC69" s="13"/>
      <c r="USD69" s="13"/>
      <c r="USE69" s="13"/>
      <c r="USF69" s="13"/>
      <c r="USG69" s="13"/>
      <c r="USH69" s="13"/>
      <c r="USI69" s="13"/>
      <c r="USJ69" s="13"/>
      <c r="USK69" s="13"/>
      <c r="USL69" s="13"/>
      <c r="USM69" s="13"/>
      <c r="USN69" s="13"/>
      <c r="USO69" s="13"/>
      <c r="USP69" s="13"/>
      <c r="USQ69" s="13"/>
      <c r="USR69" s="13"/>
      <c r="USS69" s="13"/>
      <c r="UST69" s="13"/>
      <c r="USU69" s="13"/>
      <c r="USV69" s="13"/>
      <c r="USW69" s="13"/>
      <c r="USX69" s="13"/>
      <c r="USY69" s="13"/>
      <c r="USZ69" s="13"/>
      <c r="UTA69" s="13"/>
      <c r="UTB69" s="13"/>
      <c r="UTC69" s="13"/>
      <c r="UTD69" s="13"/>
      <c r="UTE69" s="13"/>
      <c r="UTF69" s="13"/>
      <c r="UTG69" s="13"/>
      <c r="UTH69" s="13"/>
      <c r="UTI69" s="13"/>
      <c r="UTJ69" s="13"/>
      <c r="UTK69" s="13"/>
      <c r="UTL69" s="13"/>
      <c r="UTM69" s="13"/>
      <c r="UTN69" s="13"/>
      <c r="UTO69" s="13"/>
      <c r="UTP69" s="13"/>
      <c r="UTQ69" s="13"/>
      <c r="UTR69" s="13"/>
      <c r="UTS69" s="13"/>
      <c r="UTT69" s="13"/>
      <c r="UTU69" s="13"/>
      <c r="UTV69" s="13"/>
      <c r="UTW69" s="13"/>
      <c r="UTX69" s="13"/>
      <c r="UTY69" s="13"/>
      <c r="UTZ69" s="13"/>
      <c r="UUA69" s="13"/>
      <c r="UUB69" s="13"/>
      <c r="UUC69" s="13"/>
      <c r="UUD69" s="13"/>
      <c r="UUE69" s="13"/>
      <c r="UUF69" s="13"/>
      <c r="UUG69" s="13"/>
      <c r="UUH69" s="13"/>
      <c r="UUI69" s="13"/>
      <c r="UUJ69" s="13"/>
      <c r="UUK69" s="13"/>
      <c r="UUL69" s="13"/>
      <c r="UUM69" s="13"/>
      <c r="UUN69" s="13"/>
      <c r="UUO69" s="13"/>
      <c r="UUP69" s="13"/>
      <c r="UUQ69" s="13"/>
      <c r="UUR69" s="13"/>
      <c r="UUS69" s="13"/>
      <c r="UUT69" s="13"/>
      <c r="UUU69" s="13"/>
      <c r="UUV69" s="13"/>
      <c r="UUW69" s="13"/>
      <c r="UUX69" s="13"/>
      <c r="UUY69" s="13"/>
      <c r="UUZ69" s="13"/>
      <c r="UVA69" s="13"/>
      <c r="UVB69" s="13"/>
      <c r="UVC69" s="13"/>
      <c r="UVD69" s="13"/>
      <c r="UVE69" s="13"/>
      <c r="UVF69" s="13"/>
      <c r="UVG69" s="13"/>
      <c r="UVH69" s="13"/>
      <c r="UVI69" s="13"/>
      <c r="UVJ69" s="13"/>
      <c r="UVK69" s="13"/>
      <c r="UVL69" s="13"/>
      <c r="UVM69" s="13"/>
      <c r="UVN69" s="13"/>
      <c r="UVO69" s="13"/>
      <c r="UVP69" s="13"/>
      <c r="UVQ69" s="13"/>
      <c r="UVR69" s="13"/>
      <c r="UVS69" s="13"/>
      <c r="UVT69" s="13"/>
      <c r="UVU69" s="13"/>
      <c r="UVV69" s="13"/>
      <c r="UVW69" s="13"/>
      <c r="UVX69" s="13"/>
      <c r="UVY69" s="13"/>
      <c r="UVZ69" s="13"/>
      <c r="UWA69" s="13"/>
      <c r="UWB69" s="13"/>
      <c r="UWC69" s="13"/>
      <c r="UWD69" s="13"/>
      <c r="UWE69" s="13"/>
      <c r="UWF69" s="13"/>
      <c r="UWG69" s="13"/>
      <c r="UWH69" s="13"/>
      <c r="UWI69" s="13"/>
      <c r="UWJ69" s="13"/>
      <c r="UWK69" s="13"/>
      <c r="UWL69" s="13"/>
      <c r="UWM69" s="13"/>
      <c r="UWN69" s="13"/>
      <c r="UWO69" s="13"/>
      <c r="UWP69" s="13"/>
      <c r="UWQ69" s="13"/>
      <c r="UWR69" s="13"/>
      <c r="UWS69" s="13"/>
      <c r="UWT69" s="13"/>
      <c r="UWU69" s="13"/>
      <c r="UWV69" s="13"/>
      <c r="UWW69" s="13"/>
      <c r="UWX69" s="13"/>
      <c r="UWY69" s="13"/>
      <c r="UWZ69" s="13"/>
      <c r="UXA69" s="13"/>
      <c r="UXB69" s="13"/>
      <c r="UXC69" s="13"/>
      <c r="UXD69" s="13"/>
      <c r="UXE69" s="13"/>
      <c r="UXF69" s="13"/>
      <c r="UXG69" s="13"/>
      <c r="UXH69" s="13"/>
      <c r="UXI69" s="13"/>
      <c r="UXJ69" s="13"/>
      <c r="UXK69" s="13"/>
      <c r="UXL69" s="13"/>
      <c r="UXM69" s="13"/>
      <c r="UXN69" s="13"/>
      <c r="UXO69" s="13"/>
      <c r="UXP69" s="13"/>
      <c r="UXQ69" s="13"/>
      <c r="UXR69" s="13"/>
      <c r="UXS69" s="13"/>
      <c r="UXT69" s="13"/>
      <c r="UXU69" s="13"/>
      <c r="UXV69" s="13"/>
      <c r="UXW69" s="13"/>
      <c r="UXX69" s="13"/>
      <c r="UXY69" s="13"/>
      <c r="UXZ69" s="13"/>
      <c r="UYA69" s="13"/>
      <c r="UYB69" s="13"/>
      <c r="UYC69" s="13"/>
      <c r="UYD69" s="13"/>
      <c r="UYE69" s="13"/>
      <c r="UYF69" s="13"/>
      <c r="UYG69" s="13"/>
      <c r="UYH69" s="13"/>
      <c r="UYI69" s="13"/>
      <c r="UYJ69" s="13"/>
      <c r="UYK69" s="13"/>
      <c r="UYL69" s="13"/>
      <c r="UYM69" s="13"/>
      <c r="UYN69" s="13"/>
      <c r="UYO69" s="13"/>
      <c r="UYP69" s="13"/>
      <c r="UYQ69" s="13"/>
      <c r="UYR69" s="13"/>
      <c r="UYS69" s="13"/>
      <c r="UYT69" s="13"/>
      <c r="UYU69" s="13"/>
      <c r="UYV69" s="13"/>
      <c r="UYW69" s="13"/>
      <c r="UYX69" s="13"/>
      <c r="UYY69" s="13"/>
      <c r="UYZ69" s="13"/>
      <c r="UZA69" s="13"/>
      <c r="UZB69" s="13"/>
      <c r="UZC69" s="13"/>
      <c r="UZD69" s="13"/>
      <c r="UZE69" s="13"/>
      <c r="UZF69" s="13"/>
      <c r="UZG69" s="13"/>
      <c r="UZH69" s="13"/>
      <c r="UZI69" s="13"/>
      <c r="UZJ69" s="13"/>
      <c r="UZK69" s="13"/>
      <c r="UZL69" s="13"/>
      <c r="UZM69" s="13"/>
      <c r="UZN69" s="13"/>
      <c r="UZO69" s="13"/>
      <c r="UZP69" s="13"/>
      <c r="UZQ69" s="13"/>
      <c r="UZR69" s="13"/>
      <c r="UZS69" s="13"/>
      <c r="UZT69" s="13"/>
      <c r="UZU69" s="13"/>
      <c r="UZV69" s="13"/>
      <c r="UZW69" s="13"/>
      <c r="UZX69" s="13"/>
      <c r="UZY69" s="13"/>
      <c r="UZZ69" s="13"/>
      <c r="VAA69" s="13"/>
      <c r="VAB69" s="13"/>
      <c r="VAC69" s="13"/>
      <c r="VAD69" s="13"/>
      <c r="VAE69" s="13"/>
      <c r="VAF69" s="13"/>
      <c r="VAG69" s="13"/>
      <c r="VAH69" s="13"/>
      <c r="VAI69" s="13"/>
      <c r="VAJ69" s="13"/>
      <c r="VAK69" s="13"/>
      <c r="VAL69" s="13"/>
      <c r="VAM69" s="13"/>
      <c r="VAN69" s="13"/>
      <c r="VAO69" s="13"/>
      <c r="VAP69" s="13"/>
      <c r="VAQ69" s="13"/>
      <c r="VAR69" s="13"/>
      <c r="VAS69" s="13"/>
      <c r="VAT69" s="13"/>
      <c r="VAU69" s="13"/>
      <c r="VAV69" s="13"/>
      <c r="VAW69" s="13"/>
      <c r="VAX69" s="13"/>
      <c r="VAY69" s="13"/>
      <c r="VAZ69" s="13"/>
      <c r="VBA69" s="13"/>
      <c r="VBB69" s="13"/>
      <c r="VBC69" s="13"/>
      <c r="VBD69" s="13"/>
      <c r="VBE69" s="13"/>
      <c r="VBF69" s="13"/>
      <c r="VBG69" s="13"/>
      <c r="VBH69" s="13"/>
      <c r="VBI69" s="13"/>
      <c r="VBJ69" s="13"/>
      <c r="VBK69" s="13"/>
      <c r="VBL69" s="13"/>
      <c r="VBM69" s="13"/>
      <c r="VBN69" s="13"/>
      <c r="VBO69" s="13"/>
      <c r="VBP69" s="13"/>
      <c r="VBQ69" s="13"/>
      <c r="VBR69" s="13"/>
      <c r="VBS69" s="13"/>
      <c r="VBT69" s="13"/>
      <c r="VBU69" s="13"/>
      <c r="VBV69" s="13"/>
      <c r="VBW69" s="13"/>
      <c r="VBX69" s="13"/>
      <c r="VBY69" s="13"/>
      <c r="VBZ69" s="13"/>
      <c r="VCA69" s="13"/>
      <c r="VCB69" s="13"/>
      <c r="VCC69" s="13"/>
      <c r="VCD69" s="13"/>
      <c r="VCE69" s="13"/>
      <c r="VCF69" s="13"/>
      <c r="VCG69" s="13"/>
      <c r="VCH69" s="13"/>
      <c r="VCI69" s="13"/>
      <c r="VCJ69" s="13"/>
      <c r="VCK69" s="13"/>
      <c r="VCL69" s="13"/>
      <c r="VCM69" s="13"/>
      <c r="VCN69" s="13"/>
      <c r="VCO69" s="13"/>
      <c r="VCP69" s="13"/>
      <c r="VCQ69" s="13"/>
      <c r="VCR69" s="13"/>
      <c r="VCS69" s="13"/>
      <c r="VCT69" s="13"/>
      <c r="VCU69" s="13"/>
      <c r="VCV69" s="13"/>
      <c r="VCW69" s="13"/>
      <c r="VCX69" s="13"/>
      <c r="VCY69" s="13"/>
      <c r="VCZ69" s="13"/>
      <c r="VDA69" s="13"/>
      <c r="VDB69" s="13"/>
      <c r="VDC69" s="13"/>
      <c r="VDD69" s="13"/>
      <c r="VDE69" s="13"/>
      <c r="VDF69" s="13"/>
      <c r="VDG69" s="13"/>
      <c r="VDH69" s="13"/>
      <c r="VDI69" s="13"/>
      <c r="VDJ69" s="13"/>
      <c r="VDK69" s="13"/>
      <c r="VDL69" s="13"/>
      <c r="VDM69" s="13"/>
      <c r="VDN69" s="13"/>
      <c r="VDO69" s="13"/>
      <c r="VDP69" s="13"/>
      <c r="VDQ69" s="13"/>
      <c r="VDR69" s="13"/>
      <c r="VDS69" s="13"/>
      <c r="VDT69" s="13"/>
      <c r="VDU69" s="13"/>
      <c r="VDV69" s="13"/>
      <c r="VDW69" s="13"/>
      <c r="VDX69" s="13"/>
      <c r="VDY69" s="13"/>
      <c r="VDZ69" s="13"/>
      <c r="VEA69" s="13"/>
      <c r="VEB69" s="13"/>
      <c r="VEC69" s="13"/>
      <c r="VED69" s="13"/>
      <c r="VEE69" s="13"/>
      <c r="VEF69" s="13"/>
      <c r="VEG69" s="13"/>
      <c r="VEH69" s="13"/>
      <c r="VEI69" s="13"/>
      <c r="VEJ69" s="13"/>
      <c r="VEK69" s="13"/>
      <c r="VEL69" s="13"/>
      <c r="VEM69" s="13"/>
      <c r="VEN69" s="13"/>
      <c r="VEO69" s="13"/>
      <c r="VEP69" s="13"/>
      <c r="VEQ69" s="13"/>
      <c r="VER69" s="13"/>
      <c r="VES69" s="13"/>
      <c r="VET69" s="13"/>
      <c r="VEU69" s="13"/>
      <c r="VEV69" s="13"/>
      <c r="VEW69" s="13"/>
      <c r="VEX69" s="13"/>
      <c r="VEY69" s="13"/>
      <c r="VEZ69" s="13"/>
      <c r="VFA69" s="13"/>
      <c r="VFB69" s="13"/>
      <c r="VFC69" s="13"/>
      <c r="VFD69" s="13"/>
      <c r="VFE69" s="13"/>
      <c r="VFF69" s="13"/>
      <c r="VFG69" s="13"/>
      <c r="VFH69" s="13"/>
      <c r="VFI69" s="13"/>
      <c r="VFJ69" s="13"/>
      <c r="VFK69" s="13"/>
      <c r="VFL69" s="13"/>
      <c r="VFM69" s="13"/>
      <c r="VFN69" s="13"/>
      <c r="VFO69" s="13"/>
      <c r="VFP69" s="13"/>
      <c r="VFQ69" s="13"/>
      <c r="VFR69" s="13"/>
      <c r="VFS69" s="13"/>
      <c r="VFT69" s="13"/>
      <c r="VFU69" s="13"/>
      <c r="VFV69" s="13"/>
      <c r="VFW69" s="13"/>
      <c r="VFX69" s="13"/>
      <c r="VFY69" s="13"/>
      <c r="VFZ69" s="13"/>
      <c r="VGA69" s="13"/>
      <c r="VGB69" s="13"/>
      <c r="VGC69" s="13"/>
      <c r="VGD69" s="13"/>
      <c r="VGE69" s="13"/>
      <c r="VGF69" s="13"/>
      <c r="VGG69" s="13"/>
      <c r="VGH69" s="13"/>
      <c r="VGI69" s="13"/>
      <c r="VGJ69" s="13"/>
      <c r="VGK69" s="13"/>
      <c r="VGL69" s="13"/>
      <c r="VGM69" s="13"/>
      <c r="VGN69" s="13"/>
      <c r="VGO69" s="13"/>
      <c r="VGP69" s="13"/>
      <c r="VGQ69" s="13"/>
      <c r="VGR69" s="13"/>
      <c r="VGS69" s="13"/>
      <c r="VGT69" s="13"/>
      <c r="VGU69" s="13"/>
      <c r="VGV69" s="13"/>
      <c r="VGW69" s="13"/>
      <c r="VGX69" s="13"/>
      <c r="VGY69" s="13"/>
      <c r="VGZ69" s="13"/>
      <c r="VHA69" s="13"/>
      <c r="VHB69" s="13"/>
      <c r="VHC69" s="13"/>
      <c r="VHD69" s="13"/>
      <c r="VHE69" s="13"/>
      <c r="VHF69" s="13"/>
      <c r="VHG69" s="13"/>
      <c r="VHH69" s="13"/>
      <c r="VHI69" s="13"/>
      <c r="VHJ69" s="13"/>
      <c r="VHK69" s="13"/>
      <c r="VHL69" s="13"/>
      <c r="VHM69" s="13"/>
      <c r="VHN69" s="13"/>
      <c r="VHO69" s="13"/>
      <c r="VHP69" s="13"/>
      <c r="VHQ69" s="13"/>
      <c r="VHR69" s="13"/>
      <c r="VHS69" s="13"/>
      <c r="VHT69" s="13"/>
      <c r="VHU69" s="13"/>
      <c r="VHV69" s="13"/>
      <c r="VHW69" s="13"/>
      <c r="VHX69" s="13"/>
      <c r="VHY69" s="13"/>
      <c r="VHZ69" s="13"/>
      <c r="VIA69" s="13"/>
      <c r="VIB69" s="13"/>
      <c r="VIC69" s="13"/>
      <c r="VID69" s="13"/>
      <c r="VIE69" s="13"/>
      <c r="VIF69" s="13"/>
      <c r="VIG69" s="13"/>
      <c r="VIH69" s="13"/>
      <c r="VII69" s="13"/>
      <c r="VIJ69" s="13"/>
      <c r="VIK69" s="13"/>
      <c r="VIL69" s="13"/>
      <c r="VIM69" s="13"/>
      <c r="VIN69" s="13"/>
      <c r="VIO69" s="13"/>
      <c r="VIP69" s="13"/>
      <c r="VIQ69" s="13"/>
      <c r="VIR69" s="13"/>
      <c r="VIS69" s="13"/>
      <c r="VIT69" s="13"/>
      <c r="VIU69" s="13"/>
      <c r="VIV69" s="13"/>
      <c r="VIW69" s="13"/>
      <c r="VIX69" s="13"/>
      <c r="VIY69" s="13"/>
      <c r="VIZ69" s="13"/>
      <c r="VJA69" s="13"/>
      <c r="VJB69" s="13"/>
      <c r="VJC69" s="13"/>
      <c r="VJD69" s="13"/>
      <c r="VJE69" s="13"/>
      <c r="VJF69" s="13"/>
      <c r="VJG69" s="13"/>
      <c r="VJH69" s="13"/>
      <c r="VJI69" s="13"/>
      <c r="VJJ69" s="13"/>
      <c r="VJK69" s="13"/>
      <c r="VJL69" s="13"/>
      <c r="VJM69" s="13"/>
      <c r="VJN69" s="13"/>
      <c r="VJO69" s="13"/>
      <c r="VJP69" s="13"/>
      <c r="VJQ69" s="13"/>
      <c r="VJR69" s="13"/>
      <c r="VJS69" s="13"/>
      <c r="VJT69" s="13"/>
      <c r="VJU69" s="13"/>
      <c r="VJV69" s="13"/>
      <c r="VJW69" s="13"/>
      <c r="VJX69" s="13"/>
      <c r="VJY69" s="13"/>
      <c r="VJZ69" s="13"/>
      <c r="VKA69" s="13"/>
      <c r="VKB69" s="13"/>
      <c r="VKC69" s="13"/>
      <c r="VKD69" s="13"/>
      <c r="VKE69" s="13"/>
      <c r="VKF69" s="13"/>
      <c r="VKG69" s="13"/>
      <c r="VKH69" s="13"/>
      <c r="VKI69" s="13"/>
      <c r="VKJ69" s="13"/>
      <c r="VKK69" s="13"/>
      <c r="VKL69" s="13"/>
      <c r="VKM69" s="13"/>
      <c r="VKN69" s="13"/>
      <c r="VKO69" s="13"/>
      <c r="VKP69" s="13"/>
      <c r="VKQ69" s="13"/>
      <c r="VKR69" s="13"/>
      <c r="VKS69" s="13"/>
      <c r="VKT69" s="13"/>
      <c r="VKU69" s="13"/>
      <c r="VKV69" s="13"/>
      <c r="VKW69" s="13"/>
      <c r="VKX69" s="13"/>
      <c r="VKY69" s="13"/>
      <c r="VKZ69" s="13"/>
      <c r="VLA69" s="13"/>
      <c r="VLB69" s="13"/>
      <c r="VLC69" s="13"/>
      <c r="VLD69" s="13"/>
      <c r="VLE69" s="13"/>
      <c r="VLF69" s="13"/>
      <c r="VLG69" s="13"/>
      <c r="VLH69" s="13"/>
      <c r="VLI69" s="13"/>
      <c r="VLJ69" s="13"/>
      <c r="VLK69" s="13"/>
      <c r="VLL69" s="13"/>
      <c r="VLM69" s="13"/>
      <c r="VLN69" s="13"/>
      <c r="VLO69" s="13"/>
      <c r="VLP69" s="13"/>
      <c r="VLQ69" s="13"/>
      <c r="VLR69" s="13"/>
      <c r="VLS69" s="13"/>
      <c r="VLT69" s="13"/>
      <c r="VLU69" s="13"/>
      <c r="VLV69" s="13"/>
      <c r="VLW69" s="13"/>
      <c r="VLX69" s="13"/>
      <c r="VLY69" s="13"/>
      <c r="VLZ69" s="13"/>
      <c r="VMA69" s="13"/>
      <c r="VMB69" s="13"/>
      <c r="VMC69" s="13"/>
      <c r="VMD69" s="13"/>
      <c r="VME69" s="13"/>
      <c r="VMF69" s="13"/>
      <c r="VMG69" s="13"/>
      <c r="VMH69" s="13"/>
      <c r="VMI69" s="13"/>
      <c r="VMJ69" s="13"/>
      <c r="VMK69" s="13"/>
      <c r="VML69" s="13"/>
      <c r="VMM69" s="13"/>
      <c r="VMN69" s="13"/>
      <c r="VMO69" s="13"/>
      <c r="VMP69" s="13"/>
      <c r="VMQ69" s="13"/>
      <c r="VMR69" s="13"/>
      <c r="VMS69" s="13"/>
      <c r="VMT69" s="13"/>
      <c r="VMU69" s="13"/>
      <c r="VMV69" s="13"/>
      <c r="VMW69" s="13"/>
      <c r="VMX69" s="13"/>
      <c r="VMY69" s="13"/>
      <c r="VMZ69" s="13"/>
      <c r="VNA69" s="13"/>
      <c r="VNB69" s="13"/>
      <c r="VNC69" s="13"/>
      <c r="VND69" s="13"/>
      <c r="VNE69" s="13"/>
      <c r="VNF69" s="13"/>
      <c r="VNG69" s="13"/>
      <c r="VNH69" s="13"/>
      <c r="VNI69" s="13"/>
      <c r="VNJ69" s="13"/>
      <c r="VNK69" s="13"/>
      <c r="VNL69" s="13"/>
      <c r="VNM69" s="13"/>
      <c r="VNN69" s="13"/>
      <c r="VNO69" s="13"/>
      <c r="VNP69" s="13"/>
      <c r="VNQ69" s="13"/>
      <c r="VNR69" s="13"/>
      <c r="VNS69" s="13"/>
      <c r="VNT69" s="13"/>
      <c r="VNU69" s="13"/>
      <c r="VNV69" s="13"/>
      <c r="VNW69" s="13"/>
      <c r="VNX69" s="13"/>
      <c r="VNY69" s="13"/>
      <c r="VNZ69" s="13"/>
      <c r="VOA69" s="13"/>
      <c r="VOB69" s="13"/>
      <c r="VOC69" s="13"/>
      <c r="VOD69" s="13"/>
      <c r="VOE69" s="13"/>
      <c r="VOF69" s="13"/>
      <c r="VOG69" s="13"/>
      <c r="VOH69" s="13"/>
      <c r="VOI69" s="13"/>
      <c r="VOJ69" s="13"/>
      <c r="VOK69" s="13"/>
      <c r="VOL69" s="13"/>
      <c r="VOM69" s="13"/>
      <c r="VON69" s="13"/>
      <c r="VOO69" s="13"/>
      <c r="VOP69" s="13"/>
      <c r="VOQ69" s="13"/>
      <c r="VOR69" s="13"/>
      <c r="VOS69" s="13"/>
      <c r="VOT69" s="13"/>
      <c r="VOU69" s="13"/>
      <c r="VOV69" s="13"/>
      <c r="VOW69" s="13"/>
      <c r="VOX69" s="13"/>
      <c r="VOY69" s="13"/>
      <c r="VOZ69" s="13"/>
      <c r="VPA69" s="13"/>
      <c r="VPB69" s="13"/>
      <c r="VPC69" s="13"/>
      <c r="VPD69" s="13"/>
      <c r="VPE69" s="13"/>
      <c r="VPF69" s="13"/>
      <c r="VPG69" s="13"/>
      <c r="VPH69" s="13"/>
      <c r="VPI69" s="13"/>
      <c r="VPJ69" s="13"/>
      <c r="VPK69" s="13"/>
      <c r="VPL69" s="13"/>
      <c r="VPM69" s="13"/>
      <c r="VPN69" s="13"/>
      <c r="VPO69" s="13"/>
      <c r="VPP69" s="13"/>
      <c r="VPQ69" s="13"/>
      <c r="VPR69" s="13"/>
      <c r="VPS69" s="13"/>
      <c r="VPT69" s="13"/>
      <c r="VPU69" s="13"/>
      <c r="VPV69" s="13"/>
      <c r="VPW69" s="13"/>
      <c r="VPX69" s="13"/>
      <c r="VPY69" s="13"/>
      <c r="VPZ69" s="13"/>
      <c r="VQA69" s="13"/>
      <c r="VQB69" s="13"/>
      <c r="VQC69" s="13"/>
      <c r="VQD69" s="13"/>
      <c r="VQE69" s="13"/>
      <c r="VQF69" s="13"/>
      <c r="VQG69" s="13"/>
      <c r="VQH69" s="13"/>
      <c r="VQI69" s="13"/>
      <c r="VQJ69" s="13"/>
      <c r="VQK69" s="13"/>
      <c r="VQL69" s="13"/>
      <c r="VQM69" s="13"/>
      <c r="VQN69" s="13"/>
      <c r="VQO69" s="13"/>
      <c r="VQP69" s="13"/>
      <c r="VQQ69" s="13"/>
      <c r="VQR69" s="13"/>
      <c r="VQS69" s="13"/>
      <c r="VQT69" s="13"/>
      <c r="VQU69" s="13"/>
      <c r="VQV69" s="13"/>
      <c r="VQW69" s="13"/>
      <c r="VQX69" s="13"/>
      <c r="VQY69" s="13"/>
      <c r="VQZ69" s="13"/>
      <c r="VRA69" s="13"/>
      <c r="VRB69" s="13"/>
      <c r="VRC69" s="13"/>
      <c r="VRD69" s="13"/>
      <c r="VRE69" s="13"/>
      <c r="VRF69" s="13"/>
      <c r="VRG69" s="13"/>
      <c r="VRH69" s="13"/>
      <c r="VRI69" s="13"/>
      <c r="VRJ69" s="13"/>
      <c r="VRK69" s="13"/>
      <c r="VRL69" s="13"/>
      <c r="VRM69" s="13"/>
      <c r="VRN69" s="13"/>
      <c r="VRO69" s="13"/>
      <c r="VRP69" s="13"/>
      <c r="VRQ69" s="13"/>
      <c r="VRR69" s="13"/>
      <c r="VRS69" s="13"/>
      <c r="VRT69" s="13"/>
      <c r="VRU69" s="13"/>
      <c r="VRV69" s="13"/>
      <c r="VRW69" s="13"/>
      <c r="VRX69" s="13"/>
      <c r="VRY69" s="13"/>
      <c r="VRZ69" s="13"/>
      <c r="VSA69" s="13"/>
      <c r="VSB69" s="13"/>
      <c r="VSC69" s="13"/>
      <c r="VSD69" s="13"/>
      <c r="VSE69" s="13"/>
      <c r="VSF69" s="13"/>
      <c r="VSG69" s="13"/>
      <c r="VSH69" s="13"/>
      <c r="VSI69" s="13"/>
      <c r="VSJ69" s="13"/>
      <c r="VSK69" s="13"/>
      <c r="VSL69" s="13"/>
      <c r="VSM69" s="13"/>
      <c r="VSN69" s="13"/>
      <c r="VSO69" s="13"/>
      <c r="VSP69" s="13"/>
      <c r="VSQ69" s="13"/>
      <c r="VSR69" s="13"/>
      <c r="VSS69" s="13"/>
      <c r="VST69" s="13"/>
      <c r="VSU69" s="13"/>
      <c r="VSV69" s="13"/>
      <c r="VSW69" s="13"/>
      <c r="VSX69" s="13"/>
      <c r="VSY69" s="13"/>
      <c r="VSZ69" s="13"/>
      <c r="VTA69" s="13"/>
      <c r="VTB69" s="13"/>
      <c r="VTC69" s="13"/>
      <c r="VTD69" s="13"/>
      <c r="VTE69" s="13"/>
      <c r="VTF69" s="13"/>
      <c r="VTG69" s="13"/>
      <c r="VTH69" s="13"/>
      <c r="VTI69" s="13"/>
      <c r="VTJ69" s="13"/>
      <c r="VTK69" s="13"/>
      <c r="VTL69" s="13"/>
      <c r="VTM69" s="13"/>
      <c r="VTN69" s="13"/>
      <c r="VTO69" s="13"/>
      <c r="VTP69" s="13"/>
      <c r="VTQ69" s="13"/>
      <c r="VTR69" s="13"/>
      <c r="VTS69" s="13"/>
      <c r="VTT69" s="13"/>
      <c r="VTU69" s="13"/>
      <c r="VTV69" s="13"/>
      <c r="VTW69" s="13"/>
      <c r="VTX69" s="13"/>
      <c r="VTY69" s="13"/>
      <c r="VTZ69" s="13"/>
      <c r="VUA69" s="13"/>
      <c r="VUB69" s="13"/>
      <c r="VUC69" s="13"/>
      <c r="VUD69" s="13"/>
      <c r="VUE69" s="13"/>
      <c r="VUF69" s="13"/>
      <c r="VUG69" s="13"/>
      <c r="VUH69" s="13"/>
      <c r="VUI69" s="13"/>
      <c r="VUJ69" s="13"/>
      <c r="VUK69" s="13"/>
      <c r="VUL69" s="13"/>
      <c r="VUM69" s="13"/>
      <c r="VUN69" s="13"/>
      <c r="VUO69" s="13"/>
      <c r="VUP69" s="13"/>
      <c r="VUQ69" s="13"/>
      <c r="VUR69" s="13"/>
      <c r="VUS69" s="13"/>
      <c r="VUT69" s="13"/>
      <c r="VUU69" s="13"/>
      <c r="VUV69" s="13"/>
      <c r="VUW69" s="13"/>
      <c r="VUX69" s="13"/>
      <c r="VUY69" s="13"/>
      <c r="VUZ69" s="13"/>
      <c r="VVA69" s="13"/>
      <c r="VVB69" s="13"/>
      <c r="VVC69" s="13"/>
      <c r="VVD69" s="13"/>
      <c r="VVE69" s="13"/>
      <c r="VVF69" s="13"/>
      <c r="VVG69" s="13"/>
      <c r="VVH69" s="13"/>
      <c r="VVI69" s="13"/>
      <c r="VVJ69" s="13"/>
      <c r="VVK69" s="13"/>
      <c r="VVL69" s="13"/>
      <c r="VVM69" s="13"/>
      <c r="VVN69" s="13"/>
      <c r="VVO69" s="13"/>
      <c r="VVP69" s="13"/>
      <c r="VVQ69" s="13"/>
      <c r="VVR69" s="13"/>
      <c r="VVS69" s="13"/>
      <c r="VVT69" s="13"/>
      <c r="VVU69" s="13"/>
      <c r="VVV69" s="13"/>
      <c r="VVW69" s="13"/>
      <c r="VVX69" s="13"/>
      <c r="VVY69" s="13"/>
      <c r="VVZ69" s="13"/>
      <c r="VWA69" s="13"/>
      <c r="VWB69" s="13"/>
      <c r="VWC69" s="13"/>
      <c r="VWD69" s="13"/>
      <c r="VWE69" s="13"/>
      <c r="VWF69" s="13"/>
      <c r="VWG69" s="13"/>
      <c r="VWH69" s="13"/>
      <c r="VWI69" s="13"/>
      <c r="VWJ69" s="13"/>
      <c r="VWK69" s="13"/>
      <c r="VWL69" s="13"/>
      <c r="VWM69" s="13"/>
      <c r="VWN69" s="13"/>
      <c r="VWO69" s="13"/>
      <c r="VWP69" s="13"/>
      <c r="VWQ69" s="13"/>
      <c r="VWR69" s="13"/>
      <c r="VWS69" s="13"/>
      <c r="VWT69" s="13"/>
      <c r="VWU69" s="13"/>
      <c r="VWV69" s="13"/>
      <c r="VWW69" s="13"/>
      <c r="VWX69" s="13"/>
      <c r="VWY69" s="13"/>
      <c r="VWZ69" s="13"/>
      <c r="VXA69" s="13"/>
      <c r="VXB69" s="13"/>
      <c r="VXC69" s="13"/>
      <c r="VXD69" s="13"/>
      <c r="VXE69" s="13"/>
      <c r="VXF69" s="13"/>
      <c r="VXG69" s="13"/>
      <c r="VXH69" s="13"/>
      <c r="VXI69" s="13"/>
      <c r="VXJ69" s="13"/>
      <c r="VXK69" s="13"/>
      <c r="VXL69" s="13"/>
      <c r="VXM69" s="13"/>
      <c r="VXN69" s="13"/>
      <c r="VXO69" s="13"/>
      <c r="VXP69" s="13"/>
      <c r="VXQ69" s="13"/>
      <c r="VXR69" s="13"/>
      <c r="VXS69" s="13"/>
      <c r="VXT69" s="13"/>
      <c r="VXU69" s="13"/>
      <c r="VXV69" s="13"/>
      <c r="VXW69" s="13"/>
      <c r="VXX69" s="13"/>
      <c r="VXY69" s="13"/>
      <c r="VXZ69" s="13"/>
      <c r="VYA69" s="13"/>
      <c r="VYB69" s="13"/>
      <c r="VYC69" s="13"/>
      <c r="VYD69" s="13"/>
      <c r="VYE69" s="13"/>
      <c r="VYF69" s="13"/>
      <c r="VYG69" s="13"/>
      <c r="VYH69" s="13"/>
      <c r="VYI69" s="13"/>
      <c r="VYJ69" s="13"/>
      <c r="VYK69" s="13"/>
      <c r="VYL69" s="13"/>
      <c r="VYM69" s="13"/>
      <c r="VYN69" s="13"/>
      <c r="VYO69" s="13"/>
      <c r="VYP69" s="13"/>
      <c r="VYQ69" s="13"/>
      <c r="VYR69" s="13"/>
      <c r="VYS69" s="13"/>
      <c r="VYT69" s="13"/>
      <c r="VYU69" s="13"/>
      <c r="VYV69" s="13"/>
      <c r="VYW69" s="13"/>
      <c r="VYX69" s="13"/>
      <c r="VYY69" s="13"/>
      <c r="VYZ69" s="13"/>
      <c r="VZA69" s="13"/>
      <c r="VZB69" s="13"/>
      <c r="VZC69" s="13"/>
      <c r="VZD69" s="13"/>
      <c r="VZE69" s="13"/>
      <c r="VZF69" s="13"/>
      <c r="VZG69" s="13"/>
      <c r="VZH69" s="13"/>
      <c r="VZI69" s="13"/>
      <c r="VZJ69" s="13"/>
      <c r="VZK69" s="13"/>
      <c r="VZL69" s="13"/>
      <c r="VZM69" s="13"/>
      <c r="VZN69" s="13"/>
      <c r="VZO69" s="13"/>
      <c r="VZP69" s="13"/>
      <c r="VZQ69" s="13"/>
      <c r="VZR69" s="13"/>
      <c r="VZS69" s="13"/>
      <c r="VZT69" s="13"/>
      <c r="VZU69" s="13"/>
      <c r="VZV69" s="13"/>
      <c r="VZW69" s="13"/>
      <c r="VZX69" s="13"/>
      <c r="VZY69" s="13"/>
      <c r="VZZ69" s="13"/>
      <c r="WAA69" s="13"/>
      <c r="WAB69" s="13"/>
      <c r="WAC69" s="13"/>
      <c r="WAD69" s="13"/>
      <c r="WAE69" s="13"/>
      <c r="WAF69" s="13"/>
      <c r="WAG69" s="13"/>
      <c r="WAH69" s="13"/>
      <c r="WAI69" s="13"/>
      <c r="WAJ69" s="13"/>
      <c r="WAK69" s="13"/>
      <c r="WAL69" s="13"/>
      <c r="WAM69" s="13"/>
      <c r="WAN69" s="13"/>
      <c r="WAO69" s="13"/>
      <c r="WAP69" s="13"/>
      <c r="WAQ69" s="13"/>
      <c r="WAR69" s="13"/>
      <c r="WAS69" s="13"/>
      <c r="WAT69" s="13"/>
      <c r="WAU69" s="13"/>
      <c r="WAV69" s="13"/>
      <c r="WAW69" s="13"/>
      <c r="WAX69" s="13"/>
      <c r="WAY69" s="13"/>
      <c r="WAZ69" s="13"/>
      <c r="WBA69" s="13"/>
      <c r="WBB69" s="13"/>
      <c r="WBC69" s="13"/>
      <c r="WBD69" s="13"/>
      <c r="WBE69" s="13"/>
      <c r="WBF69" s="13"/>
      <c r="WBG69" s="13"/>
      <c r="WBH69" s="13"/>
      <c r="WBI69" s="13"/>
      <c r="WBJ69" s="13"/>
      <c r="WBK69" s="13"/>
      <c r="WBL69" s="13"/>
      <c r="WBM69" s="13"/>
      <c r="WBN69" s="13"/>
      <c r="WBO69" s="13"/>
      <c r="WBP69" s="13"/>
      <c r="WBQ69" s="13"/>
      <c r="WBR69" s="13"/>
      <c r="WBS69" s="13"/>
      <c r="WBT69" s="13"/>
      <c r="WBU69" s="13"/>
      <c r="WBV69" s="13"/>
      <c r="WBW69" s="13"/>
      <c r="WBX69" s="13"/>
      <c r="WBY69" s="13"/>
      <c r="WBZ69" s="13"/>
      <c r="WCA69" s="13"/>
      <c r="WCB69" s="13"/>
      <c r="WCC69" s="13"/>
      <c r="WCD69" s="13"/>
      <c r="WCE69" s="13"/>
      <c r="WCF69" s="13"/>
      <c r="WCG69" s="13"/>
      <c r="WCH69" s="13"/>
      <c r="WCI69" s="13"/>
      <c r="WCJ69" s="13"/>
      <c r="WCK69" s="13"/>
      <c r="WCL69" s="13"/>
      <c r="WCM69" s="13"/>
      <c r="WCN69" s="13"/>
      <c r="WCO69" s="13"/>
      <c r="WCP69" s="13"/>
      <c r="WCQ69" s="13"/>
      <c r="WCR69" s="13"/>
      <c r="WCS69" s="13"/>
      <c r="WCT69" s="13"/>
      <c r="WCU69" s="13"/>
      <c r="WCV69" s="13"/>
      <c r="WCW69" s="13"/>
      <c r="WCX69" s="13"/>
      <c r="WCY69" s="13"/>
      <c r="WCZ69" s="13"/>
      <c r="WDA69" s="13"/>
      <c r="WDB69" s="13"/>
      <c r="WDC69" s="13"/>
      <c r="WDD69" s="13"/>
      <c r="WDE69" s="13"/>
      <c r="WDF69" s="13"/>
      <c r="WDG69" s="13"/>
      <c r="WDH69" s="13"/>
      <c r="WDI69" s="13"/>
      <c r="WDJ69" s="13"/>
      <c r="WDK69" s="13"/>
      <c r="WDL69" s="13"/>
      <c r="WDM69" s="13"/>
      <c r="WDN69" s="13"/>
      <c r="WDO69" s="13"/>
      <c r="WDP69" s="13"/>
      <c r="WDQ69" s="13"/>
      <c r="WDR69" s="13"/>
      <c r="WDS69" s="13"/>
      <c r="WDT69" s="13"/>
      <c r="WDU69" s="13"/>
      <c r="WDV69" s="13"/>
      <c r="WDW69" s="13"/>
      <c r="WDX69" s="13"/>
      <c r="WDY69" s="13"/>
      <c r="WDZ69" s="13"/>
      <c r="WEA69" s="13"/>
      <c r="WEB69" s="13"/>
      <c r="WEC69" s="13"/>
      <c r="WED69" s="13"/>
      <c r="WEE69" s="13"/>
      <c r="WEF69" s="13"/>
      <c r="WEG69" s="13"/>
      <c r="WEH69" s="13"/>
      <c r="WEI69" s="13"/>
      <c r="WEJ69" s="13"/>
      <c r="WEK69" s="13"/>
      <c r="WEL69" s="13"/>
      <c r="WEM69" s="13"/>
      <c r="WEN69" s="13"/>
      <c r="WEO69" s="13"/>
      <c r="WEP69" s="13"/>
      <c r="WEQ69" s="13"/>
      <c r="WER69" s="13"/>
      <c r="WES69" s="13"/>
      <c r="WET69" s="13"/>
      <c r="WEU69" s="13"/>
      <c r="WEV69" s="13"/>
      <c r="WEW69" s="13"/>
      <c r="WEX69" s="13"/>
      <c r="WEY69" s="13"/>
      <c r="WEZ69" s="13"/>
      <c r="WFA69" s="13"/>
      <c r="WFB69" s="13"/>
      <c r="WFC69" s="13"/>
      <c r="WFD69" s="13"/>
      <c r="WFE69" s="13"/>
      <c r="WFF69" s="13"/>
      <c r="WFG69" s="13"/>
      <c r="WFH69" s="13"/>
      <c r="WFI69" s="13"/>
      <c r="WFJ69" s="13"/>
      <c r="WFK69" s="13"/>
      <c r="WFL69" s="13"/>
      <c r="WFM69" s="13"/>
      <c r="WFN69" s="13"/>
      <c r="WFO69" s="13"/>
      <c r="WFP69" s="13"/>
      <c r="WFQ69" s="13"/>
      <c r="WFR69" s="13"/>
      <c r="WFS69" s="13"/>
      <c r="WFT69" s="13"/>
      <c r="WFU69" s="13"/>
      <c r="WFV69" s="13"/>
      <c r="WFW69" s="13"/>
      <c r="WFX69" s="13"/>
      <c r="WFY69" s="13"/>
      <c r="WFZ69" s="13"/>
      <c r="WGA69" s="13"/>
      <c r="WGB69" s="13"/>
      <c r="WGC69" s="13"/>
      <c r="WGD69" s="13"/>
      <c r="WGE69" s="13"/>
      <c r="WGF69" s="13"/>
      <c r="WGG69" s="13"/>
      <c r="WGH69" s="13"/>
      <c r="WGI69" s="13"/>
      <c r="WGJ69" s="13"/>
      <c r="WGK69" s="13"/>
      <c r="WGL69" s="13"/>
      <c r="WGM69" s="13"/>
      <c r="WGN69" s="13"/>
      <c r="WGO69" s="13"/>
      <c r="WGP69" s="13"/>
      <c r="WGQ69" s="13"/>
      <c r="WGR69" s="13"/>
      <c r="WGS69" s="13"/>
      <c r="WGT69" s="13"/>
      <c r="WGU69" s="13"/>
      <c r="WGV69" s="13"/>
      <c r="WGW69" s="13"/>
      <c r="WGX69" s="13"/>
      <c r="WGY69" s="13"/>
      <c r="WGZ69" s="13"/>
      <c r="WHA69" s="13"/>
      <c r="WHB69" s="13"/>
      <c r="WHC69" s="13"/>
      <c r="WHD69" s="13"/>
      <c r="WHE69" s="13"/>
      <c r="WHF69" s="13"/>
      <c r="WHG69" s="13"/>
      <c r="WHH69" s="13"/>
      <c r="WHI69" s="13"/>
      <c r="WHJ69" s="13"/>
      <c r="WHK69" s="13"/>
      <c r="WHL69" s="13"/>
      <c r="WHM69" s="13"/>
      <c r="WHN69" s="13"/>
      <c r="WHO69" s="13"/>
      <c r="WHP69" s="13"/>
      <c r="WHQ69" s="13"/>
      <c r="WHR69" s="13"/>
      <c r="WHS69" s="13"/>
      <c r="WHT69" s="13"/>
      <c r="WHU69" s="13"/>
      <c r="WHV69" s="13"/>
      <c r="WHW69" s="13"/>
      <c r="WHX69" s="13"/>
      <c r="WHY69" s="13"/>
      <c r="WHZ69" s="13"/>
      <c r="WIA69" s="13"/>
      <c r="WIB69" s="13"/>
      <c r="WIC69" s="13"/>
      <c r="WID69" s="13"/>
      <c r="WIE69" s="13"/>
      <c r="WIF69" s="13"/>
      <c r="WIG69" s="13"/>
      <c r="WIH69" s="13"/>
      <c r="WII69" s="13"/>
      <c r="WIJ69" s="13"/>
      <c r="WIK69" s="13"/>
      <c r="WIL69" s="13"/>
      <c r="WIM69" s="13"/>
      <c r="WIN69" s="13"/>
      <c r="WIO69" s="13"/>
      <c r="WIP69" s="13"/>
      <c r="WIQ69" s="13"/>
      <c r="WIR69" s="13"/>
      <c r="WIS69" s="13"/>
      <c r="WIT69" s="13"/>
      <c r="WIU69" s="13"/>
      <c r="WIV69" s="13"/>
      <c r="WIW69" s="13"/>
      <c r="WIX69" s="13"/>
      <c r="WIY69" s="13"/>
      <c r="WIZ69" s="13"/>
      <c r="WJA69" s="13"/>
      <c r="WJB69" s="13"/>
      <c r="WJC69" s="13"/>
      <c r="WJD69" s="13"/>
      <c r="WJE69" s="13"/>
      <c r="WJF69" s="13"/>
      <c r="WJG69" s="13"/>
      <c r="WJH69" s="13"/>
      <c r="WJI69" s="13"/>
      <c r="WJJ69" s="13"/>
      <c r="WJK69" s="13"/>
      <c r="WJL69" s="13"/>
      <c r="WJM69" s="13"/>
      <c r="WJN69" s="13"/>
      <c r="WJO69" s="13"/>
      <c r="WJP69" s="13"/>
      <c r="WJQ69" s="13"/>
      <c r="WJR69" s="13"/>
      <c r="WJS69" s="13"/>
      <c r="WJT69" s="13"/>
      <c r="WJU69" s="13"/>
      <c r="WJV69" s="13"/>
      <c r="WJW69" s="13"/>
      <c r="WJX69" s="13"/>
      <c r="WJY69" s="13"/>
      <c r="WJZ69" s="13"/>
      <c r="WKA69" s="13"/>
      <c r="WKB69" s="13"/>
      <c r="WKC69" s="13"/>
      <c r="WKD69" s="13"/>
      <c r="WKE69" s="13"/>
      <c r="WKF69" s="13"/>
      <c r="WKG69" s="13"/>
      <c r="WKH69" s="13"/>
      <c r="WKI69" s="13"/>
      <c r="WKJ69" s="13"/>
      <c r="WKK69" s="13"/>
      <c r="WKL69" s="13"/>
      <c r="WKM69" s="13"/>
      <c r="WKN69" s="13"/>
      <c r="WKO69" s="13"/>
      <c r="WKP69" s="13"/>
      <c r="WKQ69" s="13"/>
      <c r="WKR69" s="13"/>
      <c r="WKS69" s="13"/>
      <c r="WKT69" s="13"/>
      <c r="WKU69" s="13"/>
      <c r="WKV69" s="13"/>
      <c r="WKW69" s="13"/>
      <c r="WKX69" s="13"/>
      <c r="WKY69" s="13"/>
      <c r="WKZ69" s="13"/>
      <c r="WLA69" s="13"/>
      <c r="WLB69" s="13"/>
      <c r="WLC69" s="13"/>
      <c r="WLD69" s="13"/>
      <c r="WLE69" s="13"/>
      <c r="WLF69" s="13"/>
      <c r="WLG69" s="13"/>
      <c r="WLH69" s="13"/>
      <c r="WLI69" s="13"/>
      <c r="WLJ69" s="13"/>
      <c r="WLK69" s="13"/>
      <c r="WLL69" s="13"/>
      <c r="WLM69" s="13"/>
      <c r="WLN69" s="13"/>
      <c r="WLO69" s="13"/>
      <c r="WLP69" s="13"/>
      <c r="WLQ69" s="13"/>
      <c r="WLR69" s="13"/>
      <c r="WLS69" s="13"/>
      <c r="WLT69" s="13"/>
      <c r="WLU69" s="13"/>
      <c r="WLV69" s="13"/>
      <c r="WLW69" s="13"/>
      <c r="WLX69" s="13"/>
      <c r="WLY69" s="13"/>
      <c r="WLZ69" s="13"/>
      <c r="WMA69" s="13"/>
      <c r="WMB69" s="13"/>
      <c r="WMC69" s="13"/>
      <c r="WMD69" s="13"/>
      <c r="WME69" s="13"/>
      <c r="WMF69" s="13"/>
      <c r="WMG69" s="13"/>
      <c r="WMH69" s="13"/>
      <c r="WMI69" s="13"/>
      <c r="WMJ69" s="13"/>
      <c r="WMK69" s="13"/>
      <c r="WML69" s="13"/>
      <c r="WMM69" s="13"/>
      <c r="WMN69" s="13"/>
      <c r="WMO69" s="13"/>
      <c r="WMP69" s="13"/>
      <c r="WMQ69" s="13"/>
      <c r="WMR69" s="13"/>
      <c r="WMS69" s="13"/>
      <c r="WMT69" s="13"/>
      <c r="WMU69" s="13"/>
      <c r="WMV69" s="13"/>
      <c r="WMW69" s="13"/>
      <c r="WMX69" s="13"/>
      <c r="WMY69" s="13"/>
      <c r="WMZ69" s="13"/>
      <c r="WNA69" s="13"/>
      <c r="WNB69" s="13"/>
      <c r="WNC69" s="13"/>
      <c r="WND69" s="13"/>
      <c r="WNE69" s="13"/>
      <c r="WNF69" s="13"/>
      <c r="WNG69" s="13"/>
      <c r="WNH69" s="13"/>
      <c r="WNI69" s="13"/>
      <c r="WNJ69" s="13"/>
      <c r="WNK69" s="13"/>
      <c r="WNL69" s="13"/>
      <c r="WNM69" s="13"/>
      <c r="WNN69" s="13"/>
      <c r="WNO69" s="13"/>
      <c r="WNP69" s="13"/>
      <c r="WNQ69" s="13"/>
      <c r="WNR69" s="13"/>
      <c r="WNS69" s="13"/>
      <c r="WNT69" s="13"/>
      <c r="WNU69" s="13"/>
      <c r="WNV69" s="13"/>
      <c r="WNW69" s="13"/>
      <c r="WNX69" s="13"/>
      <c r="WNY69" s="13"/>
      <c r="WNZ69" s="13"/>
      <c r="WOA69" s="13"/>
      <c r="WOB69" s="13"/>
      <c r="WOC69" s="13"/>
      <c r="WOD69" s="13"/>
      <c r="WOE69" s="13"/>
      <c r="WOF69" s="13"/>
      <c r="WOG69" s="13"/>
      <c r="WOH69" s="13"/>
      <c r="WOI69" s="13"/>
      <c r="WOJ69" s="13"/>
      <c r="WOK69" s="13"/>
      <c r="WOL69" s="13"/>
      <c r="WOM69" s="13"/>
      <c r="WON69" s="13"/>
      <c r="WOO69" s="13"/>
      <c r="WOP69" s="13"/>
      <c r="WOQ69" s="13"/>
      <c r="WOR69" s="13"/>
      <c r="WOS69" s="13"/>
      <c r="WOT69" s="13"/>
      <c r="WOU69" s="13"/>
      <c r="WOV69" s="13"/>
      <c r="WOW69" s="13"/>
      <c r="WOX69" s="13"/>
      <c r="WOY69" s="13"/>
      <c r="WOZ69" s="13"/>
      <c r="WPA69" s="13"/>
      <c r="WPB69" s="13"/>
      <c r="WPC69" s="13"/>
      <c r="WPD69" s="13"/>
      <c r="WPE69" s="13"/>
      <c r="WPF69" s="13"/>
      <c r="WPG69" s="13"/>
      <c r="WPH69" s="13"/>
      <c r="WPI69" s="13"/>
      <c r="WPJ69" s="13"/>
      <c r="WPK69" s="13"/>
      <c r="WPL69" s="13"/>
      <c r="WPM69" s="13"/>
      <c r="WPN69" s="13"/>
      <c r="WPO69" s="13"/>
      <c r="WPP69" s="13"/>
      <c r="WPQ69" s="13"/>
      <c r="WPR69" s="13"/>
      <c r="WPS69" s="13"/>
      <c r="WPT69" s="13"/>
      <c r="WPU69" s="13"/>
      <c r="WPV69" s="13"/>
      <c r="WPW69" s="13"/>
      <c r="WPX69" s="13"/>
      <c r="WPY69" s="13"/>
      <c r="WPZ69" s="13"/>
      <c r="WQA69" s="13"/>
      <c r="WQB69" s="13"/>
      <c r="WQC69" s="13"/>
      <c r="WQD69" s="13"/>
      <c r="WQE69" s="13"/>
      <c r="WQF69" s="13"/>
      <c r="WQG69" s="13"/>
      <c r="WQH69" s="13"/>
      <c r="WQI69" s="13"/>
      <c r="WQJ69" s="13"/>
      <c r="WQK69" s="13"/>
      <c r="WQL69" s="13"/>
      <c r="WQM69" s="13"/>
      <c r="WQN69" s="13"/>
      <c r="WQO69" s="13"/>
      <c r="WQP69" s="13"/>
      <c r="WQQ69" s="13"/>
      <c r="WQR69" s="13"/>
      <c r="WQS69" s="13"/>
      <c r="WQT69" s="13"/>
      <c r="WQU69" s="13"/>
      <c r="WQV69" s="13"/>
      <c r="WQW69" s="13"/>
      <c r="WQX69" s="13"/>
      <c r="WQY69" s="13"/>
      <c r="WQZ69" s="13"/>
      <c r="WRA69" s="13"/>
      <c r="WRB69" s="13"/>
      <c r="WRC69" s="13"/>
      <c r="WRD69" s="13"/>
      <c r="WRE69" s="13"/>
      <c r="WRF69" s="13"/>
      <c r="WRG69" s="13"/>
      <c r="WRH69" s="13"/>
      <c r="WRI69" s="13"/>
      <c r="WRJ69" s="13"/>
      <c r="WRK69" s="13"/>
      <c r="WRL69" s="13"/>
      <c r="WRM69" s="13"/>
      <c r="WRN69" s="13"/>
      <c r="WRO69" s="13"/>
      <c r="WRP69" s="13"/>
      <c r="WRQ69" s="13"/>
      <c r="WRR69" s="13"/>
      <c r="WRS69" s="13"/>
      <c r="WRT69" s="13"/>
      <c r="WRU69" s="13"/>
      <c r="WRV69" s="13"/>
      <c r="WRW69" s="13"/>
      <c r="WRX69" s="13"/>
      <c r="WRY69" s="13"/>
      <c r="WRZ69" s="13"/>
      <c r="WSA69" s="13"/>
      <c r="WSB69" s="13"/>
      <c r="WSC69" s="13"/>
      <c r="WSD69" s="13"/>
      <c r="WSE69" s="13"/>
      <c r="WSF69" s="13"/>
      <c r="WSG69" s="13"/>
      <c r="WSH69" s="13"/>
      <c r="WSI69" s="13"/>
      <c r="WSJ69" s="13"/>
      <c r="WSK69" s="13"/>
      <c r="WSL69" s="13"/>
      <c r="WSM69" s="13"/>
      <c r="WSN69" s="13"/>
      <c r="WSO69" s="13"/>
      <c r="WSP69" s="13"/>
      <c r="WSQ69" s="13"/>
      <c r="WSR69" s="13"/>
      <c r="WSS69" s="13"/>
      <c r="WST69" s="13"/>
      <c r="WSU69" s="13"/>
      <c r="WSV69" s="13"/>
      <c r="WSW69" s="13"/>
      <c r="WSX69" s="13"/>
      <c r="WSY69" s="13"/>
      <c r="WSZ69" s="13"/>
      <c r="WTA69" s="13"/>
      <c r="WTB69" s="13"/>
      <c r="WTC69" s="13"/>
      <c r="WTD69" s="13"/>
      <c r="WTE69" s="13"/>
      <c r="WTF69" s="13"/>
      <c r="WTG69" s="13"/>
      <c r="WTH69" s="13"/>
      <c r="WTI69" s="13"/>
      <c r="WTJ69" s="13"/>
      <c r="WTK69" s="13"/>
      <c r="WTL69" s="13"/>
      <c r="WTM69" s="13"/>
      <c r="WTN69" s="13"/>
      <c r="WTO69" s="13"/>
      <c r="WTP69" s="13"/>
      <c r="WTQ69" s="13"/>
      <c r="WTR69" s="13"/>
      <c r="WTS69" s="13"/>
      <c r="WTT69" s="13"/>
      <c r="WTU69" s="13"/>
      <c r="WTV69" s="13"/>
      <c r="WTW69" s="13"/>
      <c r="WTX69" s="13"/>
      <c r="WTY69" s="13"/>
      <c r="WTZ69" s="13"/>
      <c r="WUA69" s="13"/>
      <c r="WUB69" s="13"/>
      <c r="WUC69" s="13"/>
      <c r="WUD69" s="13"/>
      <c r="WUE69" s="13"/>
      <c r="WUF69" s="13"/>
      <c r="WUG69" s="13"/>
      <c r="WUH69" s="13"/>
      <c r="WUI69" s="13"/>
      <c r="WUJ69" s="13"/>
      <c r="WUK69" s="13"/>
      <c r="WUL69" s="13"/>
      <c r="WUM69" s="13"/>
      <c r="WUN69" s="13"/>
      <c r="WUO69" s="13"/>
      <c r="WUP69" s="13"/>
      <c r="WUQ69" s="13"/>
      <c r="WUR69" s="13"/>
      <c r="WUS69" s="13"/>
      <c r="WUT69" s="13"/>
      <c r="WUU69" s="13"/>
      <c r="WUV69" s="13"/>
      <c r="WUW69" s="13"/>
      <c r="WUX69" s="13"/>
      <c r="WUY69" s="13"/>
      <c r="WUZ69" s="13"/>
      <c r="WVA69" s="13"/>
      <c r="WVB69" s="13"/>
      <c r="WVC69" s="13"/>
      <c r="WVD69" s="13"/>
      <c r="WVE69" s="13"/>
      <c r="WVF69" s="13"/>
      <c r="WVG69" s="13"/>
      <c r="WVH69" s="13"/>
      <c r="WVI69" s="13"/>
      <c r="WVJ69" s="13"/>
      <c r="WVK69" s="13"/>
      <c r="WVL69" s="13"/>
      <c r="WVM69" s="13"/>
      <c r="WVN69" s="13"/>
      <c r="WVO69" s="13"/>
      <c r="WVP69" s="13"/>
      <c r="WVQ69" s="13"/>
      <c r="WVR69" s="13"/>
      <c r="WVS69" s="13"/>
      <c r="WVT69" s="13"/>
      <c r="WVU69" s="13"/>
      <c r="WVV69" s="13"/>
      <c r="WVW69" s="13"/>
      <c r="WVX69" s="13"/>
      <c r="WVY69" s="13"/>
      <c r="WVZ69" s="13"/>
      <c r="WWA69" s="13"/>
      <c r="WWB69" s="13"/>
      <c r="WWC69" s="13"/>
      <c r="WWD69" s="13"/>
      <c r="WWE69" s="13"/>
      <c r="WWF69" s="13"/>
      <c r="WWG69" s="13"/>
      <c r="WWH69" s="13"/>
      <c r="WWI69" s="13"/>
      <c r="WWJ69" s="13"/>
      <c r="WWK69" s="13"/>
      <c r="WWL69" s="13"/>
      <c r="WWM69" s="13"/>
      <c r="WWN69" s="13"/>
      <c r="WWO69" s="13"/>
      <c r="WWP69" s="13"/>
      <c r="WWQ69" s="13"/>
      <c r="WWR69" s="13"/>
      <c r="WWS69" s="13"/>
      <c r="WWT69" s="13"/>
      <c r="WWU69" s="13"/>
      <c r="WWV69" s="13"/>
      <c r="WWW69" s="13"/>
      <c r="WWX69" s="13"/>
      <c r="WWY69" s="13"/>
      <c r="WWZ69" s="13"/>
      <c r="WXA69" s="13"/>
      <c r="WXB69" s="13"/>
      <c r="WXC69" s="13"/>
      <c r="WXD69" s="13"/>
      <c r="WXE69" s="13"/>
      <c r="WXF69" s="13"/>
      <c r="WXG69" s="13"/>
      <c r="WXH69" s="13"/>
      <c r="WXI69" s="13"/>
      <c r="WXJ69" s="13"/>
      <c r="WXK69" s="13"/>
      <c r="WXL69" s="13"/>
      <c r="WXM69" s="13"/>
      <c r="WXN69" s="13"/>
      <c r="WXO69" s="13"/>
      <c r="WXP69" s="13"/>
      <c r="WXQ69" s="13"/>
      <c r="WXR69" s="13"/>
      <c r="WXS69" s="13"/>
      <c r="WXT69" s="13"/>
      <c r="WXU69" s="13"/>
      <c r="WXV69" s="13"/>
      <c r="WXW69" s="13"/>
      <c r="WXX69" s="13"/>
      <c r="WXY69" s="13"/>
      <c r="WXZ69" s="13"/>
      <c r="WYA69" s="13"/>
      <c r="WYB69" s="13"/>
      <c r="WYC69" s="13"/>
      <c r="WYD69" s="13"/>
      <c r="WYE69" s="13"/>
      <c r="WYF69" s="13"/>
      <c r="WYG69" s="13"/>
      <c r="WYH69" s="13"/>
      <c r="WYI69" s="13"/>
      <c r="WYJ69" s="13"/>
      <c r="WYK69" s="13"/>
      <c r="WYL69" s="13"/>
      <c r="WYM69" s="13"/>
      <c r="WYN69" s="13"/>
      <c r="WYO69" s="13"/>
      <c r="WYP69" s="13"/>
      <c r="WYQ69" s="13"/>
      <c r="WYR69" s="13"/>
      <c r="WYS69" s="13"/>
      <c r="WYT69" s="13"/>
      <c r="WYU69" s="13"/>
      <c r="WYV69" s="13"/>
      <c r="WYW69" s="13"/>
      <c r="WYX69" s="13"/>
      <c r="WYY69" s="13"/>
      <c r="WYZ69" s="13"/>
      <c r="WZA69" s="13"/>
      <c r="WZB69" s="13"/>
      <c r="WZC69" s="13"/>
      <c r="WZD69" s="13"/>
      <c r="WZE69" s="13"/>
      <c r="WZF69" s="13"/>
      <c r="WZG69" s="13"/>
      <c r="WZH69" s="13"/>
      <c r="WZI69" s="13"/>
      <c r="WZJ69" s="13"/>
      <c r="WZK69" s="13"/>
      <c r="WZL69" s="13"/>
      <c r="WZM69" s="13"/>
      <c r="WZN69" s="13"/>
      <c r="WZO69" s="13"/>
      <c r="WZP69" s="13"/>
      <c r="WZQ69" s="13"/>
      <c r="WZR69" s="13"/>
      <c r="WZS69" s="13"/>
      <c r="WZT69" s="13"/>
      <c r="WZU69" s="13"/>
      <c r="WZV69" s="13"/>
      <c r="WZW69" s="13"/>
      <c r="WZX69" s="13"/>
      <c r="WZY69" s="13"/>
      <c r="WZZ69" s="13"/>
      <c r="XAA69" s="13"/>
      <c r="XAB69" s="13"/>
      <c r="XAC69" s="13"/>
      <c r="XAD69" s="13"/>
      <c r="XAE69" s="13"/>
      <c r="XAF69" s="13"/>
      <c r="XAG69" s="13"/>
      <c r="XAH69" s="13"/>
      <c r="XAI69" s="13"/>
      <c r="XAJ69" s="13"/>
      <c r="XAK69" s="13"/>
      <c r="XAL69" s="13"/>
      <c r="XAM69" s="13"/>
      <c r="XAN69" s="13"/>
      <c r="XAO69" s="13"/>
      <c r="XAP69" s="13"/>
      <c r="XAQ69" s="13"/>
      <c r="XAR69" s="13"/>
      <c r="XAS69" s="13"/>
      <c r="XAT69" s="13"/>
      <c r="XAU69" s="13"/>
      <c r="XAV69" s="13"/>
      <c r="XAW69" s="13"/>
      <c r="XAX69" s="13"/>
      <c r="XAY69" s="13"/>
      <c r="XAZ69" s="13"/>
      <c r="XBA69" s="13"/>
      <c r="XBB69" s="13"/>
      <c r="XBC69" s="13"/>
      <c r="XBD69" s="13"/>
      <c r="XBE69" s="13"/>
      <c r="XBF69" s="13"/>
      <c r="XBG69" s="13"/>
      <c r="XBH69" s="13"/>
      <c r="XBI69" s="13"/>
      <c r="XBJ69" s="13"/>
      <c r="XBK69" s="13"/>
      <c r="XBL69" s="13"/>
      <c r="XBM69" s="13"/>
      <c r="XBN69" s="13"/>
      <c r="XBO69" s="13"/>
      <c r="XBP69" s="13"/>
      <c r="XBQ69" s="13"/>
      <c r="XBR69" s="13"/>
      <c r="XBS69" s="13"/>
      <c r="XBT69" s="13"/>
      <c r="XBU69" s="13"/>
      <c r="XBV69" s="13"/>
      <c r="XBW69" s="13"/>
      <c r="XBX69" s="13"/>
      <c r="XBY69" s="13"/>
      <c r="XBZ69" s="13"/>
      <c r="XCA69" s="13"/>
      <c r="XCB69" s="13"/>
      <c r="XCC69" s="13"/>
      <c r="XCD69" s="13"/>
      <c r="XCE69" s="13"/>
      <c r="XCF69" s="13"/>
      <c r="XCG69" s="13"/>
      <c r="XCH69" s="13"/>
      <c r="XCI69" s="13"/>
      <c r="XCJ69" s="13"/>
      <c r="XCK69" s="13"/>
      <c r="XCL69" s="13"/>
      <c r="XCM69" s="13"/>
      <c r="XCN69" s="13"/>
      <c r="XCO69" s="13"/>
      <c r="XCP69" s="13"/>
      <c r="XCQ69" s="13"/>
      <c r="XCR69" s="13"/>
      <c r="XCS69" s="13"/>
      <c r="XCT69" s="13"/>
      <c r="XCU69" s="13"/>
      <c r="XCV69" s="13"/>
      <c r="XCW69" s="13"/>
      <c r="XCX69" s="13"/>
      <c r="XCY69" s="13"/>
      <c r="XCZ69" s="13"/>
      <c r="XDA69" s="13"/>
      <c r="XDB69" s="13"/>
      <c r="XDC69" s="13"/>
      <c r="XDD69" s="13"/>
      <c r="XDE69" s="13"/>
      <c r="XDF69" s="13"/>
      <c r="XDG69" s="13"/>
      <c r="XDH69" s="13"/>
      <c r="XDI69" s="13"/>
      <c r="XDJ69" s="13"/>
      <c r="XDK69" s="13"/>
      <c r="XDL69" s="13"/>
      <c r="XDM69" s="13"/>
      <c r="XDN69" s="13"/>
      <c r="XDO69" s="13"/>
      <c r="XDP69" s="13"/>
      <c r="XDQ69" s="13"/>
      <c r="XDR69" s="13"/>
      <c r="XDS69" s="13"/>
      <c r="XDT69" s="13"/>
      <c r="XDU69" s="13"/>
      <c r="XDV69" s="13"/>
      <c r="XDW69" s="13"/>
      <c r="XDX69" s="13"/>
      <c r="XDY69" s="13"/>
      <c r="XDZ69" s="13"/>
      <c r="XEA69" s="13"/>
      <c r="XEB69" s="13"/>
      <c r="XEC69" s="13"/>
      <c r="XED69" s="13"/>
      <c r="XEE69" s="13"/>
      <c r="XEF69" s="13"/>
      <c r="XEG69" s="13"/>
      <c r="XEH69" s="13"/>
      <c r="XEI69" s="13"/>
      <c r="XEJ69" s="13"/>
      <c r="XEK69" s="13"/>
      <c r="XEL69" s="13"/>
      <c r="XEM69" s="13"/>
      <c r="XEN69" s="13"/>
      <c r="XEO69" s="13"/>
      <c r="XEP69" s="13"/>
      <c r="XEQ69" s="13"/>
      <c r="XER69" s="13"/>
      <c r="XES69" s="13"/>
      <c r="XET69" s="13"/>
      <c r="XEU69" s="13"/>
      <c r="XEV69" s="13"/>
      <c r="XEW69" s="13"/>
      <c r="XEX69" s="13"/>
      <c r="XEY69" s="13"/>
      <c r="XEZ69" s="13"/>
      <c r="XFA69" s="13"/>
      <c r="XFB69" s="13"/>
      <c r="XFC69" s="13"/>
    </row>
    <row r="70" spans="2:16383" s="13" customFormat="1">
      <c r="B70" s="13" t="s">
        <v>28</v>
      </c>
      <c r="D70" s="102">
        <f ca="1">IFERROR(D69/C69-1,"na")</f>
        <v>-5.8995491596409151</v>
      </c>
      <c r="E70" s="102">
        <f t="shared" ref="E70:M70" ca="1" si="14">IFERROR(E69/D69-1,"na")</f>
        <v>0.78709079396463744</v>
      </c>
      <c r="F70" s="102">
        <f t="shared" ca="1" si="14"/>
        <v>8.6666399774196545E-2</v>
      </c>
      <c r="G70" s="102">
        <f t="shared" ca="1" si="14"/>
        <v>0.21563113682711932</v>
      </c>
      <c r="H70" s="102">
        <f t="shared" ca="1" si="14"/>
        <v>0.33962952299721105</v>
      </c>
      <c r="I70" s="102">
        <f t="shared" ca="1" si="14"/>
        <v>0.40948225936321081</v>
      </c>
      <c r="J70" s="102">
        <f t="shared" ca="1" si="14"/>
        <v>0.3180665608217943</v>
      </c>
      <c r="K70" s="102">
        <f t="shared" ca="1" si="14"/>
        <v>0.31140670665913306</v>
      </c>
      <c r="L70" s="102">
        <f ca="1">IFERROR(L69/K69-1,"na")</f>
        <v>0.29636199999892021</v>
      </c>
      <c r="M70" s="102">
        <f t="shared" ca="1" si="14"/>
        <v>1.880102651210414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</row>
    <row r="71" spans="2:16383">
      <c r="B71" t="s">
        <v>465</v>
      </c>
      <c r="C71" s="6">
        <f ca="1">+C63+C65*(1+C62)</f>
        <v>1456.6257543326187</v>
      </c>
      <c r="D71" s="6">
        <f t="shared" ref="D71:L71" ca="1" si="15">+D63+D65*(1+D62)</f>
        <v>1759.8704778182196</v>
      </c>
      <c r="E71" s="6">
        <f t="shared" ca="1" si="15"/>
        <v>2122.7148803808177</v>
      </c>
      <c r="F71" s="6">
        <f t="shared" ca="1" si="15"/>
        <v>2535.7560792073637</v>
      </c>
      <c r="G71" s="6">
        <f t="shared" ca="1" si="15"/>
        <v>3006.4024184781247</v>
      </c>
      <c r="H71" s="6">
        <f t="shared" ca="1" si="15"/>
        <v>3530.1433902834287</v>
      </c>
      <c r="I71" s="6">
        <f t="shared" ca="1" si="15"/>
        <v>4103.4311994367199</v>
      </c>
      <c r="J71" s="6">
        <f t="shared" ca="1" si="15"/>
        <v>4727.2418964663666</v>
      </c>
      <c r="K71" s="6">
        <f t="shared" ca="1" si="15"/>
        <v>5393.8460165006018</v>
      </c>
      <c r="L71" s="6">
        <f t="shared" ca="1" si="15"/>
        <v>6094.4148823662508</v>
      </c>
      <c r="M71" s="239">
        <f ca="1">+M63+M65</f>
        <v>6577.0380889311145</v>
      </c>
    </row>
    <row r="72" spans="2:16383" ht="5.15" customHeight="1"/>
    <row r="73" spans="2:16383">
      <c r="B73" t="s">
        <v>26</v>
      </c>
      <c r="C73" s="6">
        <f ca="1">+C69</f>
        <v>-36.533243833439201</v>
      </c>
      <c r="D73" s="6">
        <f t="shared" ref="D73:K73" ca="1" si="16">+D69</f>
        <v>178.99642412308367</v>
      </c>
      <c r="E73" s="6">
        <f t="shared" ca="1" si="16"/>
        <v>319.8828617029526</v>
      </c>
      <c r="F73" s="6">
        <f t="shared" ca="1" si="16"/>
        <v>347.6059576762147</v>
      </c>
      <c r="G73" s="6">
        <f t="shared" ca="1" si="16"/>
        <v>422.56062549781643</v>
      </c>
      <c r="H73" s="6">
        <f t="shared" ca="1" si="16"/>
        <v>566.074689173043</v>
      </c>
      <c r="I73" s="6">
        <f t="shared" ca="1" si="16"/>
        <v>797.87223186394795</v>
      </c>
      <c r="J73" s="6">
        <f t="shared" ca="1" si="16"/>
        <v>1051.6487086281231</v>
      </c>
      <c r="K73" s="6">
        <f t="shared" ca="1" si="16"/>
        <v>1379.1391695443372</v>
      </c>
      <c r="L73" s="6">
        <f ca="1">+L69+L77</f>
        <v>91336.630827588611</v>
      </c>
      <c r="M73" s="6"/>
    </row>
    <row r="74" spans="2:16383">
      <c r="B74" t="s">
        <v>12</v>
      </c>
      <c r="C74" s="4">
        <f ca="1">+(1+C$46)^(C$50-$C$47-$C$48)</f>
        <v>1.0385849238558098</v>
      </c>
      <c r="D74" s="4">
        <f t="shared" ref="D74:K74" ca="1" si="17">+(1+D$46)^(D$50-$C$47-$C$48)</f>
        <v>1.1300498531886072</v>
      </c>
      <c r="E74" s="4">
        <f t="shared" ca="1" si="17"/>
        <v>1.229374964321055</v>
      </c>
      <c r="F74" s="4">
        <f t="shared" ca="1" si="17"/>
        <v>1.3372182350573583</v>
      </c>
      <c r="G74" s="4">
        <f t="shared" ca="1" si="17"/>
        <v>1.4542911852342533</v>
      </c>
      <c r="H74" s="4">
        <f t="shared" ca="1" si="17"/>
        <v>1.581363101644425</v>
      </c>
      <c r="I74" s="4">
        <f t="shared" ca="1" si="17"/>
        <v>1.7192655852860732</v>
      </c>
      <c r="J74" s="4">
        <f t="shared" ca="1" si="17"/>
        <v>1.8688974446269597</v>
      </c>
      <c r="K74" s="4">
        <f t="shared" ca="1" si="17"/>
        <v>2.0312299602404713</v>
      </c>
      <c r="L74" s="4">
        <f ca="1">+(1+L$46)^(L$50-$C$47-$C$48)</f>
        <v>2.208966587730127</v>
      </c>
      <c r="M74" s="4"/>
    </row>
    <row r="75" spans="2:16383">
      <c r="B75" t="s">
        <v>15</v>
      </c>
      <c r="C75" s="6">
        <f t="shared" ref="C75:L75" ca="1" si="18">+C73/C74</f>
        <v>-35.175981274412599</v>
      </c>
      <c r="D75" s="6">
        <f t="shared" ca="1" si="18"/>
        <v>158.39692701876655</v>
      </c>
      <c r="E75" s="6">
        <f t="shared" ca="1" si="18"/>
        <v>260.19959002468693</v>
      </c>
      <c r="F75" s="6">
        <f t="shared" ca="1" si="18"/>
        <v>259.94706665161846</v>
      </c>
      <c r="G75" s="6">
        <f t="shared" ca="1" si="18"/>
        <v>290.56122308116136</v>
      </c>
      <c r="H75" s="6">
        <f t="shared" ca="1" si="18"/>
        <v>357.96629413219159</v>
      </c>
      <c r="I75" s="6">
        <f t="shared" ca="1" si="18"/>
        <v>464.07735878176601</v>
      </c>
      <c r="J75" s="6">
        <f t="shared" ca="1" si="18"/>
        <v>562.71076385255424</v>
      </c>
      <c r="K75" s="6">
        <f t="shared" ca="1" si="18"/>
        <v>678.96752043823972</v>
      </c>
      <c r="L75" s="6">
        <f t="shared" ca="1" si="18"/>
        <v>41348.12691822723</v>
      </c>
      <c r="M75" s="6"/>
    </row>
    <row r="76" spans="2:16383" ht="5.15" customHeight="1"/>
    <row r="77" spans="2:16383">
      <c r="B77" s="3" t="s">
        <v>16</v>
      </c>
      <c r="C77" s="107">
        <f ca="1">+SUM(C75:M75)</f>
        <v>44345.777680933803</v>
      </c>
      <c r="F77" s="48"/>
      <c r="K77" s="9" t="s">
        <v>86</v>
      </c>
      <c r="L77" s="107">
        <f ca="1">(M69)/(L46-L87)</f>
        <v>89548.767251758662</v>
      </c>
    </row>
    <row r="78" spans="2:16383">
      <c r="B78" s="111" t="s">
        <v>17</v>
      </c>
      <c r="C78" s="108">
        <f>-Model!AC247-Model!AC242</f>
        <v>-1826</v>
      </c>
      <c r="K78" s="115" t="s">
        <v>17</v>
      </c>
      <c r="L78" s="105">
        <f ca="1">-Model!AM247-Model!AM242</f>
        <v>-5965.2081541839834</v>
      </c>
    </row>
    <row r="79" spans="2:16383">
      <c r="B79" s="111" t="s">
        <v>18</v>
      </c>
      <c r="C79" s="109">
        <f>-Model!AB253</f>
        <v>0</v>
      </c>
      <c r="K79" s="115" t="s">
        <v>18</v>
      </c>
      <c r="L79" s="117">
        <f>-Model!AL253</f>
        <v>0</v>
      </c>
    </row>
    <row r="80" spans="2:16383">
      <c r="B80" s="111" t="s">
        <v>19</v>
      </c>
      <c r="C80" s="109">
        <f>-5175</f>
        <v>-5175</v>
      </c>
      <c r="K80" s="115" t="s">
        <v>19</v>
      </c>
      <c r="L80" s="210">
        <f>+C80*1.09^10</f>
        <v>-12251.107016014214</v>
      </c>
    </row>
    <row r="81" spans="2:15">
      <c r="B81" s="112" t="s">
        <v>20</v>
      </c>
      <c r="C81" s="110">
        <f ca="1">Model!AC227</f>
        <v>857.24910039670158</v>
      </c>
      <c r="K81" s="116" t="s">
        <v>20</v>
      </c>
      <c r="L81" s="118">
        <f ca="1">Model!AM227</f>
        <v>8780.5784344736712</v>
      </c>
    </row>
    <row r="82" spans="2:15">
      <c r="B82" s="2" t="s">
        <v>21</v>
      </c>
      <c r="C82" s="114">
        <f ca="1">SUM(C77:C81)</f>
        <v>38202.026781330504</v>
      </c>
      <c r="D82" s="148"/>
      <c r="E82" s="8"/>
      <c r="F82" s="8"/>
      <c r="G82" s="8"/>
      <c r="H82" s="8"/>
      <c r="I82" s="8"/>
      <c r="J82" s="8"/>
      <c r="K82" s="10" t="s">
        <v>87</v>
      </c>
      <c r="L82" s="114">
        <f ca="1">+SUM(L77:L81)</f>
        <v>80113.030516034138</v>
      </c>
    </row>
    <row r="83" spans="2:15" ht="15" thickBot="1">
      <c r="B83" s="113" t="s">
        <v>22</v>
      </c>
      <c r="C83" s="138">
        <f>+Model!AB274</f>
        <v>21.19153</v>
      </c>
      <c r="K83" s="116" t="s">
        <v>22</v>
      </c>
      <c r="L83" s="138">
        <f ca="1">+Model!AL274</f>
        <v>21.19153</v>
      </c>
    </row>
    <row r="84" spans="2:15" ht="15" thickBot="1">
      <c r="B84" s="121" t="s">
        <v>23</v>
      </c>
      <c r="C84" s="120">
        <f ca="1">+C82/C83</f>
        <v>1802.702626064777</v>
      </c>
      <c r="D84" s="8"/>
      <c r="E84" s="8"/>
      <c r="F84" s="8"/>
      <c r="G84" s="8"/>
      <c r="H84" s="8"/>
      <c r="I84" s="8"/>
      <c r="J84" s="8"/>
      <c r="K84" s="10" t="s">
        <v>24</v>
      </c>
      <c r="L84" s="185">
        <f ca="1">+L82/L83</f>
        <v>3780.4269213234788</v>
      </c>
      <c r="N84" s="1"/>
    </row>
    <row r="85" spans="2:15">
      <c r="K85" s="9" t="s">
        <v>65</v>
      </c>
      <c r="L85" s="79">
        <f ca="1">IFERROR(L84/L86,"na")</f>
        <v>22.190484503186113</v>
      </c>
    </row>
    <row r="86" spans="2:15">
      <c r="K86" s="9" t="str">
        <f>$L$51+1&amp;" EPS (1Y Forward)"</f>
        <v>2033 EPS (1Y Forward)</v>
      </c>
      <c r="L86" s="59">
        <f ca="1">+M53</f>
        <v>170.36252265182316</v>
      </c>
      <c r="O86" s="6"/>
    </row>
    <row r="87" spans="2:15">
      <c r="K87" s="9" t="s">
        <v>50</v>
      </c>
      <c r="L87" s="41">
        <f>+$K$36</f>
        <v>0.03</v>
      </c>
    </row>
    <row r="89" spans="2:15">
      <c r="C89" s="152"/>
      <c r="D89" s="152"/>
      <c r="E89" s="152"/>
      <c r="F89" s="152"/>
      <c r="G89" s="152"/>
      <c r="H89" s="152"/>
      <c r="I89" s="152"/>
      <c r="J89" s="152"/>
      <c r="K89" s="152"/>
      <c r="L89" s="152"/>
    </row>
    <row r="90" spans="2:15" hidden="1" outlineLevel="1">
      <c r="B90" s="11" t="s">
        <v>77</v>
      </c>
      <c r="C90" s="11"/>
      <c r="D90" s="11"/>
      <c r="E90" s="11"/>
    </row>
    <row r="91" spans="2:15" hidden="1" outlineLevel="1">
      <c r="B91" t="s">
        <v>67</v>
      </c>
      <c r="C91" t="s">
        <v>318</v>
      </c>
      <c r="D91" t="s">
        <v>319</v>
      </c>
      <c r="E91" t="s">
        <v>1</v>
      </c>
    </row>
    <row r="92" spans="2:15" hidden="1" outlineLevel="1">
      <c r="B92" t="s">
        <v>69</v>
      </c>
      <c r="C92" t="s">
        <v>320</v>
      </c>
      <c r="D92" t="s">
        <v>75</v>
      </c>
      <c r="E92" t="s">
        <v>54</v>
      </c>
    </row>
    <row r="93" spans="2:15" hidden="1" outlineLevel="1">
      <c r="B93" t="s">
        <v>72</v>
      </c>
      <c r="C93" t="s">
        <v>321</v>
      </c>
      <c r="D93" t="s">
        <v>322</v>
      </c>
      <c r="E93" t="s">
        <v>78</v>
      </c>
    </row>
    <row r="94" spans="2:15" hidden="1" outlineLevel="1">
      <c r="B94" t="s">
        <v>70</v>
      </c>
      <c r="C94" t="s">
        <v>323</v>
      </c>
      <c r="D94" t="s">
        <v>324</v>
      </c>
      <c r="E94" t="s">
        <v>325</v>
      </c>
    </row>
    <row r="95" spans="2:15" hidden="1" outlineLevel="1">
      <c r="B95" t="s">
        <v>74</v>
      </c>
      <c r="C95" t="s">
        <v>326</v>
      </c>
      <c r="D95" t="s">
        <v>327</v>
      </c>
    </row>
    <row r="96" spans="2:15" hidden="1" outlineLevel="1">
      <c r="B96" t="s">
        <v>71</v>
      </c>
      <c r="C96" t="s">
        <v>328</v>
      </c>
      <c r="D96" t="s">
        <v>329</v>
      </c>
    </row>
    <row r="97" spans="2:4" hidden="1" outlineLevel="1">
      <c r="B97" t="s">
        <v>47</v>
      </c>
      <c r="C97" t="s">
        <v>330</v>
      </c>
      <c r="D97" t="s">
        <v>331</v>
      </c>
    </row>
    <row r="98" spans="2:4" hidden="1" outlineLevel="1">
      <c r="B98" t="s">
        <v>68</v>
      </c>
      <c r="C98" t="s">
        <v>332</v>
      </c>
      <c r="D98" t="s">
        <v>333</v>
      </c>
    </row>
    <row r="99" spans="2:4" hidden="1" outlineLevel="1">
      <c r="B99" t="s">
        <v>45</v>
      </c>
      <c r="C99" t="s">
        <v>334</v>
      </c>
      <c r="D99" t="s">
        <v>335</v>
      </c>
    </row>
    <row r="100" spans="2:4" hidden="1" outlineLevel="1">
      <c r="B100" t="s">
        <v>73</v>
      </c>
      <c r="C100" t="s">
        <v>336</v>
      </c>
      <c r="D100" t="s">
        <v>337</v>
      </c>
    </row>
    <row r="101" spans="2:4" hidden="1" outlineLevel="1">
      <c r="B101" t="s">
        <v>46</v>
      </c>
      <c r="C101" t="s">
        <v>338</v>
      </c>
      <c r="D101" t="s">
        <v>339</v>
      </c>
    </row>
    <row r="102" spans="2:4" hidden="1" outlineLevel="1">
      <c r="C102" t="s">
        <v>340</v>
      </c>
      <c r="D102" t="s">
        <v>341</v>
      </c>
    </row>
    <row r="103" spans="2:4" hidden="1" outlineLevel="1">
      <c r="C103" t="s">
        <v>342</v>
      </c>
      <c r="D103" t="s">
        <v>343</v>
      </c>
    </row>
    <row r="104" spans="2:4" hidden="1" outlineLevel="1">
      <c r="C104" t="s">
        <v>344</v>
      </c>
      <c r="D104" t="s">
        <v>345</v>
      </c>
    </row>
    <row r="105" spans="2:4" hidden="1" outlineLevel="1">
      <c r="C105" t="s">
        <v>346</v>
      </c>
      <c r="D105" t="s">
        <v>347</v>
      </c>
    </row>
    <row r="106" spans="2:4" hidden="1" outlineLevel="1">
      <c r="C106" t="s">
        <v>348</v>
      </c>
    </row>
    <row r="107" spans="2:4" hidden="1" outlineLevel="1">
      <c r="C107" t="s">
        <v>349</v>
      </c>
    </row>
    <row r="108" spans="2:4" hidden="1" outlineLevel="1">
      <c r="C108" t="s">
        <v>350</v>
      </c>
    </row>
    <row r="109" spans="2:4" hidden="1" outlineLevel="1">
      <c r="C109" t="s">
        <v>351</v>
      </c>
    </row>
    <row r="110" spans="2:4" hidden="1" outlineLevel="1">
      <c r="C110" t="s">
        <v>352</v>
      </c>
    </row>
    <row r="111" spans="2:4" hidden="1" outlineLevel="1">
      <c r="C111" t="s">
        <v>353</v>
      </c>
    </row>
    <row r="112" spans="2:4" hidden="1" outlineLevel="1">
      <c r="C112" t="s">
        <v>354</v>
      </c>
    </row>
    <row r="113" spans="3:3" hidden="1" outlineLevel="1">
      <c r="C113" t="s">
        <v>355</v>
      </c>
    </row>
    <row r="114" spans="3:3" hidden="1" outlineLevel="1">
      <c r="C114" t="s">
        <v>356</v>
      </c>
    </row>
    <row r="115" spans="3:3" hidden="1" outlineLevel="1">
      <c r="C115" t="s">
        <v>76</v>
      </c>
    </row>
    <row r="116" spans="3:3" hidden="1" outlineLevel="1">
      <c r="C116" t="s">
        <v>357</v>
      </c>
    </row>
    <row r="117" spans="3:3" hidden="1" outlineLevel="1">
      <c r="C117" t="s">
        <v>358</v>
      </c>
    </row>
    <row r="118" spans="3:3" hidden="1" outlineLevel="1">
      <c r="C118" t="s">
        <v>359</v>
      </c>
    </row>
    <row r="119" spans="3:3" hidden="1" outlineLevel="1">
      <c r="C119" t="s">
        <v>360</v>
      </c>
    </row>
    <row r="120" spans="3:3" hidden="1" outlineLevel="1">
      <c r="C120" t="s">
        <v>361</v>
      </c>
    </row>
    <row r="121" spans="3:3" hidden="1" outlineLevel="1">
      <c r="C121" t="s">
        <v>362</v>
      </c>
    </row>
    <row r="122" spans="3:3" hidden="1" outlineLevel="1">
      <c r="C122" t="s">
        <v>363</v>
      </c>
    </row>
    <row r="123" spans="3:3" hidden="1" outlineLevel="1">
      <c r="C123" t="s">
        <v>364</v>
      </c>
    </row>
    <row r="124" spans="3:3" hidden="1" outlineLevel="1">
      <c r="C124" t="s">
        <v>365</v>
      </c>
    </row>
    <row r="125" spans="3:3" hidden="1" outlineLevel="1">
      <c r="C125" t="s">
        <v>366</v>
      </c>
    </row>
    <row r="126" spans="3:3" hidden="1" outlineLevel="1">
      <c r="C126" t="s">
        <v>367</v>
      </c>
    </row>
    <row r="127" spans="3:3" hidden="1" outlineLevel="1">
      <c r="C127" t="s">
        <v>368</v>
      </c>
    </row>
    <row r="128" spans="3:3" hidden="1" outlineLevel="1">
      <c r="C128" t="s">
        <v>369</v>
      </c>
    </row>
    <row r="129" spans="3:3" hidden="1" outlineLevel="1">
      <c r="C129" t="s">
        <v>370</v>
      </c>
    </row>
    <row r="130" spans="3:3" hidden="1" outlineLevel="1">
      <c r="C130" t="s">
        <v>371</v>
      </c>
    </row>
    <row r="131" spans="3:3" hidden="1" outlineLevel="1">
      <c r="C131" t="s">
        <v>372</v>
      </c>
    </row>
    <row r="132" spans="3:3" hidden="1" outlineLevel="1">
      <c r="C132" t="s">
        <v>373</v>
      </c>
    </row>
    <row r="133" spans="3:3" hidden="1" outlineLevel="1">
      <c r="C133" t="s">
        <v>374</v>
      </c>
    </row>
    <row r="134" spans="3:3" hidden="1" outlineLevel="1">
      <c r="C134" t="s">
        <v>375</v>
      </c>
    </row>
    <row r="135" spans="3:3" hidden="1" outlineLevel="1">
      <c r="C135" t="s">
        <v>376</v>
      </c>
    </row>
    <row r="136" spans="3:3" hidden="1" outlineLevel="1">
      <c r="C136" t="s">
        <v>377</v>
      </c>
    </row>
    <row r="137" spans="3:3" hidden="1" outlineLevel="1">
      <c r="C137" t="s">
        <v>378</v>
      </c>
    </row>
    <row r="138" spans="3:3" hidden="1" outlineLevel="1">
      <c r="C138" t="s">
        <v>379</v>
      </c>
    </row>
    <row r="139" spans="3:3" hidden="1" outlineLevel="1">
      <c r="C139" t="s">
        <v>380</v>
      </c>
    </row>
    <row r="140" spans="3:3" hidden="1" outlineLevel="1">
      <c r="C140" t="s">
        <v>381</v>
      </c>
    </row>
    <row r="141" spans="3:3" hidden="1" outlineLevel="1">
      <c r="C141" t="s">
        <v>382</v>
      </c>
    </row>
    <row r="142" spans="3:3" hidden="1" outlineLevel="1">
      <c r="C142" t="s">
        <v>383</v>
      </c>
    </row>
    <row r="143" spans="3:3" hidden="1" outlineLevel="1">
      <c r="C143" t="s">
        <v>384</v>
      </c>
    </row>
    <row r="144" spans="3:3" hidden="1" outlineLevel="1">
      <c r="C144" t="s">
        <v>385</v>
      </c>
    </row>
    <row r="145" spans="3:3" hidden="1" outlineLevel="1">
      <c r="C145" t="s">
        <v>386</v>
      </c>
    </row>
    <row r="146" spans="3:3" hidden="1" outlineLevel="1">
      <c r="C146" t="s">
        <v>387</v>
      </c>
    </row>
    <row r="147" spans="3:3" hidden="1" outlineLevel="1">
      <c r="C147" t="s">
        <v>388</v>
      </c>
    </row>
    <row r="148" spans="3:3" hidden="1" outlineLevel="1">
      <c r="C148" t="s">
        <v>389</v>
      </c>
    </row>
    <row r="149" spans="3:3" hidden="1" outlineLevel="1">
      <c r="C149" t="s">
        <v>390</v>
      </c>
    </row>
    <row r="150" spans="3:3" hidden="1" outlineLevel="1">
      <c r="C150" t="s">
        <v>391</v>
      </c>
    </row>
    <row r="151" spans="3:3" hidden="1" outlineLevel="1">
      <c r="C151" t="s">
        <v>392</v>
      </c>
    </row>
    <row r="152" spans="3:3" hidden="1" outlineLevel="1">
      <c r="C152" t="s">
        <v>393</v>
      </c>
    </row>
    <row r="153" spans="3:3" hidden="1" outlineLevel="1">
      <c r="C153" t="s">
        <v>394</v>
      </c>
    </row>
    <row r="154" spans="3:3" hidden="1" outlineLevel="1">
      <c r="C154" t="s">
        <v>395</v>
      </c>
    </row>
    <row r="155" spans="3:3" hidden="1" outlineLevel="1">
      <c r="C155" t="s">
        <v>396</v>
      </c>
    </row>
    <row r="156" spans="3:3" hidden="1" outlineLevel="1">
      <c r="C156" t="s">
        <v>397</v>
      </c>
    </row>
    <row r="157" spans="3:3" hidden="1" outlineLevel="1">
      <c r="C157" t="s">
        <v>398</v>
      </c>
    </row>
    <row r="158" spans="3:3" hidden="1" outlineLevel="1">
      <c r="C158" t="s">
        <v>399</v>
      </c>
    </row>
    <row r="159" spans="3:3" hidden="1" outlineLevel="1">
      <c r="C159" t="s">
        <v>400</v>
      </c>
    </row>
    <row r="160" spans="3:3" hidden="1" outlineLevel="1">
      <c r="C160" t="s">
        <v>401</v>
      </c>
    </row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hidden="1" outlineLevel="1"/>
    <row r="170" spans="3:12" hidden="1" outlineLevel="1"/>
    <row r="171" spans="3:12" collapsed="1"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</sheetData>
  <dataValidations disablePrompts="1" count="4">
    <dataValidation type="list" allowBlank="1" showInputMessage="1" showErrorMessage="1" sqref="P10:Q10" xr:uid="{4E94246B-740D-4FAE-BEB7-913AAA41299C}">
      <formula1>$B$91:$B$101</formula1>
    </dataValidation>
    <dataValidation type="list" allowBlank="1" showInputMessage="1" showErrorMessage="1" sqref="P11:Q11" xr:uid="{B18F43C9-3AB5-4535-8DE3-B477C4D4F2B8}">
      <formula1>$C$91:$C$160</formula1>
    </dataValidation>
    <dataValidation type="list" allowBlank="1" showInputMessage="1" showErrorMessage="1" sqref="P12:Q12" xr:uid="{3DC049D5-AA40-4D21-B839-FE5F58B0F971}">
      <formula1>$D$91:$D$135</formula1>
    </dataValidation>
    <dataValidation type="list" allowBlank="1" showInputMessage="1" showErrorMessage="1" sqref="P13:Q13" xr:uid="{73839BC2-1CBE-47D0-BDAC-3C24C5EEEAEB}">
      <formula1>$E$91:$E$94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BB420"/>
  <sheetViews>
    <sheetView zoomScale="85" zoomScaleNormal="85" workbookViewId="0">
      <pane xSplit="6" ySplit="3" topLeftCell="R4" activePane="bottomRight" state="frozen"/>
      <selection activeCell="L64" sqref="L64"/>
      <selection pane="topRight" activeCell="L64" sqref="L64"/>
      <selection pane="bottomLeft" activeCell="L64" sqref="L64"/>
      <selection pane="bottomRight" activeCell="AS1" sqref="AS1"/>
    </sheetView>
  </sheetViews>
  <sheetFormatPr defaultRowHeight="14.5" outlineLevelRow="1" outlineLevelCol="1"/>
  <cols>
    <col min="1" max="1" width="23.453125" style="98" hidden="1" customWidth="1" outlineLevel="1"/>
    <col min="2" max="2" width="1.7265625" customWidth="1" collapsed="1"/>
    <col min="3" max="3" width="1.7265625" customWidth="1"/>
    <col min="4" max="4" width="15.7265625" customWidth="1"/>
    <col min="5" max="5" width="17.26953125" customWidth="1"/>
    <col min="7" max="13" width="9.1796875" customWidth="1"/>
    <col min="19" max="19" width="9" customWidth="1"/>
    <col min="43" max="43" width="11" bestFit="1" customWidth="1"/>
  </cols>
  <sheetData>
    <row r="1" spans="1:43" ht="23.5">
      <c r="B1" s="46"/>
      <c r="C1" s="46"/>
      <c r="D1" s="200">
        <f ca="1">+DCF!C84</f>
        <v>1802.702626064777</v>
      </c>
      <c r="E1" s="201">
        <f ca="1">+D1*1.34</f>
        <v>2415.6215189268014</v>
      </c>
      <c r="L1" s="47"/>
      <c r="M1" s="47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48"/>
    </row>
    <row r="2" spans="1:43" ht="15.5">
      <c r="D2" s="49"/>
      <c r="E2" s="50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P2" s="52" t="s">
        <v>92</v>
      </c>
      <c r="AQ2" s="53"/>
    </row>
    <row r="3" spans="1:43">
      <c r="B3" s="124"/>
      <c r="C3" s="43"/>
      <c r="D3" s="43"/>
      <c r="E3" s="43"/>
      <c r="F3" s="43"/>
      <c r="G3" s="97">
        <v>2000</v>
      </c>
      <c r="H3" s="43">
        <f>+G3+1</f>
        <v>2001</v>
      </c>
      <c r="I3" s="43">
        <f t="shared" ref="I3:AL3" si="0">+H3+1</f>
        <v>2002</v>
      </c>
      <c r="J3" s="43">
        <f t="shared" si="0"/>
        <v>2003</v>
      </c>
      <c r="K3" s="43">
        <f t="shared" si="0"/>
        <v>2004</v>
      </c>
      <c r="L3" s="43">
        <f t="shared" si="0"/>
        <v>2005</v>
      </c>
      <c r="M3" s="43">
        <f t="shared" si="0"/>
        <v>2006</v>
      </c>
      <c r="N3" s="43">
        <f t="shared" si="0"/>
        <v>2007</v>
      </c>
      <c r="O3" s="43">
        <f t="shared" si="0"/>
        <v>2008</v>
      </c>
      <c r="P3" s="43">
        <f t="shared" si="0"/>
        <v>2009</v>
      </c>
      <c r="Q3" s="43">
        <f t="shared" si="0"/>
        <v>2010</v>
      </c>
      <c r="R3" s="43">
        <f t="shared" si="0"/>
        <v>2011</v>
      </c>
      <c r="S3" s="43">
        <f t="shared" si="0"/>
        <v>2012</v>
      </c>
      <c r="T3" s="43">
        <f t="shared" si="0"/>
        <v>2013</v>
      </c>
      <c r="U3" s="43">
        <f t="shared" si="0"/>
        <v>2014</v>
      </c>
      <c r="V3" s="43">
        <f t="shared" si="0"/>
        <v>2015</v>
      </c>
      <c r="W3" s="43">
        <f t="shared" si="0"/>
        <v>2016</v>
      </c>
      <c r="X3" s="43">
        <f t="shared" si="0"/>
        <v>2017</v>
      </c>
      <c r="Y3" s="43">
        <f t="shared" si="0"/>
        <v>2018</v>
      </c>
      <c r="Z3" s="43">
        <f t="shared" si="0"/>
        <v>2019</v>
      </c>
      <c r="AA3" s="43">
        <f t="shared" si="0"/>
        <v>2020</v>
      </c>
      <c r="AB3" s="43">
        <f t="shared" si="0"/>
        <v>2021</v>
      </c>
      <c r="AC3" s="43">
        <f t="shared" si="0"/>
        <v>2022</v>
      </c>
      <c r="AD3" s="243">
        <f t="shared" si="0"/>
        <v>2023</v>
      </c>
      <c r="AE3" s="243">
        <f t="shared" si="0"/>
        <v>2024</v>
      </c>
      <c r="AF3" s="243">
        <f t="shared" si="0"/>
        <v>2025</v>
      </c>
      <c r="AG3" s="243">
        <f t="shared" si="0"/>
        <v>2026</v>
      </c>
      <c r="AH3" s="243">
        <f t="shared" si="0"/>
        <v>2027</v>
      </c>
      <c r="AI3" s="243">
        <f t="shared" si="0"/>
        <v>2028</v>
      </c>
      <c r="AJ3" s="243">
        <f t="shared" si="0"/>
        <v>2029</v>
      </c>
      <c r="AK3" s="243">
        <f t="shared" si="0"/>
        <v>2030</v>
      </c>
      <c r="AL3" s="243">
        <f t="shared" si="0"/>
        <v>2031</v>
      </c>
      <c r="AM3" s="243">
        <f t="shared" ref="AM3" si="1">+AL3+1</f>
        <v>2032</v>
      </c>
      <c r="AN3" s="243">
        <f t="shared" ref="AN3" si="2">+AM3+1</f>
        <v>2033</v>
      </c>
      <c r="AP3" s="96" t="s">
        <v>438</v>
      </c>
      <c r="AQ3" s="96" t="s">
        <v>439</v>
      </c>
    </row>
    <row r="4" spans="1:43">
      <c r="B4" s="124" t="s">
        <v>202</v>
      </c>
      <c r="C4" s="43" t="s">
        <v>202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</row>
    <row r="5" spans="1:43">
      <c r="C5" s="94"/>
      <c r="D5" s="95" t="s">
        <v>156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</row>
    <row r="6" spans="1:43" ht="5.15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6"/>
      <c r="AP6" s="1"/>
    </row>
    <row r="7" spans="1:43">
      <c r="A7" s="33"/>
      <c r="D7" s="58" t="s">
        <v>182</v>
      </c>
      <c r="G7" s="66"/>
      <c r="H7" s="66"/>
      <c r="I7" s="66"/>
      <c r="J7" s="66"/>
      <c r="K7" s="66"/>
      <c r="L7" s="136">
        <v>165.36199999999999</v>
      </c>
      <c r="M7" s="136">
        <v>210.75899999999999</v>
      </c>
      <c r="N7" s="66">
        <f t="shared" ref="N7:AL7" si="3">+N99</f>
        <v>243.02300000000002</v>
      </c>
      <c r="O7" s="66">
        <f t="shared" si="3"/>
        <v>330.53199999999998</v>
      </c>
      <c r="P7" s="66">
        <f t="shared" si="3"/>
        <v>437.94</v>
      </c>
      <c r="Q7" s="66">
        <f t="shared" si="3"/>
        <v>633.96500000000003</v>
      </c>
      <c r="R7" s="66">
        <f t="shared" si="3"/>
        <v>773.34099999999989</v>
      </c>
      <c r="S7" s="66">
        <f t="shared" si="3"/>
        <v>891.3</v>
      </c>
      <c r="T7" s="66">
        <f t="shared" si="3"/>
        <v>1210.8</v>
      </c>
      <c r="U7" s="66">
        <f t="shared" si="3"/>
        <v>1669.3</v>
      </c>
      <c r="V7" s="66">
        <f t="shared" si="3"/>
        <v>1838.3090000000002</v>
      </c>
      <c r="W7" s="66">
        <f t="shared" si="3"/>
        <v>2125.0860000000002</v>
      </c>
      <c r="X7" s="66">
        <f t="shared" si="3"/>
        <v>2479.4</v>
      </c>
      <c r="Y7" s="66">
        <f t="shared" si="3"/>
        <v>3060.1</v>
      </c>
      <c r="Z7" s="66">
        <f t="shared" si="3"/>
        <v>3489.5</v>
      </c>
      <c r="AA7" s="66">
        <f>+AA99</f>
        <v>3969</v>
      </c>
      <c r="AB7" s="66">
        <f>+AB99</f>
        <v>5107</v>
      </c>
      <c r="AC7" s="66">
        <f>+AC99</f>
        <v>6540.0749999999998</v>
      </c>
      <c r="AD7" s="66">
        <f t="shared" si="3"/>
        <v>7770.6579000000002</v>
      </c>
      <c r="AE7" s="66">
        <f t="shared" si="3"/>
        <v>9221.6304645</v>
      </c>
      <c r="AF7" s="66">
        <f t="shared" si="3"/>
        <v>10894.601046247501</v>
      </c>
      <c r="AG7" s="66">
        <f t="shared" si="3"/>
        <v>12656.947516412063</v>
      </c>
      <c r="AH7" s="66">
        <f t="shared" si="3"/>
        <v>14582.022995874502</v>
      </c>
      <c r="AI7" s="66">
        <f t="shared" si="3"/>
        <v>16658.716523076258</v>
      </c>
      <c r="AJ7" s="66">
        <f t="shared" si="3"/>
        <v>18786.345174664901</v>
      </c>
      <c r="AK7" s="66">
        <f t="shared" si="3"/>
        <v>21003.324228556859</v>
      </c>
      <c r="AL7" s="66">
        <f t="shared" si="3"/>
        <v>23277.736111965427</v>
      </c>
      <c r="AM7" s="66">
        <f t="shared" ref="AM7:AN7" si="4">+AM99</f>
        <v>25571.833857699814</v>
      </c>
      <c r="AN7" s="66">
        <f t="shared" si="4"/>
        <v>27970.624515081414</v>
      </c>
      <c r="AO7" s="6"/>
      <c r="AP7" s="64">
        <f>(AM7/AC7)^(1/10)-1</f>
        <v>0.14608786599926771</v>
      </c>
      <c r="AQ7" s="64">
        <f>(AC7/Q7)^(1/12)-1</f>
        <v>0.21467414454756262</v>
      </c>
    </row>
    <row r="8" spans="1:43">
      <c r="A8" s="5"/>
      <c r="D8" s="61" t="s">
        <v>183</v>
      </c>
      <c r="G8" s="136"/>
      <c r="H8" s="136"/>
      <c r="I8" s="136"/>
      <c r="J8" s="136"/>
      <c r="K8" s="136"/>
      <c r="L8" s="136">
        <v>0</v>
      </c>
      <c r="M8" s="136">
        <v>0</v>
      </c>
      <c r="N8" s="136">
        <v>0</v>
      </c>
      <c r="O8" s="136">
        <v>0</v>
      </c>
      <c r="P8" s="136">
        <v>0</v>
      </c>
      <c r="Q8" s="136">
        <v>0</v>
      </c>
      <c r="R8" s="136">
        <v>0</v>
      </c>
      <c r="S8" s="136">
        <v>0</v>
      </c>
      <c r="T8" s="136">
        <v>0</v>
      </c>
      <c r="U8" s="136">
        <v>0</v>
      </c>
      <c r="V8" s="136">
        <v>0</v>
      </c>
      <c r="W8" s="136">
        <v>0</v>
      </c>
      <c r="X8" s="136">
        <v>0</v>
      </c>
      <c r="Y8" s="136">
        <v>0</v>
      </c>
      <c r="Z8" s="136">
        <v>0</v>
      </c>
      <c r="AA8" s="136">
        <v>0</v>
      </c>
      <c r="AB8" s="136">
        <v>0</v>
      </c>
      <c r="AC8" s="136">
        <v>0</v>
      </c>
      <c r="AD8" s="136">
        <v>0</v>
      </c>
      <c r="AE8" s="136">
        <v>0</v>
      </c>
      <c r="AF8" s="136">
        <v>0</v>
      </c>
      <c r="AG8" s="136">
        <v>0</v>
      </c>
      <c r="AH8" s="136">
        <v>0</v>
      </c>
      <c r="AI8" s="136">
        <v>0</v>
      </c>
      <c r="AJ8" s="136">
        <v>0</v>
      </c>
      <c r="AK8" s="136">
        <v>0</v>
      </c>
      <c r="AL8" s="136">
        <v>0</v>
      </c>
      <c r="AM8" s="136">
        <v>0</v>
      </c>
      <c r="AN8" s="136">
        <v>0</v>
      </c>
      <c r="AO8" s="6"/>
      <c r="AP8" s="64"/>
      <c r="AQ8" s="64"/>
    </row>
    <row r="9" spans="1:43" s="3" customFormat="1">
      <c r="A9" s="33"/>
      <c r="D9" s="2" t="s">
        <v>157</v>
      </c>
      <c r="E9" s="2"/>
      <c r="F9" s="2"/>
      <c r="G9" s="7"/>
      <c r="H9" s="7"/>
      <c r="I9" s="7"/>
      <c r="J9" s="7"/>
      <c r="K9" s="7"/>
      <c r="L9" s="7">
        <f>+SUM(L7:L8)</f>
        <v>165.36199999999999</v>
      </c>
      <c r="M9" s="7">
        <f>+SUM(M7:M8)</f>
        <v>210.75899999999999</v>
      </c>
      <c r="N9" s="7">
        <f>+SUM(N7:N8)</f>
        <v>243.02300000000002</v>
      </c>
      <c r="O9" s="7">
        <f>+SUM(O7:O8)</f>
        <v>330.53199999999998</v>
      </c>
      <c r="P9" s="7">
        <f t="shared" ref="P9:AK9" si="5">+SUM(P7:P8)</f>
        <v>437.94</v>
      </c>
      <c r="Q9" s="7">
        <f t="shared" si="5"/>
        <v>633.96500000000003</v>
      </c>
      <c r="R9" s="7">
        <f t="shared" si="5"/>
        <v>773.34099999999989</v>
      </c>
      <c r="S9" s="7">
        <f t="shared" si="5"/>
        <v>891.3</v>
      </c>
      <c r="T9" s="7">
        <f t="shared" si="5"/>
        <v>1210.8</v>
      </c>
      <c r="U9" s="7">
        <f t="shared" si="5"/>
        <v>1669.3</v>
      </c>
      <c r="V9" s="7">
        <f t="shared" si="5"/>
        <v>1838.3090000000002</v>
      </c>
      <c r="W9" s="7">
        <f t="shared" si="5"/>
        <v>2125.0860000000002</v>
      </c>
      <c r="X9" s="7">
        <f t="shared" si="5"/>
        <v>2479.4</v>
      </c>
      <c r="Y9" s="7">
        <f t="shared" si="5"/>
        <v>3060.1</v>
      </c>
      <c r="Z9" s="7">
        <f t="shared" si="5"/>
        <v>3489.5</v>
      </c>
      <c r="AA9" s="7">
        <f t="shared" si="5"/>
        <v>3969</v>
      </c>
      <c r="AB9" s="7">
        <f t="shared" si="5"/>
        <v>5107</v>
      </c>
      <c r="AC9" s="7">
        <f t="shared" si="5"/>
        <v>6540.0749999999998</v>
      </c>
      <c r="AD9" s="7">
        <f t="shared" si="5"/>
        <v>7770.6579000000002</v>
      </c>
      <c r="AE9" s="7">
        <f t="shared" si="5"/>
        <v>9221.6304645</v>
      </c>
      <c r="AF9" s="7">
        <f t="shared" si="5"/>
        <v>10894.601046247501</v>
      </c>
      <c r="AG9" s="7">
        <f t="shared" si="5"/>
        <v>12656.947516412063</v>
      </c>
      <c r="AH9" s="7">
        <f t="shared" si="5"/>
        <v>14582.022995874502</v>
      </c>
      <c r="AI9" s="7">
        <f t="shared" si="5"/>
        <v>16658.716523076258</v>
      </c>
      <c r="AJ9" s="7">
        <f t="shared" si="5"/>
        <v>18786.345174664901</v>
      </c>
      <c r="AK9" s="7">
        <f t="shared" si="5"/>
        <v>21003.324228556859</v>
      </c>
      <c r="AL9" s="7">
        <f t="shared" ref="AL9" si="6">+SUM(AL7:AL8)</f>
        <v>23277.736111965427</v>
      </c>
      <c r="AM9" s="7">
        <f t="shared" ref="AM9:AN9" si="7">+SUM(AM7:AM8)</f>
        <v>25571.833857699814</v>
      </c>
      <c r="AN9" s="7">
        <f t="shared" si="7"/>
        <v>27970.624515081414</v>
      </c>
      <c r="AO9" s="55"/>
      <c r="AP9" s="64">
        <f>(AM9/AC9)^(1/10)-1</f>
        <v>0.14608786599926771</v>
      </c>
      <c r="AQ9" s="64">
        <f>(AC9/Q9)^(1/12)-1</f>
        <v>0.21467414454756262</v>
      </c>
    </row>
    <row r="10" spans="1:43">
      <c r="A10" s="5"/>
      <c r="D10" s="61" t="s">
        <v>184</v>
      </c>
      <c r="G10" s="136"/>
      <c r="H10" s="136"/>
      <c r="I10" s="136"/>
      <c r="J10" s="136"/>
      <c r="K10" s="136"/>
      <c r="L10" s="136">
        <f>-64.216-25.043-22.007</f>
        <v>-111.26599999999999</v>
      </c>
      <c r="M10" s="136">
        <f>-81.97-32.821-25.942</f>
        <v>-140.733</v>
      </c>
      <c r="N10" s="136">
        <f>-92.113-36.965-28.666</f>
        <v>-157.744</v>
      </c>
      <c r="O10" s="136">
        <f>-124.69-48.224-37.693</f>
        <v>-210.60699999999997</v>
      </c>
      <c r="P10" s="136">
        <f>-65.632-45.174-166.607</f>
        <v>-277.41300000000001</v>
      </c>
      <c r="Q10" s="66">
        <f t="shared" ref="Q10:AK10" si="8">-SUM(Q36:Q41,Q30:Q33)</f>
        <v>-454.27299999999997</v>
      </c>
      <c r="R10" s="66">
        <f t="shared" si="8"/>
        <v>-539.03499999999997</v>
      </c>
      <c r="S10" s="66">
        <f t="shared" si="8"/>
        <v>-626.5</v>
      </c>
      <c r="T10" s="66">
        <f t="shared" si="8"/>
        <v>-861.4</v>
      </c>
      <c r="U10" s="66">
        <f t="shared" si="8"/>
        <v>-1170.3</v>
      </c>
      <c r="V10" s="66">
        <f t="shared" si="8"/>
        <v>-1237</v>
      </c>
      <c r="W10" s="66">
        <f t="shared" si="8"/>
        <v>-1407.4</v>
      </c>
      <c r="X10" s="66">
        <f t="shared" si="8"/>
        <v>-1642.5</v>
      </c>
      <c r="Y10" s="66">
        <f t="shared" si="8"/>
        <v>-2019.2</v>
      </c>
      <c r="Z10" s="66">
        <f t="shared" si="8"/>
        <v>-2259</v>
      </c>
      <c r="AA10" s="66">
        <f t="shared" si="8"/>
        <v>-2382</v>
      </c>
      <c r="AB10" s="66">
        <f t="shared" si="8"/>
        <v>-3097</v>
      </c>
      <c r="AC10" s="66">
        <f t="shared" si="8"/>
        <v>-4228.1157513591761</v>
      </c>
      <c r="AD10" s="66">
        <f t="shared" si="8"/>
        <v>-4928.5532675081586</v>
      </c>
      <c r="AE10" s="66">
        <f t="shared" si="8"/>
        <v>-5816.5381598139666</v>
      </c>
      <c r="AF10" s="66">
        <f t="shared" si="8"/>
        <v>-6836.2754526264544</v>
      </c>
      <c r="AG10" s="66">
        <f t="shared" si="8"/>
        <v>-7906.9814775500936</v>
      </c>
      <c r="AH10" s="66">
        <f t="shared" si="8"/>
        <v>-9073.7873477221801</v>
      </c>
      <c r="AI10" s="66">
        <f t="shared" si="8"/>
        <v>-10329.559167286283</v>
      </c>
      <c r="AJ10" s="66">
        <f>-SUM(AJ36:AJ41,AJ30:AJ33)</f>
        <v>-11612.33660531669</v>
      </c>
      <c r="AK10" s="66">
        <f t="shared" si="8"/>
        <v>-12945.80093412876</v>
      </c>
      <c r="AL10" s="66">
        <f t="shared" ref="AL10" si="9">-SUM(AL36:AL41,AL30:AL33)</f>
        <v>-14310.48948611688</v>
      </c>
      <c r="AM10" s="66">
        <f t="shared" ref="AM10:AN10" si="10">-SUM(AM36:AM41,AM30:AM33)</f>
        <v>-15683.528627259475</v>
      </c>
      <c r="AN10" s="66">
        <f t="shared" si="10"/>
        <v>-17116.916721007681</v>
      </c>
      <c r="AO10" s="6"/>
      <c r="AP10" s="64">
        <f>(AM10/AC10)^(1/10)-1</f>
        <v>0.1400652053707554</v>
      </c>
      <c r="AQ10" s="64">
        <f>(AC10/Q10)^(1/12)-1</f>
        <v>0.20430316747673105</v>
      </c>
    </row>
    <row r="11" spans="1:43">
      <c r="A11" s="5"/>
      <c r="D11" s="61" t="s">
        <v>96</v>
      </c>
      <c r="G11" s="136"/>
      <c r="H11" s="136"/>
      <c r="I11" s="136"/>
      <c r="J11" s="136"/>
      <c r="K11" s="136"/>
      <c r="L11" s="136">
        <v>-30.608000000000001</v>
      </c>
      <c r="M11" s="136">
        <v>-39.183</v>
      </c>
      <c r="N11" s="136">
        <v>-44.127000000000002</v>
      </c>
      <c r="O11" s="136">
        <v>-55.585000000000001</v>
      </c>
      <c r="P11" s="136">
        <v>-72.400999999999996</v>
      </c>
      <c r="Q11" s="66">
        <f t="shared" ref="Q11:AK11" si="11">-Q34</f>
        <v>-63.274000000000001</v>
      </c>
      <c r="R11" s="66">
        <f t="shared" si="11"/>
        <v>-65.628</v>
      </c>
      <c r="S11" s="66">
        <f t="shared" si="11"/>
        <v>-78.87</v>
      </c>
      <c r="T11" s="66">
        <f t="shared" si="11"/>
        <v>-105.6</v>
      </c>
      <c r="U11" s="66">
        <f t="shared" si="11"/>
        <v>-134.4</v>
      </c>
      <c r="V11" s="66">
        <f t="shared" si="11"/>
        <v>-138.6</v>
      </c>
      <c r="W11" s="66">
        <f t="shared" si="11"/>
        <v>-165.3</v>
      </c>
      <c r="X11" s="66">
        <f t="shared" si="11"/>
        <v>-193.1</v>
      </c>
      <c r="Y11" s="66">
        <f t="shared" si="11"/>
        <v>-257.2</v>
      </c>
      <c r="Z11" s="66">
        <f t="shared" si="11"/>
        <v>-297</v>
      </c>
      <c r="AA11" s="66">
        <f t="shared" si="11"/>
        <v>-355</v>
      </c>
      <c r="AB11" s="66">
        <f t="shared" si="11"/>
        <v>-497</v>
      </c>
      <c r="AC11" s="66">
        <f t="shared" si="11"/>
        <v>-642.34909062444547</v>
      </c>
      <c r="AD11" s="66">
        <f t="shared" si="11"/>
        <v>-758.05366629835009</v>
      </c>
      <c r="AE11" s="66">
        <f t="shared" si="11"/>
        <v>-894.4802043966364</v>
      </c>
      <c r="AF11" s="66">
        <f t="shared" si="11"/>
        <v>-1051.7799290035846</v>
      </c>
      <c r="AG11" s="66">
        <f t="shared" si="11"/>
        <v>-1217.483150233779</v>
      </c>
      <c r="AH11" s="66">
        <f t="shared" si="11"/>
        <v>-1398.486836772443</v>
      </c>
      <c r="AI11" s="66">
        <f t="shared" si="11"/>
        <v>-1593.7462893210063</v>
      </c>
      <c r="AJ11" s="66">
        <f t="shared" si="11"/>
        <v>-1793.7948763147842</v>
      </c>
      <c r="AK11" s="66">
        <f t="shared" si="11"/>
        <v>-2002.2445636202908</v>
      </c>
      <c r="AL11" s="66">
        <f t="shared" ref="AL11" si="12">-AL34</f>
        <v>-2216.0943269133404</v>
      </c>
      <c r="AM11" s="66">
        <f t="shared" ref="AM11:AN11" si="13">-AM34</f>
        <v>-2431.7950377103602</v>
      </c>
      <c r="AN11" s="66">
        <f t="shared" si="13"/>
        <v>-2657.3394160231619</v>
      </c>
      <c r="AO11" s="6"/>
      <c r="AP11" s="64">
        <f>(AM11/AC11)^(1/10)-1</f>
        <v>0.14239313710629098</v>
      </c>
      <c r="AQ11" s="64">
        <f>(AC11/Q11)^(1/12)-1</f>
        <v>0.21305032527593082</v>
      </c>
    </row>
    <row r="12" spans="1:43" s="3" customFormat="1">
      <c r="A12" s="33"/>
      <c r="D12" s="2" t="s">
        <v>93</v>
      </c>
      <c r="E12" s="2"/>
      <c r="F12" s="2"/>
      <c r="G12" s="7"/>
      <c r="H12" s="7"/>
      <c r="I12" s="7"/>
      <c r="J12" s="7"/>
      <c r="K12" s="7"/>
      <c r="L12" s="7">
        <f>SUM(L9:L11)</f>
        <v>23.488000000000003</v>
      </c>
      <c r="M12" s="7">
        <f>SUM(M9:M11)</f>
        <v>30.842999999999982</v>
      </c>
      <c r="N12" s="7">
        <f>SUM(N9:N11)</f>
        <v>41.152000000000022</v>
      </c>
      <c r="O12" s="7">
        <f>SUM(O9:O11)</f>
        <v>64.34</v>
      </c>
      <c r="P12" s="7">
        <f>SUM(P9:P11)</f>
        <v>88.125999999999991</v>
      </c>
      <c r="Q12" s="7">
        <f t="shared" ref="Q12:AK12" si="14">SUM(Q9:Q11)</f>
        <v>116.41800000000006</v>
      </c>
      <c r="R12" s="7">
        <f t="shared" si="14"/>
        <v>168.67799999999994</v>
      </c>
      <c r="S12" s="7">
        <f t="shared" si="14"/>
        <v>185.92999999999995</v>
      </c>
      <c r="T12" s="7">
        <f t="shared" si="14"/>
        <v>243.79999999999998</v>
      </c>
      <c r="U12" s="7">
        <f t="shared" si="14"/>
        <v>364.6</v>
      </c>
      <c r="V12" s="7">
        <f t="shared" si="14"/>
        <v>462.70900000000017</v>
      </c>
      <c r="W12" s="7">
        <f t="shared" si="14"/>
        <v>552.38600000000019</v>
      </c>
      <c r="X12" s="7">
        <f t="shared" si="14"/>
        <v>643.80000000000007</v>
      </c>
      <c r="Y12" s="7">
        <f t="shared" si="14"/>
        <v>783.69999999999982</v>
      </c>
      <c r="Z12" s="7">
        <f t="shared" si="14"/>
        <v>933.5</v>
      </c>
      <c r="AA12" s="7">
        <f t="shared" si="14"/>
        <v>1232</v>
      </c>
      <c r="AB12" s="7">
        <f t="shared" si="14"/>
        <v>1513</v>
      </c>
      <c r="AC12" s="7">
        <f t="shared" si="14"/>
        <v>1669.6101580163781</v>
      </c>
      <c r="AD12" s="7">
        <f t="shared" si="14"/>
        <v>2084.0509661934916</v>
      </c>
      <c r="AE12" s="7">
        <f t="shared" si="14"/>
        <v>2510.6121002893969</v>
      </c>
      <c r="AF12" s="7">
        <f t="shared" si="14"/>
        <v>3006.5456646174616</v>
      </c>
      <c r="AG12" s="7">
        <f t="shared" si="14"/>
        <v>3532.4828886281903</v>
      </c>
      <c r="AH12" s="7">
        <f t="shared" si="14"/>
        <v>4109.748811379879</v>
      </c>
      <c r="AI12" s="7">
        <f t="shared" si="14"/>
        <v>4735.4110664689688</v>
      </c>
      <c r="AJ12" s="7">
        <f t="shared" si="14"/>
        <v>5380.2136930334264</v>
      </c>
      <c r="AK12" s="7">
        <f t="shared" si="14"/>
        <v>6055.2787308078086</v>
      </c>
      <c r="AL12" s="7">
        <f t="shared" ref="AL12" si="15">SUM(AL9:AL11)</f>
        <v>6751.152298935207</v>
      </c>
      <c r="AM12" s="7">
        <f t="shared" ref="AM12:AN12" si="16">SUM(AM9:AM11)</f>
        <v>7456.5101927299784</v>
      </c>
      <c r="AN12" s="7">
        <f t="shared" si="16"/>
        <v>8196.3683780505708</v>
      </c>
      <c r="AO12" s="55"/>
      <c r="AP12" s="64">
        <f>(AM12/AC12)^(1/10)-1</f>
        <v>0.16142736311034001</v>
      </c>
      <c r="AQ12" s="64">
        <f>(AC12/Q12)^(1/12)-1</f>
        <v>0.24848380169952233</v>
      </c>
    </row>
    <row r="13" spans="1:43">
      <c r="A13" s="33"/>
      <c r="D13" s="61" t="s">
        <v>7</v>
      </c>
      <c r="G13" s="136"/>
      <c r="H13" s="136"/>
      <c r="I13" s="136"/>
      <c r="J13" s="136"/>
      <c r="K13" s="136"/>
      <c r="L13" s="136">
        <f>-2.547-12.17</f>
        <v>-14.717000000000001</v>
      </c>
      <c r="M13" s="136">
        <f>-2.943-17.09</f>
        <v>-20.033000000000001</v>
      </c>
      <c r="N13" s="136">
        <f>-3.117-22.364</f>
        <v>-25.481000000000002</v>
      </c>
      <c r="O13" s="136">
        <f>-3.642-42.635</f>
        <v>-46.277000000000001</v>
      </c>
      <c r="P13" s="136">
        <f>-3.811-60.588</f>
        <v>-64.399000000000001</v>
      </c>
      <c r="Q13" s="66">
        <f t="shared" ref="Q13:X13" si="17">-Q42-Q43</f>
        <v>-74.679000000000002</v>
      </c>
      <c r="R13" s="66">
        <f t="shared" si="17"/>
        <v>-84.518000000000001</v>
      </c>
      <c r="S13" s="66">
        <f t="shared" si="17"/>
        <v>-92.699999999999989</v>
      </c>
      <c r="T13" s="66">
        <f t="shared" si="17"/>
        <v>-129</v>
      </c>
      <c r="U13" s="66">
        <f t="shared" si="17"/>
        <v>-189.7</v>
      </c>
      <c r="V13" s="66">
        <f t="shared" si="17"/>
        <v>-197.5</v>
      </c>
      <c r="W13" s="66">
        <f t="shared" si="17"/>
        <v>-213</v>
      </c>
      <c r="X13" s="66">
        <f t="shared" si="17"/>
        <v>-253.1</v>
      </c>
      <c r="Y13" s="66">
        <f>-Y42-Y43</f>
        <v>-305.8</v>
      </c>
      <c r="Z13" s="66">
        <f>-Z42-Z43</f>
        <v>-423</v>
      </c>
      <c r="AA13" s="66">
        <f t="shared" ref="AA13:AK13" si="18">-AA42-AA43</f>
        <v>-508</v>
      </c>
      <c r="AB13" s="66">
        <f t="shared" si="18"/>
        <v>-639</v>
      </c>
      <c r="AC13" s="66">
        <f t="shared" si="18"/>
        <v>-837.49434389140276</v>
      </c>
      <c r="AD13" s="66">
        <f t="shared" si="18"/>
        <v>-1107.5574908653848</v>
      </c>
      <c r="AE13" s="66">
        <f t="shared" si="18"/>
        <v>-1327.2401494615387</v>
      </c>
      <c r="AF13" s="66">
        <f t="shared" si="18"/>
        <v>-1547.0755484077795</v>
      </c>
      <c r="AG13" s="66">
        <f t="shared" si="18"/>
        <v>-1760.5227013193016</v>
      </c>
      <c r="AH13" s="66">
        <f t="shared" si="18"/>
        <v>-1959.1946955562244</v>
      </c>
      <c r="AI13" s="66">
        <f t="shared" si="18"/>
        <v>-2177.5828372290775</v>
      </c>
      <c r="AJ13" s="66">
        <f t="shared" si="18"/>
        <v>-2397.2607715428981</v>
      </c>
      <c r="AK13" s="66">
        <f t="shared" si="18"/>
        <v>-2581.3568221497826</v>
      </c>
      <c r="AL13" s="66">
        <f t="shared" ref="AL13" si="19">-AL42-AL43</f>
        <v>-2753.3406320551412</v>
      </c>
      <c r="AM13" s="66">
        <f t="shared" ref="AM13:AN13" si="20">-AM42-AM43</f>
        <v>-2902.0525914774935</v>
      </c>
      <c r="AN13" s="66">
        <f t="shared" si="20"/>
        <v>-3017.6865317572638</v>
      </c>
      <c r="AO13" s="6"/>
      <c r="AP13" s="64">
        <f>(AM13/AC13)^(1/10)-1</f>
        <v>0.13232824243713726</v>
      </c>
      <c r="AQ13" s="64">
        <f>(AC13/Q13)^(1/12)-1</f>
        <v>0.22315627896557388</v>
      </c>
    </row>
    <row r="14" spans="1:43">
      <c r="A14" s="5"/>
      <c r="D14" s="61" t="s">
        <v>97</v>
      </c>
      <c r="G14" s="136"/>
      <c r="H14" s="136"/>
      <c r="I14" s="136"/>
      <c r="J14" s="136"/>
      <c r="K14" s="136"/>
      <c r="L14" s="136">
        <v>0</v>
      </c>
      <c r="M14" s="136">
        <v>0</v>
      </c>
      <c r="N14" s="136">
        <v>0</v>
      </c>
      <c r="O14" s="136">
        <v>0</v>
      </c>
      <c r="P14" s="136">
        <v>0</v>
      </c>
      <c r="Q14" s="136">
        <v>-0.48899999999999999</v>
      </c>
      <c r="R14" s="136">
        <v>-0.48899999999999999</v>
      </c>
      <c r="S14" s="136">
        <v>0</v>
      </c>
      <c r="T14" s="136">
        <v>0</v>
      </c>
      <c r="U14" s="136">
        <v>0</v>
      </c>
      <c r="V14" s="136">
        <v>0</v>
      </c>
      <c r="W14" s="136">
        <v>0</v>
      </c>
      <c r="X14" s="136">
        <v>0</v>
      </c>
      <c r="Y14" s="136">
        <v>0</v>
      </c>
      <c r="Z14" s="136">
        <v>0</v>
      </c>
      <c r="AA14" s="136">
        <v>-12</v>
      </c>
      <c r="AB14" s="136">
        <v>-12</v>
      </c>
      <c r="AC14" s="136">
        <v>0</v>
      </c>
      <c r="AD14" s="136">
        <v>0</v>
      </c>
      <c r="AE14" s="136">
        <v>0</v>
      </c>
      <c r="AF14" s="136">
        <v>0</v>
      </c>
      <c r="AG14" s="136">
        <v>0</v>
      </c>
      <c r="AH14" s="136">
        <v>0</v>
      </c>
      <c r="AI14" s="136">
        <v>0</v>
      </c>
      <c r="AJ14" s="136">
        <v>0</v>
      </c>
      <c r="AK14" s="136">
        <v>0</v>
      </c>
      <c r="AL14" s="136">
        <v>0</v>
      </c>
      <c r="AM14" s="136">
        <v>0</v>
      </c>
      <c r="AN14" s="136">
        <v>0</v>
      </c>
      <c r="AO14" s="6"/>
    </row>
    <row r="15" spans="1:43">
      <c r="A15" s="5"/>
      <c r="D15" s="61" t="s">
        <v>265</v>
      </c>
      <c r="G15" s="136"/>
      <c r="H15" s="136"/>
      <c r="I15" s="136"/>
      <c r="J15" s="136"/>
      <c r="K15" s="136"/>
      <c r="L15" s="136">
        <v>0</v>
      </c>
      <c r="M15" s="136">
        <v>0</v>
      </c>
      <c r="N15" s="136">
        <v>0</v>
      </c>
      <c r="O15" s="136">
        <v>0</v>
      </c>
      <c r="P15" s="136">
        <v>0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X15" s="136">
        <v>9.9</v>
      </c>
      <c r="Y15" s="136">
        <v>68.5</v>
      </c>
      <c r="Z15" s="136">
        <v>45</v>
      </c>
      <c r="AA15" s="136">
        <v>2</v>
      </c>
      <c r="AB15" s="136">
        <v>2</v>
      </c>
      <c r="AC15" s="136">
        <v>0</v>
      </c>
      <c r="AD15" s="136">
        <v>0</v>
      </c>
      <c r="AE15" s="136">
        <v>0</v>
      </c>
      <c r="AF15" s="136">
        <v>0</v>
      </c>
      <c r="AG15" s="136">
        <v>0</v>
      </c>
      <c r="AH15" s="136">
        <v>0</v>
      </c>
      <c r="AI15" s="136">
        <v>0</v>
      </c>
      <c r="AJ15" s="136">
        <v>0</v>
      </c>
      <c r="AK15" s="136">
        <v>0</v>
      </c>
      <c r="AL15" s="136">
        <v>0</v>
      </c>
      <c r="AM15" s="136">
        <v>0</v>
      </c>
      <c r="AN15" s="136">
        <v>0</v>
      </c>
      <c r="AO15" s="6"/>
    </row>
    <row r="16" spans="1:43">
      <c r="A16" s="5"/>
      <c r="D16" s="61" t="s">
        <v>98</v>
      </c>
      <c r="G16" s="136"/>
      <c r="H16" s="136"/>
      <c r="I16" s="136"/>
      <c r="J16" s="136"/>
      <c r="K16" s="136"/>
      <c r="L16" s="136">
        <v>-1.552</v>
      </c>
      <c r="M16" s="136">
        <v>0.59499999999999997</v>
      </c>
      <c r="N16" s="136">
        <v>-2.4660000000000002</v>
      </c>
      <c r="O16" s="136">
        <v>0.45500000000000002</v>
      </c>
      <c r="P16" s="136">
        <v>-2.5680000000000001</v>
      </c>
      <c r="Q16" s="136">
        <v>-4.5259999999999998</v>
      </c>
      <c r="R16" s="136">
        <v>-3.3919999999999999</v>
      </c>
      <c r="S16" s="136">
        <v>-0.82199999999999995</v>
      </c>
      <c r="T16" s="136">
        <v>0.76800000000000002</v>
      </c>
      <c r="U16" s="136">
        <v>-10.528</v>
      </c>
      <c r="V16" s="136">
        <v>15.743</v>
      </c>
      <c r="W16" s="136">
        <v>-25.99</v>
      </c>
      <c r="X16" s="136">
        <v>-8.6</v>
      </c>
      <c r="Y16" s="136">
        <v>3.1</v>
      </c>
      <c r="Z16" s="136">
        <v>-11</v>
      </c>
      <c r="AA16" s="136">
        <v>-2</v>
      </c>
      <c r="AB16" s="136">
        <v>-1</v>
      </c>
      <c r="AC16" s="136">
        <v>98</v>
      </c>
      <c r="AD16" s="136">
        <v>0</v>
      </c>
      <c r="AE16" s="136">
        <v>0</v>
      </c>
      <c r="AF16" s="136">
        <v>0</v>
      </c>
      <c r="AG16" s="136">
        <v>0</v>
      </c>
      <c r="AH16" s="136">
        <v>0</v>
      </c>
      <c r="AI16" s="136">
        <v>0</v>
      </c>
      <c r="AJ16" s="136">
        <v>0</v>
      </c>
      <c r="AK16" s="136">
        <v>0</v>
      </c>
      <c r="AL16" s="136">
        <v>0</v>
      </c>
      <c r="AM16" s="136">
        <v>0</v>
      </c>
      <c r="AN16" s="136">
        <v>0</v>
      </c>
      <c r="AO16" s="6"/>
    </row>
    <row r="17" spans="1:54">
      <c r="A17" s="5"/>
      <c r="D17" s="61" t="s">
        <v>446</v>
      </c>
      <c r="G17" s="136"/>
      <c r="H17" s="136"/>
      <c r="I17" s="136"/>
      <c r="J17" s="136"/>
      <c r="K17" s="136"/>
      <c r="L17" s="136">
        <f>-4.528+0.658-0.109</f>
        <v>-3.9789999999999996</v>
      </c>
      <c r="M17" s="136">
        <f>-10.093-1.97+0.286</f>
        <v>-11.777000000000001</v>
      </c>
      <c r="N17" s="136">
        <f>1.369-0.014</f>
        <v>1.355</v>
      </c>
      <c r="O17" s="136">
        <v>-0.41299999999999998</v>
      </c>
      <c r="P17" s="136">
        <v>-0.996</v>
      </c>
      <c r="Q17" s="136">
        <v>1.7450000000000001</v>
      </c>
      <c r="R17" s="136">
        <v>0</v>
      </c>
      <c r="S17" s="136">
        <v>-0.83899999999999997</v>
      </c>
      <c r="T17" s="136">
        <f>0.78+8.111</f>
        <v>8.891</v>
      </c>
      <c r="U17" s="136">
        <f>0.83+2.246</f>
        <v>3.0760000000000001</v>
      </c>
      <c r="V17" s="136">
        <f>-22.244+1.07</f>
        <v>-21.173999999999999</v>
      </c>
      <c r="W17" s="136">
        <f>-21.635+5.317</f>
        <v>-16.318000000000001</v>
      </c>
      <c r="X17" s="136">
        <v>-49.9</v>
      </c>
      <c r="Y17" s="136">
        <v>-55.2</v>
      </c>
      <c r="Z17" s="136">
        <v>-52</v>
      </c>
      <c r="AA17" s="136">
        <f>-65-3</f>
        <v>-68</v>
      </c>
      <c r="AB17" s="136">
        <f>-132</f>
        <v>-132</v>
      </c>
      <c r="AC17" s="66">
        <f t="shared" ref="AC17:AJ17" ca="1" si="21">IFERROR(AC151,0)</f>
        <v>0</v>
      </c>
      <c r="AD17" s="66">
        <f t="shared" ca="1" si="21"/>
        <v>0</v>
      </c>
      <c r="AE17" s="66">
        <f t="shared" ca="1" si="21"/>
        <v>1.0083505098957601</v>
      </c>
      <c r="AF17" s="66">
        <f t="shared" ca="1" si="21"/>
        <v>22.005897543711129</v>
      </c>
      <c r="AG17" s="66">
        <f t="shared" ca="1" si="21"/>
        <v>85.482789736937647</v>
      </c>
      <c r="AH17" s="66">
        <f t="shared" ca="1" si="21"/>
        <v>177.24059194519245</v>
      </c>
      <c r="AI17" s="66">
        <f t="shared" ca="1" si="21"/>
        <v>299.54230461187797</v>
      </c>
      <c r="AJ17" s="66">
        <f t="shared" ca="1" si="21"/>
        <v>465.84902784193605</v>
      </c>
      <c r="AK17" s="66">
        <f ca="1">IFERROR(AK151,0)</f>
        <v>670.4032304829226</v>
      </c>
      <c r="AL17" s="66">
        <f t="shared" ref="AL17:AN17" ca="1" si="22">IFERROR(AL151,0)</f>
        <v>913.2171838017797</v>
      </c>
      <c r="AM17" s="66">
        <f t="shared" ca="1" si="22"/>
        <v>1193.1253772670234</v>
      </c>
      <c r="AN17" s="66">
        <f t="shared" ca="1" si="22"/>
        <v>1498.7911370140819</v>
      </c>
      <c r="AO17" s="6"/>
    </row>
    <row r="18" spans="1:54" s="3" customFormat="1">
      <c r="A18" s="33"/>
      <c r="D18" s="2" t="s">
        <v>4</v>
      </c>
      <c r="E18" s="2"/>
      <c r="F18" s="2"/>
      <c r="G18" s="7"/>
      <c r="H18" s="7"/>
      <c r="I18" s="7"/>
      <c r="J18" s="7"/>
      <c r="K18" s="7"/>
      <c r="L18" s="7">
        <f t="shared" ref="L18:AK18" si="23">+SUM(L12:L17)</f>
        <v>3.2400000000000033</v>
      </c>
      <c r="M18" s="7">
        <f t="shared" si="23"/>
        <v>-0.37200000000001943</v>
      </c>
      <c r="N18" s="7">
        <f t="shared" si="23"/>
        <v>14.56000000000002</v>
      </c>
      <c r="O18" s="7">
        <f t="shared" si="23"/>
        <v>18.105</v>
      </c>
      <c r="P18" s="7">
        <f t="shared" si="23"/>
        <v>20.16299999999999</v>
      </c>
      <c r="Q18" s="7">
        <f t="shared" si="23"/>
        <v>38.469000000000058</v>
      </c>
      <c r="R18" s="7">
        <f t="shared" si="23"/>
        <v>80.27899999999994</v>
      </c>
      <c r="S18" s="7">
        <f t="shared" si="23"/>
        <v>91.56899999999996</v>
      </c>
      <c r="T18" s="7">
        <f t="shared" si="23"/>
        <v>124.45899999999999</v>
      </c>
      <c r="U18" s="7">
        <f>+SUM(U12:U17)</f>
        <v>167.44800000000004</v>
      </c>
      <c r="V18" s="7">
        <f t="shared" si="23"/>
        <v>259.77800000000019</v>
      </c>
      <c r="W18" s="7">
        <f t="shared" si="23"/>
        <v>297.0780000000002</v>
      </c>
      <c r="X18" s="7">
        <f t="shared" si="23"/>
        <v>342.1</v>
      </c>
      <c r="Y18" s="7">
        <f t="shared" si="23"/>
        <v>494.2999999999999</v>
      </c>
      <c r="Z18" s="7">
        <f t="shared" si="23"/>
        <v>492.5</v>
      </c>
      <c r="AA18" s="7">
        <f t="shared" si="23"/>
        <v>644</v>
      </c>
      <c r="AB18" s="7">
        <f t="shared" ref="AB18" si="24">+SUM(AB12:AB17)</f>
        <v>731</v>
      </c>
      <c r="AC18" s="7">
        <f t="shared" ca="1" si="23"/>
        <v>930.11581412497537</v>
      </c>
      <c r="AD18" s="7">
        <f t="shared" ca="1" si="23"/>
        <v>976.4934753281068</v>
      </c>
      <c r="AE18" s="7">
        <f t="shared" ca="1" si="23"/>
        <v>1184.380301337754</v>
      </c>
      <c r="AF18" s="7">
        <f t="shared" ca="1" si="23"/>
        <v>1481.4760137533933</v>
      </c>
      <c r="AG18" s="7">
        <f t="shared" ca="1" si="23"/>
        <v>1857.4429770458262</v>
      </c>
      <c r="AH18" s="7">
        <f t="shared" ca="1" si="23"/>
        <v>2327.7947077688473</v>
      </c>
      <c r="AI18" s="7">
        <f t="shared" ca="1" si="23"/>
        <v>2857.3705338517693</v>
      </c>
      <c r="AJ18" s="7">
        <f t="shared" ca="1" si="23"/>
        <v>3448.8019493324646</v>
      </c>
      <c r="AK18" s="7">
        <f t="shared" ca="1" si="23"/>
        <v>4144.3251391409485</v>
      </c>
      <c r="AL18" s="7">
        <f t="shared" ref="AL18" ca="1" si="25">+SUM(AL12:AL17)</f>
        <v>4911.0288506818451</v>
      </c>
      <c r="AM18" s="7">
        <f t="shared" ref="AM18:AN18" ca="1" si="26">+SUM(AM12:AM17)</f>
        <v>5747.5829785195083</v>
      </c>
      <c r="AN18" s="7">
        <f t="shared" ca="1" si="26"/>
        <v>6677.4729833073889</v>
      </c>
      <c r="AO18" s="55"/>
      <c r="AP18" s="64">
        <f ca="1">(AM18/AC18)^(1/10)-1</f>
        <v>0.19976122570341026</v>
      </c>
      <c r="AQ18" s="64">
        <f ca="1">(AC18/Q18)^(1/12)-1</f>
        <v>0.30402377925583446</v>
      </c>
    </row>
    <row r="19" spans="1:54">
      <c r="A19" s="5"/>
      <c r="D19" s="61" t="s">
        <v>99</v>
      </c>
      <c r="G19" s="136"/>
      <c r="H19" s="136"/>
      <c r="I19" s="136"/>
      <c r="J19" s="136"/>
      <c r="K19" s="136"/>
      <c r="L19" s="136">
        <v>0</v>
      </c>
      <c r="M19" s="136">
        <v>0</v>
      </c>
      <c r="N19" s="136">
        <v>0</v>
      </c>
      <c r="O19" s="136">
        <v>0</v>
      </c>
      <c r="P19" s="136">
        <v>0</v>
      </c>
      <c r="Q19" s="136">
        <v>1.2410000000000001</v>
      </c>
      <c r="R19" s="136">
        <v>7.2670000000000003</v>
      </c>
      <c r="S19" s="136">
        <v>23.178000000000001</v>
      </c>
      <c r="T19" s="136">
        <v>1.0409999999999999</v>
      </c>
      <c r="U19" s="136">
        <v>4.109</v>
      </c>
      <c r="V19" s="136">
        <v>4.7720000000000002</v>
      </c>
      <c r="W19" s="136">
        <v>10.834</v>
      </c>
      <c r="X19" s="136">
        <v>3.5</v>
      </c>
      <c r="Y19" s="136">
        <v>17</v>
      </c>
      <c r="Z19" s="136">
        <v>4</v>
      </c>
      <c r="AA19" s="136">
        <v>4</v>
      </c>
      <c r="AB19" s="136">
        <v>7</v>
      </c>
      <c r="AC19" s="159">
        <f t="shared" ref="AC19:AN19" si="27">5+AC386</f>
        <v>27.728632258357472</v>
      </c>
      <c r="AD19" s="159">
        <f t="shared" si="27"/>
        <v>5</v>
      </c>
      <c r="AE19" s="159">
        <f t="shared" si="27"/>
        <v>5</v>
      </c>
      <c r="AF19" s="159">
        <f t="shared" si="27"/>
        <v>5</v>
      </c>
      <c r="AG19" s="159">
        <f t="shared" si="27"/>
        <v>5</v>
      </c>
      <c r="AH19" s="159">
        <f t="shared" si="27"/>
        <v>5</v>
      </c>
      <c r="AI19" s="159">
        <f t="shared" si="27"/>
        <v>5</v>
      </c>
      <c r="AJ19" s="159">
        <f t="shared" si="27"/>
        <v>5</v>
      </c>
      <c r="AK19" s="159">
        <f t="shared" si="27"/>
        <v>5</v>
      </c>
      <c r="AL19" s="159">
        <f t="shared" si="27"/>
        <v>5</v>
      </c>
      <c r="AM19" s="159">
        <f t="shared" si="27"/>
        <v>5</v>
      </c>
      <c r="AN19" s="159">
        <f t="shared" si="27"/>
        <v>5</v>
      </c>
      <c r="AO19" s="6"/>
    </row>
    <row r="20" spans="1:54">
      <c r="A20" s="5"/>
      <c r="D20" s="61" t="s">
        <v>100</v>
      </c>
      <c r="G20" s="136"/>
      <c r="H20" s="136"/>
      <c r="I20" s="136"/>
      <c r="J20" s="136"/>
      <c r="K20" s="136"/>
      <c r="L20" s="136">
        <v>0.754</v>
      </c>
      <c r="M20" s="136">
        <v>0.28599999999999998</v>
      </c>
      <c r="N20" s="136">
        <v>0.50800000000000001</v>
      </c>
      <c r="O20" s="136">
        <v>-1.115</v>
      </c>
      <c r="P20" s="136">
        <v>-2.702</v>
      </c>
      <c r="Q20" s="136">
        <v>-5.7830000000000004</v>
      </c>
      <c r="R20" s="136">
        <v>-5.5750000000000002</v>
      </c>
      <c r="S20" s="136">
        <v>-4.0010000000000003</v>
      </c>
      <c r="T20" s="136">
        <v>-7.1239999999999997</v>
      </c>
      <c r="U20" s="136">
        <v>-16.68</v>
      </c>
      <c r="V20" s="136">
        <v>-20.11</v>
      </c>
      <c r="W20" s="136">
        <v>-21.573</v>
      </c>
      <c r="X20" s="136">
        <v>-24.8</v>
      </c>
      <c r="Y20" s="136">
        <v>-25.9</v>
      </c>
      <c r="Z20" s="136">
        <v>-42</v>
      </c>
      <c r="AA20" s="136">
        <v>-46</v>
      </c>
      <c r="AB20" s="136">
        <f>-68-295</f>
        <v>-363</v>
      </c>
      <c r="AC20" s="66">
        <f t="shared" ref="AC20:AN20" si="28">-AC312-AC314</f>
        <v>-118.86304896480456</v>
      </c>
      <c r="AD20" s="66">
        <f t="shared" si="28"/>
        <v>-149.67060360983098</v>
      </c>
      <c r="AE20" s="66">
        <f t="shared" ca="1" si="28"/>
        <v>-167.13922194379043</v>
      </c>
      <c r="AF20" s="66">
        <f t="shared" ca="1" si="28"/>
        <v>-198.82554522765938</v>
      </c>
      <c r="AG20" s="66">
        <f t="shared" ca="1" si="28"/>
        <v>-233.01390020421778</v>
      </c>
      <c r="AH20" s="66">
        <f t="shared" ca="1" si="28"/>
        <v>-268.92845692992637</v>
      </c>
      <c r="AI20" s="66">
        <f t="shared" ca="1" si="28"/>
        <v>-307.05170342282719</v>
      </c>
      <c r="AJ20" s="66">
        <f t="shared" ca="1" si="28"/>
        <v>-346.06665066578023</v>
      </c>
      <c r="AK20" s="66">
        <f t="shared" ca="1" si="28"/>
        <v>-385.24665382267278</v>
      </c>
      <c r="AL20" s="66">
        <f t="shared" si="28"/>
        <v>-428.7223530027469</v>
      </c>
      <c r="AM20" s="66">
        <f t="shared" si="28"/>
        <v>-476.4397866244683</v>
      </c>
      <c r="AN20" s="66">
        <f t="shared" si="28"/>
        <v>-525.67299413301453</v>
      </c>
      <c r="AO20" s="6"/>
    </row>
    <row r="21" spans="1:54" s="3" customFormat="1">
      <c r="A21" s="33"/>
      <c r="D21" s="2" t="s">
        <v>101</v>
      </c>
      <c r="E21" s="2"/>
      <c r="F21" s="2"/>
      <c r="G21" s="7"/>
      <c r="H21" s="7"/>
      <c r="I21" s="7"/>
      <c r="J21" s="7"/>
      <c r="K21" s="7"/>
      <c r="L21" s="7">
        <f t="shared" ref="L21:AK21" si="29">+SUM(L18:L20)</f>
        <v>3.9940000000000033</v>
      </c>
      <c r="M21" s="7">
        <f t="shared" si="29"/>
        <v>-8.600000000001945E-2</v>
      </c>
      <c r="N21" s="7">
        <f t="shared" si="29"/>
        <v>15.068000000000019</v>
      </c>
      <c r="O21" s="7">
        <f t="shared" si="29"/>
        <v>16.990000000000002</v>
      </c>
      <c r="P21" s="7">
        <f t="shared" si="29"/>
        <v>17.460999999999991</v>
      </c>
      <c r="Q21" s="7">
        <f t="shared" si="29"/>
        <v>33.927000000000056</v>
      </c>
      <c r="R21" s="7">
        <f t="shared" si="29"/>
        <v>81.970999999999933</v>
      </c>
      <c r="S21" s="7">
        <f t="shared" si="29"/>
        <v>110.74599999999995</v>
      </c>
      <c r="T21" s="7">
        <f t="shared" si="29"/>
        <v>118.37599999999999</v>
      </c>
      <c r="U21" s="7">
        <f t="shared" si="29"/>
        <v>154.87700000000004</v>
      </c>
      <c r="V21" s="7">
        <f t="shared" si="29"/>
        <v>244.44000000000017</v>
      </c>
      <c r="W21" s="7">
        <f t="shared" si="29"/>
        <v>286.33900000000023</v>
      </c>
      <c r="X21" s="7">
        <f t="shared" si="29"/>
        <v>320.8</v>
      </c>
      <c r="Y21" s="7">
        <f t="shared" si="29"/>
        <v>485.39999999999992</v>
      </c>
      <c r="Z21" s="7">
        <f t="shared" si="29"/>
        <v>454.5</v>
      </c>
      <c r="AA21" s="7">
        <f t="shared" si="29"/>
        <v>602</v>
      </c>
      <c r="AB21" s="7">
        <f t="shared" ref="AB21" si="30">+SUM(AB18:AB20)</f>
        <v>375</v>
      </c>
      <c r="AC21" s="7">
        <f t="shared" ca="1" si="29"/>
        <v>838.98139741852833</v>
      </c>
      <c r="AD21" s="7">
        <f t="shared" ca="1" si="29"/>
        <v>831.82287171827579</v>
      </c>
      <c r="AE21" s="7">
        <f t="shared" ca="1" si="29"/>
        <v>1022.2410793939636</v>
      </c>
      <c r="AF21" s="7">
        <f t="shared" ca="1" si="29"/>
        <v>1287.6504685257339</v>
      </c>
      <c r="AG21" s="7">
        <f t="shared" ca="1" si="29"/>
        <v>1629.4290768416083</v>
      </c>
      <c r="AH21" s="7">
        <f t="shared" ca="1" si="29"/>
        <v>2063.8662508389207</v>
      </c>
      <c r="AI21" s="7">
        <f t="shared" ca="1" si="29"/>
        <v>2555.318830428942</v>
      </c>
      <c r="AJ21" s="7">
        <f t="shared" ca="1" si="29"/>
        <v>3107.7352986666842</v>
      </c>
      <c r="AK21" s="7">
        <f t="shared" ca="1" si="29"/>
        <v>3764.0784853182759</v>
      </c>
      <c r="AL21" s="7">
        <f t="shared" ref="AL21" ca="1" si="31">+SUM(AL18:AL20)</f>
        <v>4487.3064976790984</v>
      </c>
      <c r="AM21" s="7">
        <f t="shared" ref="AM21:AN21" ca="1" si="32">+SUM(AM18:AM20)</f>
        <v>5276.1431918950402</v>
      </c>
      <c r="AN21" s="7">
        <f t="shared" ca="1" si="32"/>
        <v>6156.7999891743748</v>
      </c>
      <c r="AO21" s="55"/>
      <c r="AP21" s="64">
        <f ca="1">(AM21/AC21)^(1/10)-1</f>
        <v>0.20186703714806442</v>
      </c>
      <c r="AQ21" s="64">
        <f ca="1">(AC21/Q21)^(1/12)-1</f>
        <v>0.30647340260860112</v>
      </c>
      <c r="AR21" s="6"/>
      <c r="AS21" s="6"/>
      <c r="AT21"/>
      <c r="AU21"/>
      <c r="AV21"/>
      <c r="AW21"/>
      <c r="AX21"/>
      <c r="AY21"/>
      <c r="AZ21"/>
      <c r="BA21"/>
      <c r="BB21"/>
    </row>
    <row r="22" spans="1:54">
      <c r="A22" s="5"/>
      <c r="D22" s="61" t="s">
        <v>102</v>
      </c>
      <c r="G22" s="67"/>
      <c r="H22" s="67"/>
      <c r="I22" s="67"/>
      <c r="J22" s="67"/>
      <c r="K22" s="67"/>
      <c r="L22" s="67">
        <v>-3.335</v>
      </c>
      <c r="M22" s="67">
        <v>-1.421</v>
      </c>
      <c r="N22" s="67">
        <v>-4.2729999999999997</v>
      </c>
      <c r="O22" s="67">
        <v>-5.181</v>
      </c>
      <c r="P22" s="67">
        <v>-15.635</v>
      </c>
      <c r="Q22" s="67">
        <v>-16.960999999999999</v>
      </c>
      <c r="R22" s="67">
        <v>-18.614999999999998</v>
      </c>
      <c r="S22" s="67">
        <v>-23.626000000000001</v>
      </c>
      <c r="T22" s="67">
        <v>-22.527999999999999</v>
      </c>
      <c r="U22" s="67">
        <v>-51.542000000000002</v>
      </c>
      <c r="V22" s="67">
        <v>-63.45</v>
      </c>
      <c r="W22" s="67">
        <v>-84.942999999999998</v>
      </c>
      <c r="X22" s="67">
        <v>-106.5</v>
      </c>
      <c r="Y22" s="67">
        <v>-126.6</v>
      </c>
      <c r="Z22" s="67">
        <v>-164</v>
      </c>
      <c r="AA22" s="67">
        <v>-221</v>
      </c>
      <c r="AB22" s="67">
        <v>-257</v>
      </c>
      <c r="AC22" s="63">
        <f t="shared" ref="AC22:AK22" ca="1" si="33">+AC21*-AC23</f>
        <v>-377.54162883833777</v>
      </c>
      <c r="AD22" s="63">
        <f t="shared" ca="1" si="33"/>
        <v>-207.95571792956895</v>
      </c>
      <c r="AE22" s="63">
        <f t="shared" ca="1" si="33"/>
        <v>-255.56026984849089</v>
      </c>
      <c r="AF22" s="63">
        <f t="shared" ca="1" si="33"/>
        <v>-321.91261713143348</v>
      </c>
      <c r="AG22" s="63">
        <f t="shared" ca="1" si="33"/>
        <v>-407.35726921040208</v>
      </c>
      <c r="AH22" s="63">
        <f t="shared" ca="1" si="33"/>
        <v>-515.96656270973017</v>
      </c>
      <c r="AI22" s="63">
        <f t="shared" ca="1" si="33"/>
        <v>-638.82970760723549</v>
      </c>
      <c r="AJ22" s="63">
        <f t="shared" ca="1" si="33"/>
        <v>-776.93382466667106</v>
      </c>
      <c r="AK22" s="63">
        <f t="shared" ca="1" si="33"/>
        <v>-941.01962132956896</v>
      </c>
      <c r="AL22" s="63">
        <f t="shared" ref="AL22" ca="1" si="34">+AL21*-AL23</f>
        <v>-1121.8266244197746</v>
      </c>
      <c r="AM22" s="63">
        <f t="shared" ref="AM22:AN22" ca="1" si="35">+AM21*-AM23</f>
        <v>-1319.0357979737601</v>
      </c>
      <c r="AN22" s="63">
        <f t="shared" ca="1" si="35"/>
        <v>-1539.1999972935937</v>
      </c>
      <c r="AO22" s="6"/>
    </row>
    <row r="23" spans="1:54">
      <c r="A23" s="33"/>
      <c r="D23" s="68" t="s">
        <v>103</v>
      </c>
      <c r="G23" s="69"/>
      <c r="H23" s="69"/>
      <c r="I23" s="69"/>
      <c r="J23" s="69"/>
      <c r="K23" s="69"/>
      <c r="L23" s="69">
        <f t="shared" ref="L23:AB23" si="36">IFERROR(-L22/L$171,"na")</f>
        <v>1.0293209876543199</v>
      </c>
      <c r="M23" s="69">
        <f t="shared" si="36"/>
        <v>-3.8198924731180801</v>
      </c>
      <c r="N23" s="69">
        <f t="shared" si="36"/>
        <v>0.29347527472527429</v>
      </c>
      <c r="O23" s="69">
        <f t="shared" si="36"/>
        <v>0.28616404308202154</v>
      </c>
      <c r="P23" s="69">
        <f t="shared" si="36"/>
        <v>0.77543024351535028</v>
      </c>
      <c r="Q23" s="69">
        <f t="shared" si="36"/>
        <v>0.44090046530972921</v>
      </c>
      <c r="R23" s="69">
        <f t="shared" si="36"/>
        <v>0.23187882260616116</v>
      </c>
      <c r="S23" s="69">
        <f t="shared" si="36"/>
        <v>0.25801308303028331</v>
      </c>
      <c r="T23" s="69">
        <f t="shared" si="36"/>
        <v>0.18100740002731824</v>
      </c>
      <c r="U23" s="69">
        <f t="shared" si="36"/>
        <v>0.30780899144809132</v>
      </c>
      <c r="V23" s="69">
        <f t="shared" si="36"/>
        <v>0.24424701090931472</v>
      </c>
      <c r="W23" s="69">
        <f t="shared" si="36"/>
        <v>0.28592827472919552</v>
      </c>
      <c r="X23" s="69">
        <f t="shared" si="36"/>
        <v>0.31131248173048814</v>
      </c>
      <c r="Y23" s="69">
        <f t="shared" si="36"/>
        <v>0.25611976532470165</v>
      </c>
      <c r="Z23" s="69">
        <f t="shared" si="36"/>
        <v>0.332994923857868</v>
      </c>
      <c r="AA23" s="69">
        <f t="shared" si="36"/>
        <v>0.34316770186335405</v>
      </c>
      <c r="AB23" s="69">
        <f t="shared" si="36"/>
        <v>0.35157318741450067</v>
      </c>
      <c r="AC23" s="70">
        <v>0.45</v>
      </c>
      <c r="AD23" s="70">
        <v>0.25</v>
      </c>
      <c r="AE23" s="70">
        <v>0.25</v>
      </c>
      <c r="AF23" s="70">
        <v>0.25</v>
      </c>
      <c r="AG23" s="70">
        <v>0.25</v>
      </c>
      <c r="AH23" s="70">
        <v>0.25</v>
      </c>
      <c r="AI23" s="70">
        <v>0.25</v>
      </c>
      <c r="AJ23" s="70">
        <v>0.25</v>
      </c>
      <c r="AK23" s="70">
        <v>0.25</v>
      </c>
      <c r="AL23" s="70">
        <v>0.25</v>
      </c>
      <c r="AM23" s="70">
        <v>0.25</v>
      </c>
      <c r="AN23" s="70">
        <v>0.25</v>
      </c>
      <c r="AO23" s="6"/>
    </row>
    <row r="24" spans="1:54" s="61" customFormat="1">
      <c r="A24" s="166"/>
      <c r="D24" s="61" t="s">
        <v>104</v>
      </c>
      <c r="G24" s="67"/>
      <c r="H24" s="67"/>
      <c r="I24" s="67"/>
      <c r="J24" s="67"/>
      <c r="K24" s="67"/>
      <c r="L24" s="67">
        <v>-0.13800000000000001</v>
      </c>
      <c r="M24" s="67">
        <v>0.27100000000000002</v>
      </c>
      <c r="N24" s="67">
        <v>0.315</v>
      </c>
      <c r="O24" s="67">
        <v>3.1850000000000001</v>
      </c>
      <c r="P24" s="67">
        <v>8.3979999999999997</v>
      </c>
      <c r="Q24" s="67">
        <v>12.564</v>
      </c>
      <c r="R24" s="67">
        <v>93.817999999999998</v>
      </c>
      <c r="S24" s="67">
        <v>5.5759999999999996</v>
      </c>
      <c r="T24" s="67">
        <v>-2.5870000000000002</v>
      </c>
      <c r="U24" s="67">
        <v>-0.23100000000000001</v>
      </c>
      <c r="V24" s="67">
        <v>-3.601</v>
      </c>
      <c r="W24" s="67">
        <v>5.3280000000000003</v>
      </c>
      <c r="X24" s="67">
        <v>7.6</v>
      </c>
      <c r="Y24" s="67">
        <v>20.5</v>
      </c>
      <c r="Z24" s="67">
        <v>41</v>
      </c>
      <c r="AA24" s="67">
        <v>55</v>
      </c>
      <c r="AB24" s="67">
        <v>51</v>
      </c>
      <c r="AC24" s="63">
        <f t="shared" ref="AC24:AK24" ca="1" si="37">+AC21*-AC25</f>
        <v>209.74534935463208</v>
      </c>
      <c r="AD24" s="63">
        <f t="shared" ca="1" si="37"/>
        <v>0</v>
      </c>
      <c r="AE24" s="63">
        <f t="shared" ca="1" si="37"/>
        <v>0</v>
      </c>
      <c r="AF24" s="63">
        <f t="shared" ca="1" si="37"/>
        <v>0</v>
      </c>
      <c r="AG24" s="63">
        <f t="shared" ca="1" si="37"/>
        <v>0</v>
      </c>
      <c r="AH24" s="63">
        <f t="shared" ca="1" si="37"/>
        <v>0</v>
      </c>
      <c r="AI24" s="63">
        <f t="shared" ca="1" si="37"/>
        <v>0</v>
      </c>
      <c r="AJ24" s="63">
        <f t="shared" ca="1" si="37"/>
        <v>0</v>
      </c>
      <c r="AK24" s="63">
        <f t="shared" ca="1" si="37"/>
        <v>0</v>
      </c>
      <c r="AL24" s="63">
        <f t="shared" ref="AL24" ca="1" si="38">+AL21*-AL25</f>
        <v>0</v>
      </c>
      <c r="AM24" s="63">
        <f t="shared" ref="AM24:AN24" ca="1" si="39">+AM21*-AM25</f>
        <v>0</v>
      </c>
      <c r="AN24" s="63">
        <f t="shared" ca="1" si="39"/>
        <v>0</v>
      </c>
      <c r="AO24" s="71"/>
    </row>
    <row r="25" spans="1:54" s="61" customFormat="1">
      <c r="A25" s="33"/>
      <c r="D25" s="68" t="s">
        <v>105</v>
      </c>
      <c r="G25" s="69"/>
      <c r="H25" s="69"/>
      <c r="I25" s="69"/>
      <c r="J25" s="69"/>
      <c r="K25" s="69"/>
      <c r="L25" s="69">
        <f t="shared" ref="L25:AB25" si="40">IFERROR(-L24/L$171,"na")</f>
        <v>4.259259259259255E-2</v>
      </c>
      <c r="M25" s="69">
        <f t="shared" si="40"/>
        <v>0.72849462365587603</v>
      </c>
      <c r="N25" s="69">
        <f t="shared" si="40"/>
        <v>-2.1634615384615356E-2</v>
      </c>
      <c r="O25" s="69">
        <f t="shared" si="40"/>
        <v>-0.17591825462579397</v>
      </c>
      <c r="P25" s="69">
        <f t="shared" si="40"/>
        <v>-0.41650548033526774</v>
      </c>
      <c r="Q25" s="69">
        <f t="shared" si="40"/>
        <v>-0.3266006394759412</v>
      </c>
      <c r="R25" s="69">
        <f t="shared" si="40"/>
        <v>-1.1686493354426446</v>
      </c>
      <c r="S25" s="69">
        <f t="shared" si="40"/>
        <v>-6.0893970666928789E-2</v>
      </c>
      <c r="T25" s="69">
        <f t="shared" si="40"/>
        <v>2.0785961641986522E-2</v>
      </c>
      <c r="U25" s="69">
        <f t="shared" si="40"/>
        <v>1.3795327504658159E-3</v>
      </c>
      <c r="V25" s="69">
        <f t="shared" si="40"/>
        <v>1.3861835875247317E-2</v>
      </c>
      <c r="W25" s="69">
        <f t="shared" si="40"/>
        <v>-1.7934683820410791E-2</v>
      </c>
      <c r="X25" s="69">
        <f t="shared" si="40"/>
        <v>-2.22157263957907E-2</v>
      </c>
      <c r="Y25" s="69">
        <f t="shared" si="40"/>
        <v>-4.1472789803762906E-2</v>
      </c>
      <c r="Z25" s="69">
        <f t="shared" si="40"/>
        <v>-8.3248730964466999E-2</v>
      </c>
      <c r="AA25" s="69">
        <f t="shared" si="40"/>
        <v>-8.5403726708074529E-2</v>
      </c>
      <c r="AB25" s="69">
        <f t="shared" si="40"/>
        <v>-6.9767441860465115E-2</v>
      </c>
      <c r="AC25" s="70">
        <v>-0.25</v>
      </c>
      <c r="AD25" s="70">
        <f>0.25-AD23</f>
        <v>0</v>
      </c>
      <c r="AE25" s="70">
        <f t="shared" ref="AE25:AN25" si="41">0.25-AE23</f>
        <v>0</v>
      </c>
      <c r="AF25" s="70">
        <f t="shared" si="41"/>
        <v>0</v>
      </c>
      <c r="AG25" s="70">
        <f t="shared" si="41"/>
        <v>0</v>
      </c>
      <c r="AH25" s="70">
        <f t="shared" si="41"/>
        <v>0</v>
      </c>
      <c r="AI25" s="70">
        <f t="shared" si="41"/>
        <v>0</v>
      </c>
      <c r="AJ25" s="70">
        <f t="shared" si="41"/>
        <v>0</v>
      </c>
      <c r="AK25" s="70">
        <f t="shared" si="41"/>
        <v>0</v>
      </c>
      <c r="AL25" s="70">
        <f t="shared" si="41"/>
        <v>0</v>
      </c>
      <c r="AM25" s="70">
        <f t="shared" si="41"/>
        <v>0</v>
      </c>
      <c r="AN25" s="70">
        <f t="shared" si="41"/>
        <v>0</v>
      </c>
      <c r="AO25" s="71"/>
    </row>
    <row r="26" spans="1:54" s="3" customFormat="1">
      <c r="A26" s="33"/>
      <c r="D26" s="2" t="s">
        <v>106</v>
      </c>
      <c r="E26" s="2"/>
      <c r="F26" s="2"/>
      <c r="G26" s="7"/>
      <c r="H26" s="7"/>
      <c r="I26" s="7"/>
      <c r="J26" s="7"/>
      <c r="K26" s="7"/>
      <c r="L26" s="7">
        <f t="shared" ref="L26:AK26" si="42">+L21+L22+L24</f>
        <v>0.52100000000000335</v>
      </c>
      <c r="M26" s="7">
        <f t="shared" si="42"/>
        <v>-1.2360000000000193</v>
      </c>
      <c r="N26" s="7">
        <f t="shared" si="42"/>
        <v>11.110000000000019</v>
      </c>
      <c r="O26" s="7">
        <f t="shared" si="42"/>
        <v>14.994000000000002</v>
      </c>
      <c r="P26" s="7">
        <f t="shared" si="42"/>
        <v>10.223999999999991</v>
      </c>
      <c r="Q26" s="7">
        <f t="shared" si="42"/>
        <v>29.530000000000058</v>
      </c>
      <c r="R26" s="7">
        <f t="shared" si="42"/>
        <v>157.17399999999992</v>
      </c>
      <c r="S26" s="7">
        <f t="shared" si="42"/>
        <v>92.695999999999941</v>
      </c>
      <c r="T26" s="7">
        <f t="shared" si="42"/>
        <v>93.260999999999981</v>
      </c>
      <c r="U26" s="7">
        <f t="shared" si="42"/>
        <v>103.10400000000004</v>
      </c>
      <c r="V26" s="7">
        <f t="shared" si="42"/>
        <v>177.38900000000018</v>
      </c>
      <c r="W26" s="7">
        <f t="shared" si="42"/>
        <v>206.72400000000025</v>
      </c>
      <c r="X26" s="7">
        <f t="shared" si="42"/>
        <v>221.9</v>
      </c>
      <c r="Y26" s="7">
        <f t="shared" si="42"/>
        <v>379.29999999999995</v>
      </c>
      <c r="Z26" s="7">
        <f t="shared" si="42"/>
        <v>331.5</v>
      </c>
      <c r="AA26" s="7">
        <f t="shared" ref="AA26:AB26" si="43">+AA21+AA22+AA24</f>
        <v>436</v>
      </c>
      <c r="AB26" s="7">
        <f t="shared" si="43"/>
        <v>169</v>
      </c>
      <c r="AC26" s="7">
        <f t="shared" ca="1" si="42"/>
        <v>671.18511793482264</v>
      </c>
      <c r="AD26" s="7">
        <f t="shared" ca="1" si="42"/>
        <v>623.8671537887069</v>
      </c>
      <c r="AE26" s="7">
        <f t="shared" ca="1" si="42"/>
        <v>766.6808095454727</v>
      </c>
      <c r="AF26" s="7">
        <f t="shared" ca="1" si="42"/>
        <v>965.73785139430038</v>
      </c>
      <c r="AG26" s="7">
        <f t="shared" ca="1" si="42"/>
        <v>1222.0718076312062</v>
      </c>
      <c r="AH26" s="7">
        <f t="shared" ca="1" si="42"/>
        <v>1547.8996881291905</v>
      </c>
      <c r="AI26" s="7">
        <f t="shared" ca="1" si="42"/>
        <v>1916.4891228217066</v>
      </c>
      <c r="AJ26" s="7">
        <f t="shared" ca="1" si="42"/>
        <v>2330.8014740000131</v>
      </c>
      <c r="AK26" s="7">
        <f t="shared" ca="1" si="42"/>
        <v>2823.0588639887069</v>
      </c>
      <c r="AL26" s="7">
        <f t="shared" ref="AL26" ca="1" si="44">+AL21+AL22+AL24</f>
        <v>3365.4798732593235</v>
      </c>
      <c r="AM26" s="7">
        <f t="shared" ref="AM26:AN26" ca="1" si="45">+AM21+AM22+AM24</f>
        <v>3957.1073939212802</v>
      </c>
      <c r="AN26" s="7">
        <f t="shared" ca="1" si="45"/>
        <v>4617.5999918807811</v>
      </c>
      <c r="AO26" s="55"/>
      <c r="AP26" s="64">
        <f ca="1">(AM26/AC26)^(1/10)-1</f>
        <v>0.19413534147696687</v>
      </c>
      <c r="AQ26" s="64">
        <f ca="1">(AC26/Q26)^(1/12)-1</f>
        <v>0.29732336325228403</v>
      </c>
    </row>
    <row r="27" spans="1:54">
      <c r="A27" s="5"/>
      <c r="D27" t="s">
        <v>94</v>
      </c>
      <c r="G27" s="6"/>
      <c r="H27" s="6"/>
      <c r="I27" s="6"/>
      <c r="J27" s="6"/>
      <c r="K27" s="6"/>
      <c r="L27" s="69">
        <f t="shared" ref="L27:O27" si="46">+L12/L7</f>
        <v>0.14203988824518332</v>
      </c>
      <c r="M27" s="69">
        <f t="shared" si="46"/>
        <v>0.14634250494640791</v>
      </c>
      <c r="N27" s="69">
        <f t="shared" si="46"/>
        <v>0.16933376676281675</v>
      </c>
      <c r="O27" s="69">
        <f t="shared" si="46"/>
        <v>0.19465588808345335</v>
      </c>
      <c r="P27" s="69">
        <f t="shared" ref="P27:W27" si="47">+P12/P7</f>
        <v>0.20122847878704844</v>
      </c>
      <c r="Q27" s="69">
        <f t="shared" si="47"/>
        <v>0.18363474324292359</v>
      </c>
      <c r="R27" s="69">
        <f t="shared" si="47"/>
        <v>0.21811594109196328</v>
      </c>
      <c r="S27" s="69">
        <f t="shared" si="47"/>
        <v>0.20860540783125767</v>
      </c>
      <c r="T27" s="69">
        <f t="shared" si="47"/>
        <v>0.20135447637925338</v>
      </c>
      <c r="U27" s="169">
        <f t="shared" si="47"/>
        <v>0.21841490445096748</v>
      </c>
      <c r="V27" s="169">
        <f t="shared" si="47"/>
        <v>0.25170360369230643</v>
      </c>
      <c r="W27" s="169">
        <f t="shared" si="47"/>
        <v>0.2599358331851041</v>
      </c>
      <c r="X27" s="169">
        <f t="shared" ref="X27:AB27" si="48">+X12/X7</f>
        <v>0.25965959506332181</v>
      </c>
      <c r="Y27" s="169">
        <f t="shared" si="48"/>
        <v>0.25610274174046593</v>
      </c>
      <c r="Z27" s="169">
        <f t="shared" si="48"/>
        <v>0.26751683622295458</v>
      </c>
      <c r="AA27" s="169">
        <f t="shared" si="48"/>
        <v>0.31040564373897706</v>
      </c>
      <c r="AB27" s="169">
        <f t="shared" si="48"/>
        <v>0.29626003524574113</v>
      </c>
      <c r="AC27" s="169">
        <f>+AC12/AC7</f>
        <v>0.25528914546337439</v>
      </c>
      <c r="AD27" s="69">
        <f t="shared" ref="AD27:AN27" si="49">+AD12/AD7</f>
        <v>0.26819491901625109</v>
      </c>
      <c r="AE27" s="69">
        <f t="shared" si="49"/>
        <v>0.27225251651043286</v>
      </c>
      <c r="AF27" s="69">
        <f t="shared" si="49"/>
        <v>0.27596656838141181</v>
      </c>
      <c r="AG27" s="69">
        <f t="shared" si="49"/>
        <v>0.27909437753831845</v>
      </c>
      <c r="AH27" s="69">
        <f t="shared" si="49"/>
        <v>0.28183667057325279</v>
      </c>
      <c r="AI27" s="69">
        <f t="shared" si="49"/>
        <v>0.2842602585805038</v>
      </c>
      <c r="AJ27" s="69">
        <f t="shared" si="49"/>
        <v>0.28638959004591991</v>
      </c>
      <c r="AK27" s="69">
        <f t="shared" si="49"/>
        <v>0.28830096916633979</v>
      </c>
      <c r="AL27" s="69">
        <f t="shared" si="49"/>
        <v>0.29002615488303091</v>
      </c>
      <c r="AM27" s="69">
        <f t="shared" si="49"/>
        <v>0.2915907491900423</v>
      </c>
      <c r="AN27" s="69">
        <f t="shared" si="49"/>
        <v>0.29303487212561846</v>
      </c>
      <c r="AO27" s="6"/>
    </row>
    <row r="28" spans="1:54">
      <c r="A28" s="5"/>
      <c r="D28" t="s">
        <v>176</v>
      </c>
      <c r="G28" s="6"/>
      <c r="H28" s="6"/>
      <c r="I28" s="6"/>
      <c r="J28" s="6"/>
      <c r="K28" s="6"/>
      <c r="L28" s="69">
        <f>+L18/L7</f>
        <v>1.9593376954802212E-2</v>
      </c>
      <c r="M28" s="69">
        <f t="shared" ref="M28:AN28" si="50">+M18/M7</f>
        <v>-1.7650491793945666E-3</v>
      </c>
      <c r="N28" s="69">
        <f t="shared" si="50"/>
        <v>5.9912024787777365E-2</v>
      </c>
      <c r="O28" s="69">
        <f t="shared" si="50"/>
        <v>5.4775331889196817E-2</v>
      </c>
      <c r="P28" s="69">
        <f t="shared" si="50"/>
        <v>4.6040553500479496E-2</v>
      </c>
      <c r="Q28" s="69">
        <f t="shared" si="50"/>
        <v>6.0680005994021839E-2</v>
      </c>
      <c r="R28" s="69">
        <f t="shared" si="50"/>
        <v>0.1038080225928794</v>
      </c>
      <c r="S28" s="69">
        <f t="shared" si="50"/>
        <v>0.10273645237293837</v>
      </c>
      <c r="T28" s="69">
        <f t="shared" si="50"/>
        <v>0.10279071688140072</v>
      </c>
      <c r="U28" s="69">
        <f t="shared" si="50"/>
        <v>0.10031030971065719</v>
      </c>
      <c r="V28" s="69">
        <f t="shared" si="50"/>
        <v>0.14131356589126212</v>
      </c>
      <c r="W28" s="69">
        <f t="shared" si="50"/>
        <v>0.13979575414830278</v>
      </c>
      <c r="X28" s="69">
        <f t="shared" si="50"/>
        <v>0.13797692990239574</v>
      </c>
      <c r="Y28" s="69">
        <f t="shared" si="50"/>
        <v>0.16153066893238779</v>
      </c>
      <c r="Z28" s="69">
        <f t="shared" si="50"/>
        <v>0.14113769881071786</v>
      </c>
      <c r="AA28" s="69">
        <f t="shared" si="50"/>
        <v>0.16225749559082892</v>
      </c>
      <c r="AB28" s="69">
        <f t="shared" si="50"/>
        <v>0.14313687096142549</v>
      </c>
      <c r="AC28" s="69">
        <f t="shared" ca="1" si="50"/>
        <v>0.14221791250482224</v>
      </c>
      <c r="AD28" s="69">
        <f t="shared" ca="1" si="50"/>
        <v>0.12566419573407123</v>
      </c>
      <c r="AE28" s="69">
        <f t="shared" ca="1" si="50"/>
        <v>0.12843502088889783</v>
      </c>
      <c r="AF28" s="69">
        <f t="shared" ca="1" si="50"/>
        <v>0.13598258508636879</v>
      </c>
      <c r="AG28" s="69">
        <f t="shared" ca="1" si="50"/>
        <v>0.14675283867909772</v>
      </c>
      <c r="AH28" s="69">
        <f t="shared" ca="1" si="50"/>
        <v>0.15963455197042409</v>
      </c>
      <c r="AI28" s="69">
        <f t="shared" ca="1" si="50"/>
        <v>0.17152405048093808</v>
      </c>
      <c r="AJ28" s="69">
        <f t="shared" ca="1" si="50"/>
        <v>0.18358025029708749</v>
      </c>
      <c r="AK28" s="69">
        <f t="shared" ca="1" si="50"/>
        <v>0.19731758144771094</v>
      </c>
      <c r="AL28" s="69">
        <f t="shared" ca="1" si="50"/>
        <v>0.21097536405859652</v>
      </c>
      <c r="AM28" s="69">
        <f t="shared" ca="1" si="50"/>
        <v>0.22476225250418952</v>
      </c>
      <c r="AN28" s="69">
        <f t="shared" ca="1" si="50"/>
        <v>0.23873163717552956</v>
      </c>
      <c r="AO28" s="6"/>
    </row>
    <row r="29" spans="1:54">
      <c r="A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59"/>
      <c r="T29" s="6"/>
      <c r="U29" s="6"/>
      <c r="V29" s="6"/>
      <c r="W29" s="6"/>
      <c r="X29" s="6"/>
      <c r="Y29" s="167"/>
      <c r="Z29" s="75"/>
      <c r="AA29" s="57"/>
      <c r="AB29" s="57"/>
      <c r="AC29" s="66"/>
      <c r="AD29" s="66"/>
      <c r="AE29" s="57"/>
      <c r="AF29" s="57"/>
      <c r="AG29" s="57"/>
      <c r="AH29" s="57"/>
      <c r="AI29" s="57"/>
      <c r="AJ29" s="57"/>
      <c r="AK29" s="57"/>
      <c r="AL29" s="213"/>
      <c r="AM29" s="215"/>
      <c r="AN29" s="57"/>
      <c r="AO29" s="6"/>
    </row>
    <row r="30" spans="1:54">
      <c r="A30" s="5"/>
      <c r="D30" s="61" t="s">
        <v>234</v>
      </c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>
        <v>94.274000000000001</v>
      </c>
      <c r="R30" s="136">
        <v>100.651</v>
      </c>
      <c r="S30" s="136">
        <v>105.5</v>
      </c>
      <c r="T30" s="136">
        <v>148.4</v>
      </c>
      <c r="U30" s="136">
        <v>221.9</v>
      </c>
      <c r="V30" s="136">
        <v>213.6</v>
      </c>
      <c r="W30" s="136">
        <v>237.9</v>
      </c>
      <c r="X30" s="136">
        <v>270.10000000000002</v>
      </c>
      <c r="Y30" s="136">
        <v>341</v>
      </c>
      <c r="Z30" s="136">
        <v>385</v>
      </c>
      <c r="AA30" s="136">
        <v>431</v>
      </c>
      <c r="AB30" s="136">
        <v>558</v>
      </c>
      <c r="AC30" s="66">
        <f>+'Regression Analysis'!O5</f>
        <v>802.0378909656182</v>
      </c>
      <c r="AD30" s="66">
        <f>+'Regression Analysis'!P5</f>
        <v>929.74985071214712</v>
      </c>
      <c r="AE30" s="66">
        <f>+'Regression Analysis'!Q5</f>
        <v>1080.3342199169701</v>
      </c>
      <c r="AF30" s="66">
        <f>+'Regression Analysis'!R5</f>
        <v>1253.9579161289553</v>
      </c>
      <c r="AG30" s="66">
        <f>+'Regression Analysis'!S5</f>
        <v>1436.8571921201087</v>
      </c>
      <c r="AH30" s="66">
        <f>+'Regression Analysis'!T5</f>
        <v>1636.644757949389</v>
      </c>
      <c r="AI30" s="66">
        <f>+'Regression Analysis'!U5</f>
        <v>1852.1674993688155</v>
      </c>
      <c r="AJ30" s="66">
        <f>+'Regression Analysis'!V5</f>
        <v>2072.976373526948</v>
      </c>
      <c r="AK30" s="66">
        <f>+'Regression Analysis'!W5</f>
        <v>2303.0581824725687</v>
      </c>
      <c r="AL30" s="66">
        <f>+'Regression Analysis'!X5</f>
        <v>2539.1004669061504</v>
      </c>
      <c r="AM30" s="66">
        <f>+'Regression Analysis'!Y5</f>
        <v>2777.1857831882417</v>
      </c>
      <c r="AN30" s="66">
        <f>+'Regression Analysis'!Z5</f>
        <v>3026.136305640543</v>
      </c>
      <c r="AO30" s="6"/>
      <c r="AP30" s="64">
        <f t="shared" ref="AP30:AP44" si="51">(AM30/AC30)^(1/10)-1</f>
        <v>0.13224654651410095</v>
      </c>
      <c r="AQ30" s="64">
        <f t="shared" ref="AQ30:AQ44" si="52">(AC30/Q30)^(1/12)-1</f>
        <v>0.1953183298369181</v>
      </c>
      <c r="AT30" s="56"/>
      <c r="AU30" s="6"/>
      <c r="AV30" s="6"/>
    </row>
    <row r="31" spans="1:54">
      <c r="A31" s="5"/>
      <c r="D31" s="61" t="s">
        <v>266</v>
      </c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>
        <v>67.713999999999999</v>
      </c>
      <c r="R31" s="136">
        <v>76.683000000000007</v>
      </c>
      <c r="S31" s="136">
        <v>94.1</v>
      </c>
      <c r="T31" s="136">
        <v>121.4</v>
      </c>
      <c r="U31" s="136">
        <v>157.19999999999999</v>
      </c>
      <c r="V31" s="136">
        <v>176.5</v>
      </c>
      <c r="W31" s="136">
        <v>213.8</v>
      </c>
      <c r="X31" s="136">
        <v>251.4</v>
      </c>
      <c r="Y31" s="136">
        <v>326.7</v>
      </c>
      <c r="Z31" s="136">
        <v>371</v>
      </c>
      <c r="AA31" s="136">
        <v>402</v>
      </c>
      <c r="AB31" s="136">
        <v>539</v>
      </c>
      <c r="AC31" s="66">
        <f>+'Regression Analysis'!O6</f>
        <v>675.45769213245353</v>
      </c>
      <c r="AD31" s="66">
        <f>+'Regression Analysis'!P6</f>
        <v>805.83252934369852</v>
      </c>
      <c r="AE31" s="66">
        <f>+'Regression Analysis'!Q6</f>
        <v>959.55668063384735</v>
      </c>
      <c r="AF31" s="66">
        <f>+'Regression Analysis'!R6</f>
        <v>1136.8005438912776</v>
      </c>
      <c r="AG31" s="66">
        <f>+'Regression Analysis'!S6</f>
        <v>1323.5133888020243</v>
      </c>
      <c r="AH31" s="66">
        <f>+'Regression Analysis'!T6</f>
        <v>1527.4666553834752</v>
      </c>
      <c r="AI31" s="66">
        <f>+'Regression Analysis'!U6</f>
        <v>1747.4831862052304</v>
      </c>
      <c r="AJ31" s="66">
        <f>+'Regression Analysis'!V6</f>
        <v>1972.8960690730564</v>
      </c>
      <c r="AK31" s="66">
        <f>+'Regression Analysis'!W6</f>
        <v>2207.7752334527204</v>
      </c>
      <c r="AL31" s="66">
        <f>+'Regression Analysis'!X6</f>
        <v>2448.7391531128369</v>
      </c>
      <c r="AM31" s="66">
        <f>+'Regression Analysis'!Y6</f>
        <v>2691.7887031649343</v>
      </c>
      <c r="AN31" s="66">
        <f>+'Regression Analysis'!Z6</f>
        <v>2945.9300060060359</v>
      </c>
      <c r="AO31" s="6"/>
      <c r="AP31" s="64">
        <f t="shared" si="51"/>
        <v>0.1482706952436732</v>
      </c>
      <c r="AQ31" s="64">
        <f t="shared" si="52"/>
        <v>0.21127654277694541</v>
      </c>
      <c r="AT31" s="56"/>
      <c r="AU31" s="6"/>
      <c r="AV31" s="6"/>
    </row>
    <row r="32" spans="1:54">
      <c r="A32" s="5"/>
      <c r="D32" s="61" t="s">
        <v>267</v>
      </c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>
        <v>86.173000000000002</v>
      </c>
      <c r="R32" s="136">
        <v>103.6</v>
      </c>
      <c r="S32" s="136">
        <v>126</v>
      </c>
      <c r="T32" s="136">
        <v>175.2</v>
      </c>
      <c r="U32" s="136">
        <v>248.8</v>
      </c>
      <c r="V32" s="136">
        <v>259.2</v>
      </c>
      <c r="W32" s="136">
        <v>294.10000000000002</v>
      </c>
      <c r="X32" s="136">
        <v>341.4</v>
      </c>
      <c r="Y32" s="136">
        <v>420.7</v>
      </c>
      <c r="Z32" s="136">
        <v>491</v>
      </c>
      <c r="AA32" s="136">
        <v>579</v>
      </c>
      <c r="AB32" s="136">
        <v>732</v>
      </c>
      <c r="AC32" s="66">
        <f>+'Regression Analysis'!O7</f>
        <v>934.533136069683</v>
      </c>
      <c r="AD32" s="66">
        <f>+'Regression Analysis'!P7</f>
        <v>1111.2460677932704</v>
      </c>
      <c r="AE32" s="66">
        <f>+'Regression Analysis'!Q7</f>
        <v>1319.6071751378363</v>
      </c>
      <c r="AF32" s="66">
        <f>+'Regression Analysis'!R7</f>
        <v>1559.8474191619621</v>
      </c>
      <c r="AG32" s="66">
        <f>+'Regression Analysis'!S7</f>
        <v>1812.922129899041</v>
      </c>
      <c r="AH32" s="66">
        <f>+'Regression Analysis'!T7</f>
        <v>2089.3648886640117</v>
      </c>
      <c r="AI32" s="66">
        <f>+'Regression Analysis'!U7</f>
        <v>2387.5801502958934</v>
      </c>
      <c r="AJ32" s="66">
        <f>+'Regression Analysis'!V7</f>
        <v>2693.1097465882945</v>
      </c>
      <c r="AK32" s="66">
        <f>+'Regression Analysis'!W7</f>
        <v>3011.4701497622973</v>
      </c>
      <c r="AL32" s="66">
        <f>+'Regression Analysis'!X7</f>
        <v>3338.0779645337311</v>
      </c>
      <c r="AM32" s="66">
        <f>+'Regression Analysis'!Y7</f>
        <v>3667.5126887682354</v>
      </c>
      <c r="AN32" s="66">
        <f>+'Regression Analysis'!Z7</f>
        <v>4011.9814195274994</v>
      </c>
      <c r="AO32" s="6"/>
      <c r="AP32" s="64">
        <f t="shared" si="51"/>
        <v>0.14650959071488545</v>
      </c>
      <c r="AQ32" s="64">
        <f t="shared" si="52"/>
        <v>0.21974381433444523</v>
      </c>
      <c r="AT32" s="56"/>
      <c r="AU32" s="6"/>
      <c r="AV32" s="6"/>
    </row>
    <row r="33" spans="1:49">
      <c r="A33" s="5"/>
      <c r="D33" s="61" t="s">
        <v>268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>
        <v>45.103999999999999</v>
      </c>
      <c r="R33" s="136">
        <v>54.817</v>
      </c>
      <c r="S33" s="136">
        <v>65.3</v>
      </c>
      <c r="T33" s="136">
        <v>93.1</v>
      </c>
      <c r="U33" s="136">
        <v>119.3</v>
      </c>
      <c r="V33" s="136">
        <v>124.4</v>
      </c>
      <c r="W33" s="136">
        <v>147.9</v>
      </c>
      <c r="X33" s="136">
        <v>180.9</v>
      </c>
      <c r="Y33" s="136">
        <v>219.5</v>
      </c>
      <c r="Z33" s="136">
        <v>253</v>
      </c>
      <c r="AA33" s="136">
        <v>283</v>
      </c>
      <c r="AB33" s="136">
        <v>369</v>
      </c>
      <c r="AC33" s="66">
        <f>+'Regression Analysis'!O8</f>
        <v>465.35151974552082</v>
      </c>
      <c r="AD33" s="66">
        <f>+'Regression Analysis'!P8</f>
        <v>558.95501876856417</v>
      </c>
      <c r="AE33" s="66">
        <f>+'Regression Analysis'!Q8</f>
        <v>663.42684768893889</v>
      </c>
      <c r="AF33" s="66">
        <f>+'Regression Analysis'!R8</f>
        <v>783.88280990444264</v>
      </c>
      <c r="AG33" s="66">
        <f>+'Regression Analysis'!S8</f>
        <v>910.77394722439874</v>
      </c>
      <c r="AH33" s="66">
        <f>+'Regression Analysis'!T8</f>
        <v>1049.3817755664268</v>
      </c>
      <c r="AI33" s="66">
        <f>+'Regression Analysis'!U8</f>
        <v>1198.9062918818911</v>
      </c>
      <c r="AJ33" s="66">
        <f>+'Regression Analysis'!V8</f>
        <v>1352.0982004907573</v>
      </c>
      <c r="AK33" s="66">
        <f>+'Regression Analysis'!W8</f>
        <v>1511.7234491721943</v>
      </c>
      <c r="AL33" s="66">
        <f>+'Regression Analysis'!X8</f>
        <v>1675.4839329962335</v>
      </c>
      <c r="AM33" s="66">
        <f>+'Regression Analysis'!Y8</f>
        <v>1840.6618233869931</v>
      </c>
      <c r="AN33" s="66">
        <f>+'Regression Analysis'!Z8</f>
        <v>2013.3777336014095</v>
      </c>
      <c r="AO33" s="6"/>
      <c r="AP33" s="64">
        <f t="shared" si="51"/>
        <v>0.14741173386120709</v>
      </c>
      <c r="AQ33" s="64">
        <f t="shared" si="52"/>
        <v>0.21468547929751658</v>
      </c>
      <c r="AT33" s="56"/>
      <c r="AU33" s="6"/>
      <c r="AV33" s="6"/>
    </row>
    <row r="34" spans="1:49">
      <c r="A34" s="5"/>
      <c r="D34" s="61" t="s">
        <v>269</v>
      </c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>
        <v>63.274000000000001</v>
      </c>
      <c r="R34" s="136">
        <v>65.628</v>
      </c>
      <c r="S34" s="136">
        <v>78.87</v>
      </c>
      <c r="T34" s="136">
        <v>105.6</v>
      </c>
      <c r="U34" s="136">
        <v>134.4</v>
      </c>
      <c r="V34" s="136">
        <v>138.6</v>
      </c>
      <c r="W34" s="136">
        <v>165.3</v>
      </c>
      <c r="X34" s="136">
        <v>193.1</v>
      </c>
      <c r="Y34" s="136">
        <v>257.2</v>
      </c>
      <c r="Z34" s="136">
        <v>297</v>
      </c>
      <c r="AA34" s="136">
        <v>355</v>
      </c>
      <c r="AB34" s="136">
        <v>497</v>
      </c>
      <c r="AC34" s="66">
        <f>+'Regression Analysis'!O9</f>
        <v>642.34909062444547</v>
      </c>
      <c r="AD34" s="66">
        <f>+'Regression Analysis'!P9</f>
        <v>758.05366629835009</v>
      </c>
      <c r="AE34" s="66">
        <f>+'Regression Analysis'!Q9</f>
        <v>894.4802043966364</v>
      </c>
      <c r="AF34" s="66">
        <f>+'Regression Analysis'!R9</f>
        <v>1051.7799290035846</v>
      </c>
      <c r="AG34" s="66">
        <f>+'Regression Analysis'!S9</f>
        <v>1217.483150233779</v>
      </c>
      <c r="AH34" s="66">
        <f>+'Regression Analysis'!T9</f>
        <v>1398.486836772443</v>
      </c>
      <c r="AI34" s="66">
        <f>+'Regression Analysis'!U9</f>
        <v>1593.7462893210063</v>
      </c>
      <c r="AJ34" s="66">
        <f>+'Regression Analysis'!V9</f>
        <v>1793.7948763147842</v>
      </c>
      <c r="AK34" s="66">
        <f>+'Regression Analysis'!W9</f>
        <v>2002.2445636202908</v>
      </c>
      <c r="AL34" s="66">
        <f>+'Regression Analysis'!X9</f>
        <v>2216.0943269133404</v>
      </c>
      <c r="AM34" s="66">
        <f>+'Regression Analysis'!Y9</f>
        <v>2431.7950377103602</v>
      </c>
      <c r="AN34" s="66">
        <f>+'Regression Analysis'!Z9</f>
        <v>2657.3394160231619</v>
      </c>
      <c r="AO34" s="6"/>
      <c r="AP34" s="64">
        <f t="shared" si="51"/>
        <v>0.14239313710629098</v>
      </c>
      <c r="AQ34" s="64">
        <f t="shared" si="52"/>
        <v>0.21305032527593082</v>
      </c>
      <c r="AT34" s="56"/>
      <c r="AU34" s="6"/>
      <c r="AV34" s="6"/>
    </row>
    <row r="35" spans="1:49" s="3" customFormat="1">
      <c r="A35" s="33"/>
      <c r="D35" s="2" t="s">
        <v>270</v>
      </c>
      <c r="E35" s="2"/>
      <c r="F35" s="2"/>
      <c r="G35" s="7"/>
      <c r="H35" s="7"/>
      <c r="I35" s="7"/>
      <c r="J35" s="7"/>
      <c r="K35" s="7"/>
      <c r="L35" s="7"/>
      <c r="M35" s="7"/>
      <c r="N35" s="7"/>
      <c r="O35" s="7"/>
      <c r="P35" s="7"/>
      <c r="Q35" s="7">
        <f>SUM(Q30:Q34)</f>
        <v>356.53899999999999</v>
      </c>
      <c r="R35" s="7">
        <f t="shared" ref="R35:AK35" si="53">SUM(R30:R34)</f>
        <v>401.37899999999996</v>
      </c>
      <c r="S35" s="7">
        <f t="shared" si="53"/>
        <v>469.77000000000004</v>
      </c>
      <c r="T35" s="7">
        <f t="shared" si="53"/>
        <v>643.70000000000005</v>
      </c>
      <c r="U35" s="7">
        <f t="shared" si="53"/>
        <v>881.6</v>
      </c>
      <c r="V35" s="7">
        <f t="shared" si="53"/>
        <v>912.3</v>
      </c>
      <c r="W35" s="7">
        <f t="shared" si="53"/>
        <v>1059</v>
      </c>
      <c r="X35" s="7">
        <f t="shared" si="53"/>
        <v>1236.8999999999999</v>
      </c>
      <c r="Y35" s="7">
        <f t="shared" si="53"/>
        <v>1565.1000000000001</v>
      </c>
      <c r="Z35" s="7">
        <f t="shared" si="53"/>
        <v>1797</v>
      </c>
      <c r="AA35" s="7">
        <f t="shared" si="53"/>
        <v>2050</v>
      </c>
      <c r="AB35" s="7">
        <f t="shared" si="53"/>
        <v>2695</v>
      </c>
      <c r="AC35" s="7">
        <f t="shared" si="53"/>
        <v>3519.7293295377208</v>
      </c>
      <c r="AD35" s="7">
        <f t="shared" si="53"/>
        <v>4163.83713291603</v>
      </c>
      <c r="AE35" s="7">
        <f t="shared" si="53"/>
        <v>4917.4051277742292</v>
      </c>
      <c r="AF35" s="7">
        <f t="shared" si="53"/>
        <v>5786.2686180902219</v>
      </c>
      <c r="AG35" s="7">
        <f t="shared" si="53"/>
        <v>6701.5498082793511</v>
      </c>
      <c r="AH35" s="7">
        <f t="shared" si="53"/>
        <v>7701.3449143357457</v>
      </c>
      <c r="AI35" s="7">
        <f t="shared" si="53"/>
        <v>8779.8834170728369</v>
      </c>
      <c r="AJ35" s="7">
        <f t="shared" si="53"/>
        <v>9884.87526599384</v>
      </c>
      <c r="AK35" s="7">
        <f t="shared" si="53"/>
        <v>11036.271578480071</v>
      </c>
      <c r="AL35" s="7">
        <f t="shared" ref="AL35" si="54">SUM(AL30:AL34)</f>
        <v>12217.495844462293</v>
      </c>
      <c r="AM35" s="7">
        <f t="shared" ref="AM35:AN35" si="55">SUM(AM30:AM34)</f>
        <v>13408.944036218765</v>
      </c>
      <c r="AN35" s="7">
        <f t="shared" si="55"/>
        <v>14654.76488079865</v>
      </c>
      <c r="AO35" s="55"/>
      <c r="AP35" s="64">
        <f t="shared" si="51"/>
        <v>0.14311133475672877</v>
      </c>
      <c r="AQ35" s="64">
        <f t="shared" si="52"/>
        <v>0.21022703993778036</v>
      </c>
      <c r="AR35"/>
      <c r="AS35"/>
      <c r="AT35" s="56"/>
      <c r="AU35" s="6"/>
      <c r="AV35" s="6"/>
      <c r="AW35"/>
    </row>
    <row r="36" spans="1:49">
      <c r="A36" s="5"/>
      <c r="D36" s="61" t="s">
        <v>271</v>
      </c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>
        <v>45.109000000000002</v>
      </c>
      <c r="R36" s="136">
        <v>60.853999999999999</v>
      </c>
      <c r="S36" s="136">
        <v>61.4</v>
      </c>
      <c r="T36" s="136">
        <v>73.5</v>
      </c>
      <c r="U36" s="136">
        <v>79.5</v>
      </c>
      <c r="V36" s="136">
        <v>90.3</v>
      </c>
      <c r="W36" s="136">
        <v>82.3</v>
      </c>
      <c r="X36" s="136">
        <v>92.7</v>
      </c>
      <c r="Y36" s="136">
        <v>95.9</v>
      </c>
      <c r="Z36" s="136">
        <v>101</v>
      </c>
      <c r="AA36" s="136">
        <v>97</v>
      </c>
      <c r="AB36" s="136">
        <v>99</v>
      </c>
      <c r="AC36" s="66">
        <f>+'Regression Analysis'!O11</f>
        <v>118.37760000000003</v>
      </c>
      <c r="AD36" s="66">
        <f>+'Regression Analysis'!P11</f>
        <v>132.66316800000001</v>
      </c>
      <c r="AE36" s="66">
        <f>+'Regression Analysis'!Q11</f>
        <v>148.58274815999999</v>
      </c>
      <c r="AF36" s="66">
        <f>+'Regression Analysis'!R11</f>
        <v>163.44102297600003</v>
      </c>
      <c r="AG36" s="66">
        <f>+'Regression Analysis'!S11</f>
        <v>176.51630481408003</v>
      </c>
      <c r="AH36" s="66">
        <f>+'Regression Analysis'!T11</f>
        <v>188.87244615106562</v>
      </c>
      <c r="AI36" s="66">
        <f>+'Regression Analysis'!U11</f>
        <v>200.20479292012956</v>
      </c>
      <c r="AJ36" s="66">
        <f>+'Regression Analysis'!V11</f>
        <v>209.2140086015354</v>
      </c>
      <c r="AK36" s="66">
        <f>+'Regression Analysis'!W11</f>
        <v>216.53649890258913</v>
      </c>
      <c r="AL36" s="66">
        <f>+'Regression Analysis'!X11</f>
        <v>221.94991137515385</v>
      </c>
      <c r="AM36" s="66">
        <f>+'Regression Analysis'!Y11</f>
        <v>225.27916004578117</v>
      </c>
      <c r="AN36" s="66">
        <f>+'Regression Analysis'!Z11</f>
        <v>227.53195164623898</v>
      </c>
      <c r="AO36" s="6"/>
      <c r="AP36" s="64">
        <f t="shared" si="51"/>
        <v>6.6461418974437025E-2</v>
      </c>
      <c r="AQ36" s="64">
        <f t="shared" si="52"/>
        <v>8.3720264373385422E-2</v>
      </c>
      <c r="AU36" s="6"/>
      <c r="AV36" s="6"/>
      <c r="AW36" s="1"/>
    </row>
    <row r="37" spans="1:49">
      <c r="A37" s="5"/>
      <c r="D37" s="61" t="s">
        <v>272</v>
      </c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>
        <v>37.668999999999997</v>
      </c>
      <c r="R37" s="136">
        <v>51.066000000000003</v>
      </c>
      <c r="S37" s="136">
        <v>61.5</v>
      </c>
      <c r="T37" s="136">
        <v>102.4</v>
      </c>
      <c r="U37" s="136">
        <v>152.19999999999999</v>
      </c>
      <c r="V37" s="136">
        <v>163.69999999999999</v>
      </c>
      <c r="W37" s="136">
        <v>192.7</v>
      </c>
      <c r="X37" s="136">
        <v>212.6</v>
      </c>
      <c r="Y37" s="136">
        <v>264.7</v>
      </c>
      <c r="Z37" s="136">
        <v>300</v>
      </c>
      <c r="AA37" s="136">
        <v>330</v>
      </c>
      <c r="AB37" s="136">
        <v>433</v>
      </c>
      <c r="AC37" s="66">
        <f>+'Regression Analysis'!O12</f>
        <v>609.6008956677565</v>
      </c>
      <c r="AD37" s="66">
        <f>+'Regression Analysis'!P12</f>
        <v>717.05396342971585</v>
      </c>
      <c r="AE37" s="66">
        <f>+'Regression Analysis'!Q12</f>
        <v>843.75120040087995</v>
      </c>
      <c r="AF37" s="66">
        <f>+'Regression Analysis'!R12</f>
        <v>989.83304607277955</v>
      </c>
      <c r="AG37" s="66">
        <f>+'Regression Analysis'!S12</f>
        <v>1143.7190903844976</v>
      </c>
      <c r="AH37" s="66">
        <f>+'Regression Analysis'!T12</f>
        <v>1311.8144425477396</v>
      </c>
      <c r="AI37" s="66">
        <f>+'Regression Analysis'!U12</f>
        <v>1493.148906320341</v>
      </c>
      <c r="AJ37" s="66">
        <f>+'Regression Analysis'!V12</f>
        <v>1678.9309659210719</v>
      </c>
      <c r="AK37" s="66">
        <f>+'Regression Analysis'!W12</f>
        <v>1872.5149987438074</v>
      </c>
      <c r="AL37" s="66">
        <f>+'Regression Analysis'!X12</f>
        <v>2071.1139994503069</v>
      </c>
      <c r="AM37" s="66">
        <f>+'Regression Analysis'!Y12</f>
        <v>2271.4319467620689</v>
      </c>
      <c r="AN37" s="66">
        <f>+'Regression Analysis'!Z12</f>
        <v>2480.8915573696759</v>
      </c>
      <c r="AO37" s="6"/>
      <c r="AP37" s="64">
        <f t="shared" si="51"/>
        <v>0.14057911057018346</v>
      </c>
      <c r="AQ37" s="64">
        <f t="shared" si="52"/>
        <v>0.26111626060822224</v>
      </c>
      <c r="AU37" s="6"/>
      <c r="AV37" s="6"/>
      <c r="AW37" s="1"/>
    </row>
    <row r="38" spans="1:49">
      <c r="A38" s="5"/>
      <c r="D38" s="61" t="s">
        <v>273</v>
      </c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>
        <v>16.84</v>
      </c>
      <c r="R38" s="136">
        <v>18.917999999999999</v>
      </c>
      <c r="S38" s="136">
        <v>21</v>
      </c>
      <c r="T38" s="136">
        <v>29.3</v>
      </c>
      <c r="U38" s="136">
        <v>41</v>
      </c>
      <c r="V38" s="136">
        <v>43.2</v>
      </c>
      <c r="W38" s="136">
        <v>51.7</v>
      </c>
      <c r="X38" s="136">
        <v>58.9</v>
      </c>
      <c r="Y38" s="136">
        <v>78.2</v>
      </c>
      <c r="Z38" s="136">
        <v>35</v>
      </c>
      <c r="AA38" s="136">
        <v>35</v>
      </c>
      <c r="AB38" s="136">
        <v>40</v>
      </c>
      <c r="AC38" s="66">
        <f>+'Regression Analysis'!O13</f>
        <v>47.504376858234238</v>
      </c>
      <c r="AD38" s="66">
        <f>+'Regression Analysis'!P13</f>
        <v>54.001263961519214</v>
      </c>
      <c r="AE38" s="66">
        <f>+'Regression Analysis'!Q13</f>
        <v>61.58258323564155</v>
      </c>
      <c r="AF38" s="66">
        <f>+'Regression Analysis'!R13</f>
        <v>70.222968652587028</v>
      </c>
      <c r="AG38" s="66">
        <f>+'Regression Analysis'!S13</f>
        <v>79.170957413531227</v>
      </c>
      <c r="AH38" s="66">
        <f>+'Regression Analysis'!T13</f>
        <v>88.807869434331025</v>
      </c>
      <c r="AI38" s="66">
        <f>+'Regression Analysis'!U13</f>
        <v>99.051606083588979</v>
      </c>
      <c r="AJ38" s="66">
        <f>+'Regression Analysis'!V13</f>
        <v>109.35238428443222</v>
      </c>
      <c r="AK38" s="66">
        <f>+'Regression Analysis'!W13</f>
        <v>119.90520770013666</v>
      </c>
      <c r="AL38" s="66">
        <f>+'Regression Analysis'!X13</f>
        <v>130.53512446805541</v>
      </c>
      <c r="AM38" s="66">
        <f>+'Regression Analysis'!Y13</f>
        <v>141.04420285067116</v>
      </c>
      <c r="AN38" s="66">
        <f>+'Regression Analysis'!Z13</f>
        <v>151.86189420392</v>
      </c>
      <c r="AO38" s="6"/>
      <c r="AP38" s="64">
        <f t="shared" si="51"/>
        <v>0.11496737962945969</v>
      </c>
      <c r="AQ38" s="64">
        <f t="shared" si="52"/>
        <v>9.0266400161402416E-2</v>
      </c>
      <c r="AU38" s="6"/>
      <c r="AV38" s="6"/>
      <c r="AW38" s="1"/>
    </row>
    <row r="39" spans="1:49">
      <c r="A39" s="5"/>
      <c r="D39" s="61" t="s">
        <v>274</v>
      </c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>
        <f>23.094+9.177+11.125</f>
        <v>43.396000000000001</v>
      </c>
      <c r="R39" s="136">
        <f>30.038+9.992+15.314</f>
        <v>55.344000000000001</v>
      </c>
      <c r="S39" s="136">
        <f>36+11+15.3</f>
        <v>62.3</v>
      </c>
      <c r="T39" s="136">
        <f>44.7+14.2+22</f>
        <v>80.900000000000006</v>
      </c>
      <c r="U39" s="136">
        <f>50.1+16.4+9.8+27</f>
        <v>103.3</v>
      </c>
      <c r="V39" s="136">
        <v>114.5</v>
      </c>
      <c r="W39" s="136">
        <v>129.80000000000001</v>
      </c>
      <c r="X39" s="136">
        <v>154.6</v>
      </c>
      <c r="Y39" s="136">
        <v>181.1</v>
      </c>
      <c r="Z39" s="136">
        <v>201</v>
      </c>
      <c r="AA39" s="136">
        <v>152</v>
      </c>
      <c r="AB39" s="136">
        <v>186</v>
      </c>
      <c r="AC39" s="66">
        <f>+'Regression Analysis'!O14</f>
        <v>321.30395250370492</v>
      </c>
      <c r="AD39" s="66">
        <f>+'Regression Analysis'!P14</f>
        <v>386.71219463349325</v>
      </c>
      <c r="AE39" s="66">
        <f>+'Regression Analysis'!Q14</f>
        <v>463.43483976596258</v>
      </c>
      <c r="AF39" s="66">
        <f>+'Regression Analysis'!R14</f>
        <v>551.38506465971727</v>
      </c>
      <c r="AG39" s="66">
        <f>+'Regression Analysis'!S14</f>
        <v>643.25549565918868</v>
      </c>
      <c r="AH39" s="66">
        <f>+'Regression Analysis'!T14</f>
        <v>742.90723134468976</v>
      </c>
      <c r="AI39" s="66">
        <f>+'Regression Analysis'!U14</f>
        <v>849.62548662335143</v>
      </c>
      <c r="AJ39" s="66">
        <f>+'Regression Analysis'!V14</f>
        <v>957.96177593702623</v>
      </c>
      <c r="AK39" s="66">
        <f>+'Regression Analysis'!W14</f>
        <v>1069.9095574674823</v>
      </c>
      <c r="AL39" s="66">
        <f>+'Regression Analysis'!X14</f>
        <v>1183.7321416454922</v>
      </c>
      <c r="AM39" s="66">
        <f>+'Regression Analysis'!Y14</f>
        <v>1297.4224779761082</v>
      </c>
      <c r="AN39" s="66">
        <f>+'Regression Analysis'!Z14</f>
        <v>1415.3897842668505</v>
      </c>
      <c r="AO39" s="6"/>
      <c r="AP39" s="64">
        <f t="shared" si="51"/>
        <v>0.14978472573455481</v>
      </c>
      <c r="AQ39" s="64">
        <f t="shared" si="52"/>
        <v>0.18155932115288587</v>
      </c>
      <c r="AU39" s="6"/>
      <c r="AV39" s="6"/>
      <c r="AW39" s="1"/>
    </row>
    <row r="40" spans="1:49">
      <c r="A40" s="5"/>
      <c r="D40" s="61" t="s">
        <v>275</v>
      </c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>
        <v>8.2189999999999994</v>
      </c>
      <c r="R40" s="136">
        <v>8.6229999999999993</v>
      </c>
      <c r="S40" s="136">
        <v>15</v>
      </c>
      <c r="T40" s="136">
        <v>17.600000000000001</v>
      </c>
      <c r="U40" s="136">
        <v>22.8</v>
      </c>
      <c r="V40" s="136">
        <v>22.6</v>
      </c>
      <c r="W40" s="136">
        <v>28.2</v>
      </c>
      <c r="X40" s="136">
        <v>31.3</v>
      </c>
      <c r="Y40" s="136">
        <v>39.1</v>
      </c>
      <c r="Z40" s="136">
        <v>49</v>
      </c>
      <c r="AA40" s="136">
        <v>60</v>
      </c>
      <c r="AB40" s="136">
        <v>79</v>
      </c>
      <c r="AC40" s="66">
        <f>+'Regression Analysis'!O15</f>
        <v>96.98688741620532</v>
      </c>
      <c r="AD40" s="66">
        <f>+'Regression Analysis'!P15</f>
        <v>115.77934236574927</v>
      </c>
      <c r="AE40" s="66">
        <f>+'Regression Analysis'!Q15</f>
        <v>137.93740790638898</v>
      </c>
      <c r="AF40" s="66">
        <f>+'Regression Analysis'!R15</f>
        <v>163.48564548502119</v>
      </c>
      <c r="AG40" s="66">
        <f>+'Regression Analysis'!S15</f>
        <v>190.3987584870427</v>
      </c>
      <c r="AH40" s="66">
        <f>+'Regression Analysis'!T15</f>
        <v>219.79693574293469</v>
      </c>
      <c r="AI40" s="66">
        <f>+'Regression Analysis'!U15</f>
        <v>251.51049974089736</v>
      </c>
      <c r="AJ40" s="66">
        <f>+'Regression Analysis'!V15</f>
        <v>284.00190327359593</v>
      </c>
      <c r="AK40" s="66">
        <f>+'Regression Analysis'!W15</f>
        <v>317.85779302661228</v>
      </c>
      <c r="AL40" s="66">
        <f>+'Regression Analysis'!X15</f>
        <v>352.59074994943552</v>
      </c>
      <c r="AM40" s="66">
        <f>+'Regression Analysis'!Y15</f>
        <v>387.62433325094554</v>
      </c>
      <c r="AN40" s="66">
        <f>+'Regression Analysis'!Z15</f>
        <v>424.25670101928574</v>
      </c>
      <c r="AO40" s="6"/>
      <c r="AP40" s="64">
        <f t="shared" si="51"/>
        <v>0.14860261591206769</v>
      </c>
      <c r="AQ40" s="64">
        <f t="shared" si="52"/>
        <v>0.22835671255156353</v>
      </c>
      <c r="AU40" s="6"/>
      <c r="AV40" s="6"/>
      <c r="AW40" s="1"/>
    </row>
    <row r="41" spans="1:49">
      <c r="A41" s="5"/>
      <c r="D41" s="61" t="s">
        <v>279</v>
      </c>
      <c r="G41" s="136"/>
      <c r="H41" s="136"/>
      <c r="I41" s="136"/>
      <c r="J41" s="136"/>
      <c r="K41" s="136"/>
      <c r="L41" s="136"/>
      <c r="P41" s="136"/>
      <c r="Q41" s="136">
        <v>9.7750000000000004</v>
      </c>
      <c r="R41" s="136">
        <v>8.4789999999999992</v>
      </c>
      <c r="S41" s="136">
        <v>14.4</v>
      </c>
      <c r="T41" s="136">
        <v>19.600000000000001</v>
      </c>
      <c r="U41" s="136">
        <v>24.3</v>
      </c>
      <c r="V41" s="136">
        <v>29</v>
      </c>
      <c r="W41" s="136">
        <v>29</v>
      </c>
      <c r="X41" s="136">
        <v>48.6</v>
      </c>
      <c r="Y41" s="136">
        <v>52.3</v>
      </c>
      <c r="Z41" s="136">
        <v>73</v>
      </c>
      <c r="AA41" s="136">
        <v>13</v>
      </c>
      <c r="AB41" s="136">
        <v>62</v>
      </c>
      <c r="AC41" s="66">
        <f>+'Regression Analysis'!O16</f>
        <v>156.96180000000001</v>
      </c>
      <c r="AD41" s="66">
        <f>+'Regression Analysis'!P16</f>
        <v>116.55986849999999</v>
      </c>
      <c r="AE41" s="66">
        <f>+'Regression Analysis'!Q16</f>
        <v>138.3244569675</v>
      </c>
      <c r="AF41" s="66">
        <f>+'Regression Analysis'!R16</f>
        <v>163.41901569371251</v>
      </c>
      <c r="AG41" s="66">
        <f>+'Regression Analysis'!S16</f>
        <v>189.85421274618093</v>
      </c>
      <c r="AH41" s="66">
        <f>+'Regression Analysis'!T16</f>
        <v>218.73034493811753</v>
      </c>
      <c r="AI41" s="66">
        <f>+'Regression Analysis'!U16</f>
        <v>249.88074784614386</v>
      </c>
      <c r="AJ41" s="66">
        <f>+'Regression Analysis'!V16</f>
        <v>281.79517761997351</v>
      </c>
      <c r="AK41" s="66">
        <f>+'Regression Analysis'!W16</f>
        <v>315.04986342835286</v>
      </c>
      <c r="AL41" s="66">
        <f>+'Regression Analysis'!X16</f>
        <v>349.1660416794814</v>
      </c>
      <c r="AM41" s="66">
        <f>+'Regression Analysis'!Y16</f>
        <v>383.57750786549718</v>
      </c>
      <c r="AN41" s="66">
        <f>+'Regression Analysis'!Z16</f>
        <v>419.55936772622118</v>
      </c>
      <c r="AO41" s="6"/>
      <c r="AP41" s="64">
        <f t="shared" si="51"/>
        <v>9.3467592634811636E-2</v>
      </c>
      <c r="AQ41" s="64">
        <f t="shared" si="52"/>
        <v>0.26029757428549738</v>
      </c>
      <c r="AU41" s="6"/>
      <c r="AV41" s="6"/>
      <c r="AW41" s="1"/>
    </row>
    <row r="42" spans="1:49">
      <c r="A42" s="99" t="s">
        <v>423</v>
      </c>
      <c r="D42" s="61" t="s">
        <v>7</v>
      </c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>
        <v>6.7560000000000002</v>
      </c>
      <c r="R42" s="136">
        <v>7.8680000000000003</v>
      </c>
      <c r="S42" s="136">
        <v>7.6</v>
      </c>
      <c r="T42" s="136">
        <v>9.9</v>
      </c>
      <c r="U42" s="136">
        <v>16.5</v>
      </c>
      <c r="V42" s="136">
        <v>17</v>
      </c>
      <c r="W42" s="136">
        <v>22.4</v>
      </c>
      <c r="X42" s="136">
        <v>22.6</v>
      </c>
      <c r="Y42" s="136">
        <v>27</v>
      </c>
      <c r="Z42" s="136">
        <v>92</v>
      </c>
      <c r="AA42" s="136">
        <v>105</v>
      </c>
      <c r="AB42" s="136">
        <v>121</v>
      </c>
      <c r="AC42" s="159">
        <f t="shared" ref="AC42:AL42" si="56">AC360-AC366</f>
        <v>115.95588235294119</v>
      </c>
      <c r="AD42" s="159">
        <f t="shared" si="56"/>
        <v>141.88329375000001</v>
      </c>
      <c r="AE42" s="159">
        <f t="shared" si="56"/>
        <v>165.12648037500003</v>
      </c>
      <c r="AF42" s="159">
        <f t="shared" si="56"/>
        <v>198.26505498674999</v>
      </c>
      <c r="AG42" s="159">
        <f t="shared" si="56"/>
        <v>236.95757275588312</v>
      </c>
      <c r="AH42" s="159">
        <f t="shared" si="56"/>
        <v>278.45284536106544</v>
      </c>
      <c r="AI42" s="159">
        <f t="shared" si="56"/>
        <v>328.09551740717632</v>
      </c>
      <c r="AJ42" s="159">
        <f t="shared" si="56"/>
        <v>374.82112176921584</v>
      </c>
      <c r="AK42" s="159">
        <f t="shared" si="56"/>
        <v>422.69276642996033</v>
      </c>
      <c r="AL42" s="159">
        <f t="shared" si="56"/>
        <v>472.57479514252941</v>
      </c>
      <c r="AM42" s="159">
        <f t="shared" ref="AM42:AN42" si="57">AM360-AM366</f>
        <v>523.74906251922209</v>
      </c>
      <c r="AN42" s="159">
        <f t="shared" si="57"/>
        <v>575.36626179824589</v>
      </c>
      <c r="AO42" s="6"/>
      <c r="AP42" s="64">
        <f t="shared" si="51"/>
        <v>0.16274116265145966</v>
      </c>
      <c r="AQ42" s="64">
        <f t="shared" si="52"/>
        <v>0.26731214058145314</v>
      </c>
      <c r="AU42" s="6"/>
      <c r="AV42" s="6"/>
      <c r="AW42" s="1"/>
    </row>
    <row r="43" spans="1:49">
      <c r="A43" s="99" t="s">
        <v>311</v>
      </c>
      <c r="D43" s="61" t="s">
        <v>277</v>
      </c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>
        <v>67.923000000000002</v>
      </c>
      <c r="R43" s="136">
        <v>76.650000000000006</v>
      </c>
      <c r="S43" s="136">
        <v>85.1</v>
      </c>
      <c r="T43" s="136">
        <v>119.1</v>
      </c>
      <c r="U43" s="136">
        <v>173.2</v>
      </c>
      <c r="V43" s="136">
        <v>180.5</v>
      </c>
      <c r="W43" s="136">
        <v>190.6</v>
      </c>
      <c r="X43" s="136">
        <v>230.5</v>
      </c>
      <c r="Y43" s="136">
        <v>278.8</v>
      </c>
      <c r="Z43" s="136">
        <v>331</v>
      </c>
      <c r="AA43" s="136">
        <v>403</v>
      </c>
      <c r="AB43" s="136">
        <v>518</v>
      </c>
      <c r="AC43" s="159">
        <f t="shared" ref="AC43:AL43" si="58">-AC343</f>
        <v>721.53846153846155</v>
      </c>
      <c r="AD43" s="159">
        <f t="shared" si="58"/>
        <v>965.67419711538469</v>
      </c>
      <c r="AE43" s="159">
        <f t="shared" si="58"/>
        <v>1162.1136690865387</v>
      </c>
      <c r="AF43" s="159">
        <f t="shared" si="58"/>
        <v>1348.8104934210294</v>
      </c>
      <c r="AG43" s="159">
        <f t="shared" si="58"/>
        <v>1523.5651285634185</v>
      </c>
      <c r="AH43" s="159">
        <f t="shared" si="58"/>
        <v>1680.741850195159</v>
      </c>
      <c r="AI43" s="159">
        <f t="shared" si="58"/>
        <v>1849.4873198219013</v>
      </c>
      <c r="AJ43" s="159">
        <f t="shared" si="58"/>
        <v>2022.439649773682</v>
      </c>
      <c r="AK43" s="159">
        <f t="shared" si="58"/>
        <v>2158.664055719822</v>
      </c>
      <c r="AL43" s="159">
        <f t="shared" si="58"/>
        <v>2280.765836912612</v>
      </c>
      <c r="AM43" s="159">
        <f t="shared" ref="AM43:AN43" si="59">-AM343</f>
        <v>2378.3035289582713</v>
      </c>
      <c r="AN43" s="159">
        <f t="shared" si="59"/>
        <v>2442.3202699590179</v>
      </c>
      <c r="AO43" s="6"/>
      <c r="AP43" s="64">
        <f t="shared" si="51"/>
        <v>0.12668050410379283</v>
      </c>
      <c r="AQ43" s="64">
        <f t="shared" si="52"/>
        <v>0.2176436797884771</v>
      </c>
      <c r="AU43" s="6"/>
      <c r="AV43" s="6"/>
    </row>
    <row r="44" spans="1:49" s="3" customFormat="1">
      <c r="A44" s="33"/>
      <c r="D44" s="2" t="s">
        <v>278</v>
      </c>
      <c r="E44" s="2"/>
      <c r="F44" s="2"/>
      <c r="G44" s="7"/>
      <c r="H44" s="7"/>
      <c r="I44" s="7"/>
      <c r="J44" s="7"/>
      <c r="K44" s="7"/>
      <c r="L44" s="87">
        <f>-SUM(L10,L11,L13)</f>
        <v>156.59100000000001</v>
      </c>
      <c r="M44" s="87">
        <f>-SUM(M10,M11,M13)</f>
        <v>199.94900000000001</v>
      </c>
      <c r="N44" s="87">
        <f>-SUM(N10,N11,N13)</f>
        <v>227.352</v>
      </c>
      <c r="O44" s="87">
        <f>-SUM(O10,O11,O13)</f>
        <v>312.46899999999994</v>
      </c>
      <c r="P44" s="87">
        <f>-SUM(P10,P11,P13)</f>
        <v>414.21300000000002</v>
      </c>
      <c r="Q44" s="7">
        <f t="shared" ref="Q44:AL44" si="60">SUM(Q35:Q43)</f>
        <v>592.22599999999989</v>
      </c>
      <c r="R44" s="7">
        <f t="shared" si="60"/>
        <v>689.18100000000015</v>
      </c>
      <c r="S44" s="7">
        <f t="shared" si="60"/>
        <v>798.07</v>
      </c>
      <c r="T44" s="7">
        <f t="shared" si="60"/>
        <v>1096</v>
      </c>
      <c r="U44" s="7">
        <f t="shared" si="60"/>
        <v>1494.3999999999999</v>
      </c>
      <c r="V44" s="7">
        <f t="shared" si="60"/>
        <v>1573.1</v>
      </c>
      <c r="W44" s="7">
        <f t="shared" si="60"/>
        <v>1785.7</v>
      </c>
      <c r="X44" s="7">
        <f t="shared" si="60"/>
        <v>2088.6999999999998</v>
      </c>
      <c r="Y44" s="7">
        <f>SUM(Y35:Y43)</f>
        <v>2582.2000000000007</v>
      </c>
      <c r="Z44" s="7">
        <f t="shared" si="60"/>
        <v>2979</v>
      </c>
      <c r="AA44" s="7">
        <f t="shared" si="60"/>
        <v>3245</v>
      </c>
      <c r="AB44" s="7">
        <f t="shared" si="60"/>
        <v>4233</v>
      </c>
      <c r="AC44" s="7">
        <f t="shared" si="60"/>
        <v>5707.9591858750264</v>
      </c>
      <c r="AD44" s="7">
        <f t="shared" si="60"/>
        <v>6794.1644246718934</v>
      </c>
      <c r="AE44" s="7">
        <f t="shared" si="60"/>
        <v>8038.25851367214</v>
      </c>
      <c r="AF44" s="7">
        <f t="shared" si="60"/>
        <v>9435.1309300378198</v>
      </c>
      <c r="AG44" s="7">
        <f t="shared" si="60"/>
        <v>10884.987329103176</v>
      </c>
      <c r="AH44" s="7">
        <f t="shared" si="60"/>
        <v>12431.46888005085</v>
      </c>
      <c r="AI44" s="7">
        <f t="shared" si="60"/>
        <v>14100.888293836368</v>
      </c>
      <c r="AJ44" s="7">
        <f t="shared" si="60"/>
        <v>15803.392253174372</v>
      </c>
      <c r="AK44" s="7">
        <f t="shared" si="60"/>
        <v>17529.402319898833</v>
      </c>
      <c r="AL44" s="7">
        <f t="shared" si="60"/>
        <v>19279.924445085358</v>
      </c>
      <c r="AM44" s="7">
        <f t="shared" ref="AM44:AN44" si="61">SUM(AM35:AM43)</f>
        <v>21017.376256447329</v>
      </c>
      <c r="AN44" s="7">
        <f t="shared" si="61"/>
        <v>22791.94266878811</v>
      </c>
      <c r="AO44" s="55"/>
      <c r="AP44" s="64">
        <f t="shared" si="51"/>
        <v>0.1392256744805751</v>
      </c>
      <c r="AQ44" s="64">
        <f t="shared" si="52"/>
        <v>0.20781230298962039</v>
      </c>
    </row>
    <row r="45" spans="1:49">
      <c r="A45" s="5"/>
      <c r="G45" s="6"/>
      <c r="H45" s="6"/>
      <c r="I45" s="6"/>
      <c r="J45" s="6"/>
      <c r="K45" s="6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"/>
    </row>
    <row r="46" spans="1:49">
      <c r="A46" s="5"/>
      <c r="D46" s="61" t="s">
        <v>234</v>
      </c>
      <c r="G46" s="136"/>
      <c r="H46" s="136"/>
      <c r="I46" s="136"/>
      <c r="J46" s="136"/>
      <c r="K46" s="136"/>
      <c r="L46" s="136"/>
      <c r="M46" s="136"/>
      <c r="N46" s="136"/>
      <c r="O46" s="169"/>
      <c r="P46" s="136"/>
      <c r="Q46" s="69">
        <f t="shared" ref="Q46:AL46" si="62">+Q30/Q$7</f>
        <v>0.14870537017027755</v>
      </c>
      <c r="R46" s="69">
        <f t="shared" si="62"/>
        <v>0.13015086488366712</v>
      </c>
      <c r="S46" s="69">
        <f t="shared" si="62"/>
        <v>0.11836643105576125</v>
      </c>
      <c r="T46" s="69">
        <f t="shared" si="62"/>
        <v>0.12256359431780642</v>
      </c>
      <c r="U46" s="69">
        <f t="shared" si="62"/>
        <v>0.13292997064637874</v>
      </c>
      <c r="V46" s="69">
        <f t="shared" si="62"/>
        <v>0.116193741095757</v>
      </c>
      <c r="W46" s="69">
        <f t="shared" si="62"/>
        <v>0.11194841055844328</v>
      </c>
      <c r="X46" s="69">
        <f t="shared" si="62"/>
        <v>0.10893764620472696</v>
      </c>
      <c r="Y46" s="69">
        <f t="shared" si="62"/>
        <v>0.11143426685402438</v>
      </c>
      <c r="Z46" s="69">
        <f t="shared" si="62"/>
        <v>0.11033099297893681</v>
      </c>
      <c r="AA46" s="69">
        <f t="shared" si="62"/>
        <v>0.10859158478206098</v>
      </c>
      <c r="AB46" s="69">
        <f t="shared" si="62"/>
        <v>0.10926179753279812</v>
      </c>
      <c r="AC46" s="69">
        <f t="shared" si="62"/>
        <v>0.12263435678728733</v>
      </c>
      <c r="AD46" s="69">
        <f t="shared" si="62"/>
        <v>0.11964879456501966</v>
      </c>
      <c r="AE46" s="69">
        <f t="shared" si="62"/>
        <v>0.11715219169493649</v>
      </c>
      <c r="AF46" s="69">
        <f t="shared" si="62"/>
        <v>0.11509902113954547</v>
      </c>
      <c r="AG46" s="69">
        <f t="shared" si="62"/>
        <v>0.11352320061823427</v>
      </c>
      <c r="AH46" s="69">
        <f t="shared" si="62"/>
        <v>0.11223715381688969</v>
      </c>
      <c r="AI46" s="69">
        <f t="shared" si="62"/>
        <v>0.11118308525168345</v>
      </c>
      <c r="AJ46" s="69">
        <f t="shared" si="62"/>
        <v>0.11034484644317862</v>
      </c>
      <c r="AK46" s="69">
        <f t="shared" si="62"/>
        <v>0.10965207970942284</v>
      </c>
      <c r="AL46" s="69">
        <f t="shared" si="62"/>
        <v>0.10907849692483539</v>
      </c>
      <c r="AM46" s="69">
        <f t="shared" ref="AM46:AN46" si="63">+AM30/AM$7</f>
        <v>0.10860330935366282</v>
      </c>
      <c r="AN46" s="69">
        <f t="shared" si="63"/>
        <v>0.10818980119692673</v>
      </c>
      <c r="AO46" s="6"/>
    </row>
    <row r="47" spans="1:49">
      <c r="A47" s="5"/>
      <c r="D47" s="61" t="s">
        <v>266</v>
      </c>
      <c r="G47" s="136"/>
      <c r="H47" s="136"/>
      <c r="I47" s="136"/>
      <c r="J47" s="136"/>
      <c r="K47" s="136"/>
      <c r="L47" s="136"/>
      <c r="M47" s="136"/>
      <c r="N47" s="136"/>
      <c r="O47" s="169"/>
      <c r="P47" s="136"/>
      <c r="Q47" s="69">
        <f t="shared" ref="Q47:AL47" si="64">+Q31/Q$7</f>
        <v>0.10681031287216171</v>
      </c>
      <c r="R47" s="69">
        <f t="shared" si="64"/>
        <v>9.9158068691560408E-2</v>
      </c>
      <c r="S47" s="69">
        <f t="shared" si="64"/>
        <v>0.10557612476158421</v>
      </c>
      <c r="T47" s="69">
        <f t="shared" si="64"/>
        <v>0.10026428807400067</v>
      </c>
      <c r="U47" s="69">
        <f t="shared" si="64"/>
        <v>9.4171209489007368E-2</v>
      </c>
      <c r="V47" s="69">
        <f t="shared" si="64"/>
        <v>9.6012150296821683E-2</v>
      </c>
      <c r="W47" s="69">
        <f t="shared" si="64"/>
        <v>0.10060769305336348</v>
      </c>
      <c r="X47" s="69">
        <f t="shared" si="64"/>
        <v>0.10139549891102687</v>
      </c>
      <c r="Y47" s="69">
        <f t="shared" si="64"/>
        <v>0.10676121695369432</v>
      </c>
      <c r="Z47" s="69">
        <f t="shared" si="64"/>
        <v>0.10631895687061184</v>
      </c>
      <c r="AA47" s="69">
        <f t="shared" si="64"/>
        <v>0.10128495842781557</v>
      </c>
      <c r="AB47" s="69">
        <f t="shared" si="64"/>
        <v>0.10554141374583904</v>
      </c>
      <c r="AC47" s="69">
        <f t="shared" si="64"/>
        <v>0.1032798082793322</v>
      </c>
      <c r="AD47" s="69">
        <f t="shared" si="64"/>
        <v>0.10370196960333287</v>
      </c>
      <c r="AE47" s="69">
        <f t="shared" si="64"/>
        <v>0.1040549916121449</v>
      </c>
      <c r="AF47" s="69">
        <f t="shared" si="64"/>
        <v>0.10434531187196004</v>
      </c>
      <c r="AG47" s="69">
        <f t="shared" si="64"/>
        <v>0.10456813438515451</v>
      </c>
      <c r="AH47" s="69">
        <f t="shared" si="64"/>
        <v>0.10474998262008098</v>
      </c>
      <c r="AI47" s="69">
        <f t="shared" si="64"/>
        <v>0.10489902891285492</v>
      </c>
      <c r="AJ47" s="69">
        <f t="shared" si="64"/>
        <v>0.10501755667375295</v>
      </c>
      <c r="AK47" s="69">
        <f t="shared" si="64"/>
        <v>0.10511551454559519</v>
      </c>
      <c r="AL47" s="69">
        <f t="shared" si="64"/>
        <v>0.10519661969421994</v>
      </c>
      <c r="AM47" s="69">
        <f t="shared" ref="AM47:AN47" si="65">+AM31/AM$7</f>
        <v>0.10526381166653882</v>
      </c>
      <c r="AN47" s="69">
        <f t="shared" si="65"/>
        <v>0.1053222821112781</v>
      </c>
      <c r="AO47" s="6"/>
    </row>
    <row r="48" spans="1:49">
      <c r="A48" s="5"/>
      <c r="D48" s="61" t="s">
        <v>267</v>
      </c>
      <c r="G48" s="136"/>
      <c r="H48" s="136"/>
      <c r="I48" s="136"/>
      <c r="J48" s="136"/>
      <c r="K48" s="136"/>
      <c r="L48" s="136"/>
      <c r="M48" s="136"/>
      <c r="N48" s="136"/>
      <c r="O48" s="169"/>
      <c r="P48" s="136"/>
      <c r="Q48" s="69">
        <f t="shared" ref="Q48:AL48" si="66">+Q32/Q$7</f>
        <v>0.13592706221952316</v>
      </c>
      <c r="R48" s="69">
        <f t="shared" si="66"/>
        <v>0.13396418914812483</v>
      </c>
      <c r="S48" s="69">
        <f t="shared" si="66"/>
        <v>0.1413665432514305</v>
      </c>
      <c r="T48" s="69">
        <f t="shared" si="66"/>
        <v>0.14469772051536173</v>
      </c>
      <c r="U48" s="69">
        <f t="shared" si="66"/>
        <v>0.14904450967471397</v>
      </c>
      <c r="V48" s="69">
        <f t="shared" si="66"/>
        <v>0.14099914649822198</v>
      </c>
      <c r="W48" s="69">
        <f t="shared" si="66"/>
        <v>0.13839439909726006</v>
      </c>
      <c r="X48" s="69">
        <f t="shared" si="66"/>
        <v>0.13769460353311283</v>
      </c>
      <c r="Y48" s="69">
        <f t="shared" si="66"/>
        <v>0.13747916734747231</v>
      </c>
      <c r="Z48" s="69">
        <f t="shared" si="66"/>
        <v>0.14070783779911161</v>
      </c>
      <c r="AA48" s="69">
        <f t="shared" si="66"/>
        <v>0.14588057445200303</v>
      </c>
      <c r="AB48" s="69">
        <f t="shared" si="66"/>
        <v>0.14333268063442334</v>
      </c>
      <c r="AC48" s="69">
        <f t="shared" si="66"/>
        <v>0.14289333624915357</v>
      </c>
      <c r="AD48" s="69">
        <f t="shared" si="66"/>
        <v>0.14300540341549078</v>
      </c>
      <c r="AE48" s="69">
        <f t="shared" si="66"/>
        <v>0.14309911682297993</v>
      </c>
      <c r="AF48" s="69">
        <f t="shared" si="66"/>
        <v>0.14317618539131644</v>
      </c>
      <c r="AG48" s="69">
        <f t="shared" si="66"/>
        <v>0.1432353359724573</v>
      </c>
      <c r="AH48" s="69">
        <f t="shared" si="66"/>
        <v>0.14328360950021324</v>
      </c>
      <c r="AI48" s="69">
        <f t="shared" si="66"/>
        <v>0.14332317540721284</v>
      </c>
      <c r="AJ48" s="69">
        <f t="shared" si="66"/>
        <v>0.14335463984874494</v>
      </c>
      <c r="AK48" s="69">
        <f t="shared" si="66"/>
        <v>0.143380643796747</v>
      </c>
      <c r="AL48" s="69">
        <f t="shared" si="66"/>
        <v>0.14340217401201069</v>
      </c>
      <c r="AM48" s="69">
        <f t="shared" ref="AM48:AN48" si="67">+AM32/AM$7</f>
        <v>0.14342001082819988</v>
      </c>
      <c r="AN48" s="69">
        <f t="shared" si="67"/>
        <v>0.14343553242310655</v>
      </c>
      <c r="AO48" s="6"/>
    </row>
    <row r="49" spans="1:42">
      <c r="A49" s="5"/>
      <c r="D49" s="61" t="s">
        <v>268</v>
      </c>
      <c r="G49" s="136"/>
      <c r="H49" s="136"/>
      <c r="I49" s="136"/>
      <c r="J49" s="136"/>
      <c r="K49" s="136"/>
      <c r="L49" s="136"/>
      <c r="M49" s="136"/>
      <c r="N49" s="136"/>
      <c r="O49" s="169"/>
      <c r="P49" s="136"/>
      <c r="Q49" s="69">
        <f t="shared" ref="Q49:AL49" si="68">+Q33/Q$7</f>
        <v>7.1145883447824396E-2</v>
      </c>
      <c r="R49" s="69">
        <f t="shared" si="68"/>
        <v>7.0883349001281459E-2</v>
      </c>
      <c r="S49" s="69">
        <f t="shared" si="68"/>
        <v>7.3263772018400092E-2</v>
      </c>
      <c r="T49" s="69">
        <f t="shared" si="68"/>
        <v>7.6891311529567227E-2</v>
      </c>
      <c r="U49" s="69">
        <f t="shared" si="68"/>
        <v>7.1467082010423524E-2</v>
      </c>
      <c r="V49" s="69">
        <f t="shared" si="68"/>
        <v>6.767088666812815E-2</v>
      </c>
      <c r="W49" s="69">
        <f t="shared" si="68"/>
        <v>6.959718336104985E-2</v>
      </c>
      <c r="X49" s="69">
        <f t="shared" si="68"/>
        <v>7.2961200290392839E-2</v>
      </c>
      <c r="Y49" s="69">
        <f t="shared" si="68"/>
        <v>7.172968203653475E-2</v>
      </c>
      <c r="Z49" s="69">
        <f t="shared" si="68"/>
        <v>7.2503223957587043E-2</v>
      </c>
      <c r="AA49" s="69">
        <f t="shared" si="68"/>
        <v>7.1302595112118922E-2</v>
      </c>
      <c r="AB49" s="69">
        <f t="shared" si="68"/>
        <v>7.2253769336205212E-2</v>
      </c>
      <c r="AC49" s="69">
        <f t="shared" si="68"/>
        <v>7.1153850643229752E-2</v>
      </c>
      <c r="AD49" s="69">
        <f t="shared" si="68"/>
        <v>7.1931492283113393E-2</v>
      </c>
      <c r="AE49" s="69">
        <f t="shared" si="68"/>
        <v>7.1942467250547121E-2</v>
      </c>
      <c r="AF49" s="69">
        <f t="shared" si="68"/>
        <v>7.1951492907070758E-2</v>
      </c>
      <c r="AG49" s="69">
        <f t="shared" si="68"/>
        <v>7.19584201517319E-2</v>
      </c>
      <c r="AH49" s="69">
        <f t="shared" si="68"/>
        <v>7.1964073562585551E-2</v>
      </c>
      <c r="AI49" s="69">
        <f t="shared" si="68"/>
        <v>7.1968707206291824E-2</v>
      </c>
      <c r="AJ49" s="69">
        <f t="shared" si="68"/>
        <v>7.1972392070927399E-2</v>
      </c>
      <c r="AK49" s="69">
        <f t="shared" si="68"/>
        <v>7.1975437446078261E-2</v>
      </c>
      <c r="AL49" s="69">
        <f t="shared" si="68"/>
        <v>7.1977958893304342E-2</v>
      </c>
      <c r="AM49" s="69">
        <f t="shared" ref="AM49:AN49" si="69">+AM33/AM$7</f>
        <v>7.1980047799065458E-2</v>
      </c>
      <c r="AN49" s="69">
        <f t="shared" si="69"/>
        <v>7.1981865564561182E-2</v>
      </c>
      <c r="AO49" s="6"/>
    </row>
    <row r="50" spans="1:42">
      <c r="A50" s="5"/>
      <c r="D50" s="61" t="s">
        <v>269</v>
      </c>
      <c r="G50" s="136"/>
      <c r="H50" s="136"/>
      <c r="I50" s="136"/>
      <c r="J50" s="136"/>
      <c r="K50" s="136"/>
      <c r="L50" s="136"/>
      <c r="M50" s="136"/>
      <c r="N50" s="136"/>
      <c r="O50" s="169"/>
      <c r="P50" s="136"/>
      <c r="Q50" s="69">
        <f t="shared" ref="Q50:AL50" si="70">+Q34/Q$7</f>
        <v>9.9806771667205599E-2</v>
      </c>
      <c r="R50" s="69">
        <f t="shared" si="70"/>
        <v>8.4862951789702101E-2</v>
      </c>
      <c r="S50" s="69">
        <f t="shared" si="70"/>
        <v>8.8488724335240673E-2</v>
      </c>
      <c r="T50" s="69">
        <f t="shared" si="70"/>
        <v>8.7215064420218036E-2</v>
      </c>
      <c r="U50" s="69">
        <f t="shared" si="70"/>
        <v>8.0512789792128447E-2</v>
      </c>
      <c r="V50" s="69">
        <f t="shared" si="70"/>
        <v>7.5395376946965922E-2</v>
      </c>
      <c r="W50" s="69">
        <f t="shared" si="70"/>
        <v>7.7785087285879254E-2</v>
      </c>
      <c r="X50" s="69">
        <f t="shared" si="70"/>
        <v>7.7881745583608927E-2</v>
      </c>
      <c r="Y50" s="69">
        <f t="shared" si="70"/>
        <v>8.4049540864677627E-2</v>
      </c>
      <c r="Z50" s="69">
        <f t="shared" si="70"/>
        <v>8.5112480298036974E-2</v>
      </c>
      <c r="AA50" s="69">
        <f t="shared" si="70"/>
        <v>8.9443184681279916E-2</v>
      </c>
      <c r="AB50" s="69">
        <f t="shared" si="70"/>
        <v>9.7317407479929507E-2</v>
      </c>
      <c r="AC50" s="69">
        <f t="shared" si="70"/>
        <v>9.8217389039796252E-2</v>
      </c>
      <c r="AD50" s="69">
        <f t="shared" si="70"/>
        <v>9.7553344395504796E-2</v>
      </c>
      <c r="AE50" s="69">
        <f t="shared" si="70"/>
        <v>9.6998053418000996E-2</v>
      </c>
      <c r="AF50" s="69">
        <f t="shared" si="70"/>
        <v>9.6541390046206058E-2</v>
      </c>
      <c r="AG50" s="69">
        <f t="shared" si="70"/>
        <v>9.6190898212628911E-2</v>
      </c>
      <c r="AH50" s="69">
        <f t="shared" si="70"/>
        <v>9.5904857451404257E-2</v>
      </c>
      <c r="AI50" s="69">
        <f t="shared" si="70"/>
        <v>9.5670412970488519E-2</v>
      </c>
      <c r="AJ50" s="69">
        <f t="shared" si="70"/>
        <v>9.54839730472897E-2</v>
      </c>
      <c r="AK50" s="69">
        <f t="shared" si="70"/>
        <v>9.5329888822930642E-2</v>
      </c>
      <c r="AL50" s="69">
        <f t="shared" si="70"/>
        <v>9.5202313328666188E-2</v>
      </c>
      <c r="AM50" s="69">
        <f t="shared" ref="AM50:AN50" si="71">+AM34/AM$7</f>
        <v>9.5096622762474811E-2</v>
      </c>
      <c r="AN50" s="69">
        <f t="shared" si="71"/>
        <v>9.5004650846832447E-2</v>
      </c>
      <c r="AO50" s="6"/>
    </row>
    <row r="51" spans="1:42" s="3" customFormat="1">
      <c r="A51" s="33"/>
      <c r="D51" s="2" t="s">
        <v>270</v>
      </c>
      <c r="E51" s="2"/>
      <c r="F51" s="2"/>
      <c r="G51" s="7"/>
      <c r="H51" s="7"/>
      <c r="I51" s="7"/>
      <c r="J51" s="7"/>
      <c r="K51" s="7"/>
      <c r="L51" s="7"/>
      <c r="M51" s="7"/>
      <c r="N51" s="7"/>
      <c r="O51" s="170"/>
      <c r="P51" s="7"/>
      <c r="Q51" s="171">
        <f t="shared" ref="Q51:AL51" si="72">+Q35/Q$7</f>
        <v>0.56239540037699243</v>
      </c>
      <c r="R51" s="171">
        <f t="shared" si="72"/>
        <v>0.51901942351433583</v>
      </c>
      <c r="S51" s="171">
        <f t="shared" si="72"/>
        <v>0.52706159542241682</v>
      </c>
      <c r="T51" s="171">
        <f t="shared" si="72"/>
        <v>0.53163197885695412</v>
      </c>
      <c r="U51" s="171">
        <f t="shared" si="72"/>
        <v>0.52812556161265201</v>
      </c>
      <c r="V51" s="171">
        <f t="shared" si="72"/>
        <v>0.49627130150589477</v>
      </c>
      <c r="W51" s="171">
        <f t="shared" si="72"/>
        <v>0.49833277335599591</v>
      </c>
      <c r="X51" s="171">
        <f t="shared" si="72"/>
        <v>0.49887069452286836</v>
      </c>
      <c r="Y51" s="171">
        <f t="shared" si="72"/>
        <v>0.51145387405640341</v>
      </c>
      <c r="Z51" s="171">
        <f t="shared" si="72"/>
        <v>0.51497349190428432</v>
      </c>
      <c r="AA51" s="171">
        <f t="shared" si="72"/>
        <v>0.51650289745527844</v>
      </c>
      <c r="AB51" s="171">
        <f t="shared" si="72"/>
        <v>0.52770706872919526</v>
      </c>
      <c r="AC51" s="171">
        <f t="shared" si="72"/>
        <v>0.53817874099879903</v>
      </c>
      <c r="AD51" s="171">
        <f t="shared" si="72"/>
        <v>0.53584100426246151</v>
      </c>
      <c r="AE51" s="171">
        <f t="shared" si="72"/>
        <v>0.53324682079860941</v>
      </c>
      <c r="AF51" s="171">
        <f t="shared" si="72"/>
        <v>0.53111340135609875</v>
      </c>
      <c r="AG51" s="171">
        <f t="shared" si="72"/>
        <v>0.5294759893402069</v>
      </c>
      <c r="AH51" s="171">
        <f t="shared" si="72"/>
        <v>0.5281396769511737</v>
      </c>
      <c r="AI51" s="171">
        <f t="shared" si="72"/>
        <v>0.52704440974853162</v>
      </c>
      <c r="AJ51" s="171">
        <f t="shared" si="72"/>
        <v>0.52617340808389357</v>
      </c>
      <c r="AK51" s="171">
        <f t="shared" si="72"/>
        <v>0.52545356432077395</v>
      </c>
      <c r="AL51" s="171">
        <f t="shared" si="72"/>
        <v>0.52485756285303653</v>
      </c>
      <c r="AM51" s="171">
        <f t="shared" ref="AM51:AN51" si="73">+AM35/AM$7</f>
        <v>0.52436380240994185</v>
      </c>
      <c r="AN51" s="171">
        <f t="shared" si="73"/>
        <v>0.52393413214270501</v>
      </c>
      <c r="AO51" s="55"/>
    </row>
    <row r="52" spans="1:42">
      <c r="A52" s="5"/>
      <c r="D52" s="61" t="s">
        <v>271</v>
      </c>
      <c r="G52" s="136"/>
      <c r="H52" s="136"/>
      <c r="I52" s="136"/>
      <c r="J52" s="136"/>
      <c r="K52" s="136"/>
      <c r="L52" s="136"/>
      <c r="M52" s="136"/>
      <c r="N52" s="136"/>
      <c r="O52" s="169"/>
      <c r="P52" s="136"/>
      <c r="Q52" s="69">
        <f t="shared" ref="Q52:AL52" si="74">+Q36/Q$7</f>
        <v>7.1153770318550705E-2</v>
      </c>
      <c r="R52" s="69">
        <f t="shared" si="74"/>
        <v>7.8689737127606074E-2</v>
      </c>
      <c r="S52" s="69">
        <f t="shared" si="74"/>
        <v>6.8888140917760576E-2</v>
      </c>
      <c r="T52" s="69">
        <f t="shared" si="74"/>
        <v>6.0703666997026763E-2</v>
      </c>
      <c r="U52" s="69">
        <f t="shared" si="74"/>
        <v>4.7624752890433115E-2</v>
      </c>
      <c r="V52" s="69">
        <f t="shared" si="74"/>
        <v>4.9121230435144464E-2</v>
      </c>
      <c r="W52" s="69">
        <f t="shared" si="74"/>
        <v>3.8727844426060871E-2</v>
      </c>
      <c r="X52" s="69">
        <f t="shared" si="74"/>
        <v>3.7388077760748567E-2</v>
      </c>
      <c r="Y52" s="69">
        <f t="shared" si="74"/>
        <v>3.1338845135779878E-2</v>
      </c>
      <c r="Z52" s="69">
        <f t="shared" si="74"/>
        <v>2.894397478148732E-2</v>
      </c>
      <c r="AA52" s="69">
        <f t="shared" si="74"/>
        <v>2.4439405391786344E-2</v>
      </c>
      <c r="AB52" s="69">
        <f t="shared" si="74"/>
        <v>1.9385157626786765E-2</v>
      </c>
      <c r="AC52" s="69">
        <f t="shared" si="74"/>
        <v>1.8100342885976083E-2</v>
      </c>
      <c r="AD52" s="69">
        <f t="shared" si="74"/>
        <v>1.7072321250945818E-2</v>
      </c>
      <c r="AE52" s="69">
        <f t="shared" si="74"/>
        <v>1.6112416207957017E-2</v>
      </c>
      <c r="AF52" s="69">
        <f t="shared" si="74"/>
        <v>1.5002020017272234E-2</v>
      </c>
      <c r="AG52" s="69">
        <f t="shared" si="74"/>
        <v>1.3946198685361864E-2</v>
      </c>
      <c r="AH52" s="69">
        <f t="shared" si="74"/>
        <v>1.2952417247216026E-2</v>
      </c>
      <c r="AI52" s="69">
        <f t="shared" si="74"/>
        <v>1.2018020274419018E-2</v>
      </c>
      <c r="AJ52" s="69">
        <f t="shared" si="74"/>
        <v>1.1136493376246465E-2</v>
      </c>
      <c r="AK52" s="69">
        <f t="shared" si="74"/>
        <v>1.0309629873169242E-2</v>
      </c>
      <c r="AL52" s="69">
        <f t="shared" si="74"/>
        <v>9.5348581282810058E-3</v>
      </c>
      <c r="AM52" s="69">
        <f t="shared" ref="AM52:AN52" si="75">+AM36/AM$7</f>
        <v>8.8096599289435949E-3</v>
      </c>
      <c r="AN52" s="69">
        <f t="shared" si="75"/>
        <v>8.1346754171883646E-3</v>
      </c>
      <c r="AO52" s="6"/>
    </row>
    <row r="53" spans="1:42">
      <c r="A53" s="5"/>
      <c r="D53" s="61" t="s">
        <v>272</v>
      </c>
      <c r="G53" s="136"/>
      <c r="H53" s="136"/>
      <c r="I53" s="136"/>
      <c r="J53" s="136"/>
      <c r="K53" s="136"/>
      <c r="L53" s="136"/>
      <c r="M53" s="136"/>
      <c r="N53" s="136"/>
      <c r="O53" s="169"/>
      <c r="P53" s="136"/>
      <c r="Q53" s="69">
        <f t="shared" ref="Q53:AL53" si="76">+Q37/Q$7</f>
        <v>5.9418106677813436E-2</v>
      </c>
      <c r="R53" s="69">
        <f t="shared" si="76"/>
        <v>6.6032966052491732E-2</v>
      </c>
      <c r="S53" s="69">
        <f t="shared" si="76"/>
        <v>6.9000336587007743E-2</v>
      </c>
      <c r="T53" s="69">
        <f t="shared" si="76"/>
        <v>8.4572183680211438E-2</v>
      </c>
      <c r="U53" s="69">
        <f t="shared" si="76"/>
        <v>9.117594201162163E-2</v>
      </c>
      <c r="V53" s="69">
        <f t="shared" si="76"/>
        <v>8.9049229482094663E-2</v>
      </c>
      <c r="W53" s="69">
        <f t="shared" si="76"/>
        <v>9.0678683121530129E-2</v>
      </c>
      <c r="X53" s="69">
        <f t="shared" si="76"/>
        <v>8.5746551585060893E-2</v>
      </c>
      <c r="Y53" s="69">
        <f t="shared" si="76"/>
        <v>8.6500441162053521E-2</v>
      </c>
      <c r="Z53" s="69">
        <f t="shared" si="76"/>
        <v>8.5972202321249469E-2</v>
      </c>
      <c r="AA53" s="69">
        <f t="shared" si="76"/>
        <v>8.3144368858654574E-2</v>
      </c>
      <c r="AB53" s="69">
        <f t="shared" si="76"/>
        <v>8.4785588408067353E-2</v>
      </c>
      <c r="AC53" s="69">
        <f t="shared" si="76"/>
        <v>9.321007720366456E-2</v>
      </c>
      <c r="AD53" s="69">
        <f t="shared" si="76"/>
        <v>9.2277124106790995E-2</v>
      </c>
      <c r="AE53" s="69">
        <f t="shared" si="76"/>
        <v>9.1496965059381014E-2</v>
      </c>
      <c r="AF53" s="69">
        <f t="shared" si="76"/>
        <v>9.0855373397423694E-2</v>
      </c>
      <c r="AG53" s="69">
        <f t="shared" si="76"/>
        <v>9.0362948009498748E-2</v>
      </c>
      <c r="AH53" s="69">
        <f t="shared" si="76"/>
        <v>8.9961073502549949E-2</v>
      </c>
      <c r="AI53" s="69">
        <f t="shared" si="76"/>
        <v>8.9631689467311426E-2</v>
      </c>
      <c r="AJ53" s="69">
        <f t="shared" si="76"/>
        <v>8.9369749693796921E-2</v>
      </c>
      <c r="AK53" s="69">
        <f t="shared" si="76"/>
        <v>8.9153268233505154E-2</v>
      </c>
      <c r="AL53" s="69">
        <f t="shared" si="76"/>
        <v>8.8974030356229306E-2</v>
      </c>
      <c r="AM53" s="69">
        <f t="shared" ref="AM53:AN53" si="77">+AM37/AM$7</f>
        <v>8.8825539826434027E-2</v>
      </c>
      <c r="AN53" s="69">
        <f t="shared" si="77"/>
        <v>8.8696323388561094E-2</v>
      </c>
      <c r="AO53" s="6"/>
    </row>
    <row r="54" spans="1:42">
      <c r="A54" s="5"/>
      <c r="D54" s="61" t="s">
        <v>273</v>
      </c>
      <c r="G54" s="136"/>
      <c r="H54" s="136"/>
      <c r="I54" s="136"/>
      <c r="J54" s="136"/>
      <c r="K54" s="136"/>
      <c r="L54" s="136"/>
      <c r="M54" s="136"/>
      <c r="N54" s="136"/>
      <c r="O54" s="169"/>
      <c r="P54" s="136"/>
      <c r="Q54" s="69">
        <f t="shared" ref="Q54:AL54" si="78">+Q38/Q$7</f>
        <v>2.6562980606184883E-2</v>
      </c>
      <c r="R54" s="69">
        <f t="shared" si="78"/>
        <v>2.4462688516450056E-2</v>
      </c>
      <c r="S54" s="69">
        <f t="shared" si="78"/>
        <v>2.3561090541905083E-2</v>
      </c>
      <c r="T54" s="69">
        <f t="shared" si="78"/>
        <v>2.41988767756855E-2</v>
      </c>
      <c r="U54" s="69">
        <f t="shared" si="78"/>
        <v>2.4561193314562992E-2</v>
      </c>
      <c r="V54" s="69">
        <f t="shared" si="78"/>
        <v>2.3499857749703666E-2</v>
      </c>
      <c r="W54" s="69">
        <f t="shared" si="78"/>
        <v>2.432842717894711E-2</v>
      </c>
      <c r="X54" s="69">
        <f t="shared" si="78"/>
        <v>2.375574735823183E-2</v>
      </c>
      <c r="Y54" s="69">
        <f t="shared" si="78"/>
        <v>2.5554720433972746E-2</v>
      </c>
      <c r="Z54" s="69">
        <f t="shared" si="78"/>
        <v>1.0030090270812437E-2</v>
      </c>
      <c r="AA54" s="69">
        <f t="shared" si="78"/>
        <v>8.8183421516754845E-3</v>
      </c>
      <c r="AB54" s="69">
        <f t="shared" si="78"/>
        <v>7.8323869199138432E-3</v>
      </c>
      <c r="AC54" s="69">
        <f t="shared" si="78"/>
        <v>7.2635828883054459E-3</v>
      </c>
      <c r="AD54" s="69">
        <f t="shared" si="78"/>
        <v>6.9493812050996622E-3</v>
      </c>
      <c r="AE54" s="69">
        <f t="shared" si="78"/>
        <v>6.6780580150888292E-3</v>
      </c>
      <c r="AF54" s="69">
        <f t="shared" si="78"/>
        <v>6.4456668357557147E-3</v>
      </c>
      <c r="AG54" s="69">
        <f t="shared" si="78"/>
        <v>6.2551383191619863E-3</v>
      </c>
      <c r="AH54" s="69">
        <f t="shared" si="78"/>
        <v>6.0902296930581065E-3</v>
      </c>
      <c r="AI54" s="69">
        <f t="shared" si="78"/>
        <v>5.9459326261047246E-3</v>
      </c>
      <c r="AJ54" s="69">
        <f t="shared" si="78"/>
        <v>5.8208439836346607E-3</v>
      </c>
      <c r="AK54" s="69">
        <f t="shared" si="78"/>
        <v>5.7088681008461185E-3</v>
      </c>
      <c r="AL54" s="69">
        <f t="shared" si="78"/>
        <v>5.607724215111993E-3</v>
      </c>
      <c r="AM54" s="69">
        <f t="shared" ref="AM54:AN54" si="79">+AM38/AM$7</f>
        <v>5.5156076656661841E-3</v>
      </c>
      <c r="AN54" s="69">
        <f t="shared" si="79"/>
        <v>5.4293351270021861E-3</v>
      </c>
      <c r="AO54" s="6"/>
    </row>
    <row r="55" spans="1:42">
      <c r="A55" s="5"/>
      <c r="D55" s="61" t="s">
        <v>274</v>
      </c>
      <c r="G55" s="136"/>
      <c r="H55" s="136"/>
      <c r="I55" s="136"/>
      <c r="J55" s="136"/>
      <c r="K55" s="136"/>
      <c r="L55" s="136"/>
      <c r="M55" s="136"/>
      <c r="N55" s="136"/>
      <c r="O55" s="169"/>
      <c r="P55" s="136"/>
      <c r="Q55" s="69">
        <f t="shared" ref="Q55:AL55" si="80">+Q39/Q$7</f>
        <v>6.8451728407719667E-2</v>
      </c>
      <c r="R55" s="69">
        <f t="shared" si="80"/>
        <v>7.1564807762681676E-2</v>
      </c>
      <c r="S55" s="69">
        <f t="shared" si="80"/>
        <v>6.989790194098508E-2</v>
      </c>
      <c r="T55" s="69">
        <f t="shared" si="80"/>
        <v>6.6815328708292043E-2</v>
      </c>
      <c r="U55" s="69">
        <f t="shared" si="80"/>
        <v>6.1882226082789191E-2</v>
      </c>
      <c r="V55" s="69">
        <f t="shared" si="80"/>
        <v>6.2285502600487722E-2</v>
      </c>
      <c r="W55" s="69">
        <f t="shared" si="80"/>
        <v>6.1079881002462956E-2</v>
      </c>
      <c r="X55" s="69">
        <f t="shared" si="80"/>
        <v>6.2353795273049926E-2</v>
      </c>
      <c r="Y55" s="69">
        <f t="shared" si="80"/>
        <v>5.9181072513970132E-2</v>
      </c>
      <c r="Z55" s="69">
        <f t="shared" si="80"/>
        <v>5.7601375555237137E-2</v>
      </c>
      <c r="AA55" s="69">
        <f t="shared" si="80"/>
        <v>3.8296800201562106E-2</v>
      </c>
      <c r="AB55" s="69">
        <f t="shared" si="80"/>
        <v>3.6420599177599371E-2</v>
      </c>
      <c r="AC55" s="69">
        <f t="shared" si="80"/>
        <v>4.9128481325321945E-2</v>
      </c>
      <c r="AD55" s="69">
        <f t="shared" si="80"/>
        <v>4.9765695467496165E-2</v>
      </c>
      <c r="AE55" s="69">
        <f t="shared" si="80"/>
        <v>5.0255195277019826E-2</v>
      </c>
      <c r="AF55" s="69">
        <f t="shared" si="80"/>
        <v>5.0610854157861471E-2</v>
      </c>
      <c r="AG55" s="69">
        <f t="shared" si="80"/>
        <v>5.0822324642263821E-2</v>
      </c>
      <c r="AH55" s="69">
        <f t="shared" si="80"/>
        <v>5.0946787805428002E-2</v>
      </c>
      <c r="AI55" s="69">
        <f t="shared" si="80"/>
        <v>5.1001857522842135E-2</v>
      </c>
      <c r="AJ55" s="69">
        <f t="shared" si="80"/>
        <v>5.0992450475621252E-2</v>
      </c>
      <c r="AK55" s="69">
        <f t="shared" si="80"/>
        <v>5.0940010534751237E-2</v>
      </c>
      <c r="AL55" s="69">
        <f t="shared" si="80"/>
        <v>5.0852545795337024E-2</v>
      </c>
      <c r="AM55" s="69">
        <f t="shared" ref="AM55:AN55" si="81">+AM39/AM$7</f>
        <v>5.0736387745826353E-2</v>
      </c>
      <c r="AN55" s="69">
        <f t="shared" si="81"/>
        <v>5.0602723707641559E-2</v>
      </c>
      <c r="AO55" s="6"/>
    </row>
    <row r="56" spans="1:42">
      <c r="A56" s="5"/>
      <c r="D56" s="61" t="s">
        <v>275</v>
      </c>
      <c r="G56" s="136"/>
      <c r="H56" s="136"/>
      <c r="I56" s="136"/>
      <c r="J56" s="136"/>
      <c r="K56" s="136"/>
      <c r="L56" s="136"/>
      <c r="M56" s="136"/>
      <c r="N56" s="136"/>
      <c r="O56" s="169"/>
      <c r="P56" s="136"/>
      <c r="Q56" s="69">
        <f t="shared" ref="Q56:AL56" si="82">+Q40/Q$7</f>
        <v>1.2964438099895103E-2</v>
      </c>
      <c r="R56" s="69">
        <f t="shared" si="82"/>
        <v>1.1150320492512359E-2</v>
      </c>
      <c r="S56" s="69">
        <f t="shared" si="82"/>
        <v>1.6829350387075059E-2</v>
      </c>
      <c r="T56" s="69">
        <f t="shared" si="82"/>
        <v>1.453584407003634E-2</v>
      </c>
      <c r="U56" s="69">
        <f t="shared" si="82"/>
        <v>1.3658419696878933E-2</v>
      </c>
      <c r="V56" s="69">
        <f t="shared" si="82"/>
        <v>1.2293907063502382E-2</v>
      </c>
      <c r="W56" s="69">
        <f t="shared" si="82"/>
        <v>1.3270051188516605E-2</v>
      </c>
      <c r="X56" s="69">
        <f t="shared" si="82"/>
        <v>1.2624021940792127E-2</v>
      </c>
      <c r="Y56" s="69">
        <f t="shared" si="82"/>
        <v>1.2777360216986373E-2</v>
      </c>
      <c r="Z56" s="69">
        <f t="shared" si="82"/>
        <v>1.4042126379137413E-2</v>
      </c>
      <c r="AA56" s="69">
        <f t="shared" si="82"/>
        <v>1.5117157974300832E-2</v>
      </c>
      <c r="AB56" s="69">
        <f t="shared" si="82"/>
        <v>1.5468964166829842E-2</v>
      </c>
      <c r="AC56" s="69">
        <f t="shared" si="82"/>
        <v>1.4829629234558522E-2</v>
      </c>
      <c r="AD56" s="69">
        <f t="shared" si="82"/>
        <v>1.4899554690954709E-2</v>
      </c>
      <c r="AE56" s="69">
        <f t="shared" si="82"/>
        <v>1.4958028131510906E-2</v>
      </c>
      <c r="AF56" s="69">
        <f t="shared" si="82"/>
        <v>1.5006115854176379E-2</v>
      </c>
      <c r="AG56" s="69">
        <f t="shared" si="82"/>
        <v>1.5043023465188241E-2</v>
      </c>
      <c r="AH56" s="69">
        <f t="shared" si="82"/>
        <v>1.5073144227321471E-2</v>
      </c>
      <c r="AI56" s="69">
        <f t="shared" si="82"/>
        <v>1.5097831780287268E-2</v>
      </c>
      <c r="AJ56" s="69">
        <f t="shared" si="82"/>
        <v>1.5117464340887251E-2</v>
      </c>
      <c r="AK56" s="69">
        <f t="shared" si="82"/>
        <v>1.513368977061458E-2</v>
      </c>
      <c r="AL56" s="69">
        <f t="shared" si="82"/>
        <v>1.5147123768973123E-2</v>
      </c>
      <c r="AM56" s="69">
        <f t="shared" ref="AM56:AN56" si="83">+AM40/AM$7</f>
        <v>1.5158253233145805E-2</v>
      </c>
      <c r="AN56" s="69">
        <f t="shared" si="83"/>
        <v>1.5167938091283296E-2</v>
      </c>
      <c r="AO56" s="6"/>
    </row>
    <row r="57" spans="1:42">
      <c r="A57" s="5"/>
      <c r="D57" s="61" t="s">
        <v>279</v>
      </c>
      <c r="G57" s="136"/>
      <c r="H57" s="136"/>
      <c r="I57" s="136"/>
      <c r="J57" s="136"/>
      <c r="K57" s="136"/>
      <c r="L57" s="136"/>
      <c r="M57" s="136"/>
      <c r="N57" s="136"/>
      <c r="O57" s="169"/>
      <c r="P57" s="136"/>
      <c r="Q57" s="69">
        <f t="shared" ref="Q57:AL57" si="84">+Q41/Q$7</f>
        <v>1.5418832269920264E-2</v>
      </c>
      <c r="R57" s="69">
        <f t="shared" si="84"/>
        <v>1.0964115441958982E-2</v>
      </c>
      <c r="S57" s="69">
        <f t="shared" si="84"/>
        <v>1.6156176371592057E-2</v>
      </c>
      <c r="T57" s="69">
        <f t="shared" si="84"/>
        <v>1.6187644532540471E-2</v>
      </c>
      <c r="U57" s="69">
        <f t="shared" si="84"/>
        <v>1.4556999940094651E-2</v>
      </c>
      <c r="V57" s="69">
        <f t="shared" si="84"/>
        <v>1.5775367470865886E-2</v>
      </c>
      <c r="W57" s="69">
        <f t="shared" si="84"/>
        <v>1.3646506541382324E-2</v>
      </c>
      <c r="X57" s="69">
        <f t="shared" si="84"/>
        <v>1.9601516495926435E-2</v>
      </c>
      <c r="Y57" s="69">
        <f t="shared" si="84"/>
        <v>1.7090944740367962E-2</v>
      </c>
      <c r="Z57" s="69">
        <f t="shared" si="84"/>
        <v>2.0919902564837368E-2</v>
      </c>
      <c r="AA57" s="69">
        <f t="shared" si="84"/>
        <v>3.2753842277651801E-3</v>
      </c>
      <c r="AB57" s="69">
        <f t="shared" si="84"/>
        <v>1.2140199725866458E-2</v>
      </c>
      <c r="AC57" s="69">
        <f t="shared" si="84"/>
        <v>2.4000000000000004E-2</v>
      </c>
      <c r="AD57" s="69">
        <f t="shared" si="84"/>
        <v>1.4999999999999999E-2</v>
      </c>
      <c r="AE57" s="69">
        <f t="shared" si="84"/>
        <v>1.4999999999999999E-2</v>
      </c>
      <c r="AF57" s="69">
        <f t="shared" si="84"/>
        <v>1.4999999999999999E-2</v>
      </c>
      <c r="AG57" s="69">
        <f t="shared" si="84"/>
        <v>1.4999999999999999E-2</v>
      </c>
      <c r="AH57" s="69">
        <f t="shared" si="84"/>
        <v>1.4999999999999999E-2</v>
      </c>
      <c r="AI57" s="69">
        <f t="shared" si="84"/>
        <v>1.4999999999999999E-2</v>
      </c>
      <c r="AJ57" s="69">
        <f t="shared" si="84"/>
        <v>1.4999999999999999E-2</v>
      </c>
      <c r="AK57" s="69">
        <f t="shared" si="84"/>
        <v>1.4999999999999999E-2</v>
      </c>
      <c r="AL57" s="69">
        <f t="shared" si="84"/>
        <v>1.4999999999999999E-2</v>
      </c>
      <c r="AM57" s="69">
        <f t="shared" ref="AM57:AN57" si="85">+AM41/AM$7</f>
        <v>1.4999999999999999E-2</v>
      </c>
      <c r="AN57" s="69">
        <f t="shared" si="85"/>
        <v>1.4999999999999999E-2</v>
      </c>
      <c r="AO57" s="6"/>
    </row>
    <row r="58" spans="1:42">
      <c r="A58" s="5"/>
      <c r="D58" s="61" t="s">
        <v>7</v>
      </c>
      <c r="G58" s="136"/>
      <c r="H58" s="136"/>
      <c r="I58" s="136"/>
      <c r="J58" s="136"/>
      <c r="K58" s="136"/>
      <c r="L58" s="136"/>
      <c r="M58" s="136"/>
      <c r="N58" s="136"/>
      <c r="O58" s="169"/>
      <c r="P58" s="136"/>
      <c r="Q58" s="69">
        <f t="shared" ref="Q58:AL58" si="86">+Q42/Q$7</f>
        <v>1.0656739725379161E-2</v>
      </c>
      <c r="R58" s="69">
        <f t="shared" si="86"/>
        <v>1.0174037067735968E-2</v>
      </c>
      <c r="S58" s="69">
        <f t="shared" si="86"/>
        <v>8.5268708627846967E-3</v>
      </c>
      <c r="T58" s="69">
        <f t="shared" si="86"/>
        <v>8.1764122893954409E-3</v>
      </c>
      <c r="U58" s="69">
        <f t="shared" si="86"/>
        <v>9.884382675372911E-3</v>
      </c>
      <c r="V58" s="69">
        <f t="shared" si="86"/>
        <v>9.2476292070593127E-3</v>
      </c>
      <c r="W58" s="69">
        <f t="shared" si="86"/>
        <v>1.054074988024014E-2</v>
      </c>
      <c r="X58" s="69">
        <f t="shared" si="86"/>
        <v>9.1151084939904824E-3</v>
      </c>
      <c r="Y58" s="69">
        <f t="shared" si="86"/>
        <v>8.8232410705532498E-3</v>
      </c>
      <c r="Z58" s="69">
        <f t="shared" si="86"/>
        <v>2.6364808711849836E-2</v>
      </c>
      <c r="AA58" s="69">
        <f t="shared" si="86"/>
        <v>2.6455026455026454E-2</v>
      </c>
      <c r="AB58" s="69">
        <f t="shared" si="86"/>
        <v>2.3692970432739376E-2</v>
      </c>
      <c r="AC58" s="69">
        <f t="shared" si="86"/>
        <v>1.7730053914204531E-2</v>
      </c>
      <c r="AD58" s="69">
        <f t="shared" si="86"/>
        <v>1.8258852155877303E-2</v>
      </c>
      <c r="AE58" s="69">
        <f t="shared" si="86"/>
        <v>1.7906429997458506E-2</v>
      </c>
      <c r="AF58" s="69">
        <f t="shared" si="86"/>
        <v>1.8198468594225369E-2</v>
      </c>
      <c r="AG58" s="69">
        <f t="shared" si="86"/>
        <v>1.872154186059664E-2</v>
      </c>
      <c r="AH58" s="69">
        <f t="shared" si="86"/>
        <v>1.909562517079039E-2</v>
      </c>
      <c r="AI58" s="69">
        <f t="shared" si="86"/>
        <v>1.9695125789113855E-2</v>
      </c>
      <c r="AJ58" s="69">
        <f t="shared" si="86"/>
        <v>1.9951785101590506E-2</v>
      </c>
      <c r="AK58" s="69">
        <f t="shared" si="86"/>
        <v>2.0125041247292291E-2</v>
      </c>
      <c r="AL58" s="69">
        <f t="shared" si="86"/>
        <v>2.0301578850686102E-2</v>
      </c>
      <c r="AM58" s="69">
        <f t="shared" ref="AM58:AN58" si="87">+AM42/AM$7</f>
        <v>2.0481482299382237E-2</v>
      </c>
      <c r="AN58" s="69">
        <f t="shared" si="87"/>
        <v>2.0570375948810709E-2</v>
      </c>
      <c r="AO58" s="6"/>
    </row>
    <row r="59" spans="1:42">
      <c r="A59" s="5"/>
      <c r="D59" s="61" t="s">
        <v>277</v>
      </c>
      <c r="G59" s="136"/>
      <c r="H59" s="136"/>
      <c r="I59" s="136"/>
      <c r="J59" s="136"/>
      <c r="K59" s="136"/>
      <c r="L59" s="136"/>
      <c r="M59" s="136"/>
      <c r="N59" s="136"/>
      <c r="O59" s="169"/>
      <c r="P59" s="136"/>
      <c r="Q59" s="69">
        <f t="shared" ref="Q59:AL59" si="88">+Q43/Q$7</f>
        <v>0.10713998406852113</v>
      </c>
      <c r="R59" s="69">
        <f t="shared" si="88"/>
        <v>9.9115396700808586E-2</v>
      </c>
      <c r="S59" s="69">
        <f t="shared" si="88"/>
        <v>9.547851452933917E-2</v>
      </c>
      <c r="T59" s="69">
        <f t="shared" si="88"/>
        <v>9.8364717542120908E-2</v>
      </c>
      <c r="U59" s="69">
        <f t="shared" si="88"/>
        <v>0.1037560654166417</v>
      </c>
      <c r="V59" s="69">
        <f t="shared" si="88"/>
        <v>9.8188063051423885E-2</v>
      </c>
      <c r="W59" s="69">
        <f t="shared" si="88"/>
        <v>8.9690487820257611E-2</v>
      </c>
      <c r="X59" s="69">
        <f t="shared" si="88"/>
        <v>9.2966040171009109E-2</v>
      </c>
      <c r="Y59" s="69">
        <f t="shared" si="88"/>
        <v>9.1108133721120227E-2</v>
      </c>
      <c r="Z59" s="69">
        <f t="shared" si="88"/>
        <v>9.4855996561111905E-2</v>
      </c>
      <c r="AA59" s="69">
        <f t="shared" si="88"/>
        <v>0.10153691106072059</v>
      </c>
      <c r="AB59" s="69">
        <f t="shared" si="88"/>
        <v>0.10142941061288428</v>
      </c>
      <c r="AC59" s="69">
        <f t="shared" si="88"/>
        <v>0.11032571668344195</v>
      </c>
      <c r="AD59" s="69">
        <f t="shared" si="88"/>
        <v>0.12427187112630253</v>
      </c>
      <c r="AE59" s="69">
        <f t="shared" si="88"/>
        <v>0.12602041185235771</v>
      </c>
      <c r="AF59" s="69">
        <f t="shared" si="88"/>
        <v>0.12380540486937877</v>
      </c>
      <c r="AG59" s="69">
        <f t="shared" si="88"/>
        <v>0.12037382051144921</v>
      </c>
      <c r="AH59" s="69">
        <f t="shared" si="88"/>
        <v>0.11526122614610257</v>
      </c>
      <c r="AI59" s="69">
        <f t="shared" si="88"/>
        <v>0.11102219773413663</v>
      </c>
      <c r="AJ59" s="69">
        <f t="shared" si="88"/>
        <v>0.10765476898088332</v>
      </c>
      <c r="AK59" s="69">
        <f t="shared" si="88"/>
        <v>0.10277725717269204</v>
      </c>
      <c r="AL59" s="69">
        <f t="shared" si="88"/>
        <v>9.7980569327797848E-2</v>
      </c>
      <c r="AM59" s="69">
        <f t="shared" ref="AM59:AN59" si="89">+AM43/AM$7</f>
        <v>9.3004809205036801E-2</v>
      </c>
      <c r="AN59" s="69">
        <f t="shared" si="89"/>
        <v>8.7317330674620761E-2</v>
      </c>
      <c r="AO59" s="6"/>
    </row>
    <row r="60" spans="1:42" s="3" customFormat="1">
      <c r="A60" s="33"/>
      <c r="D60" s="2" t="s">
        <v>278</v>
      </c>
      <c r="E60" s="2"/>
      <c r="F60" s="2"/>
      <c r="G60" s="7"/>
      <c r="H60" s="7"/>
      <c r="I60" s="7"/>
      <c r="J60" s="7"/>
      <c r="K60" s="7"/>
      <c r="L60" s="172">
        <f>+L44/L$7</f>
        <v>0.94695879343500933</v>
      </c>
      <c r="M60" s="172">
        <f>+M44/M$7</f>
        <v>0.94870918916867142</v>
      </c>
      <c r="N60" s="172">
        <f>+N44/N$7</f>
        <v>0.93551639145266074</v>
      </c>
      <c r="O60" s="172">
        <f>+O44/O$7</f>
        <v>0.94535173598925359</v>
      </c>
      <c r="P60" s="172">
        <f>+P44/P$7</f>
        <v>0.94582134538977947</v>
      </c>
      <c r="Q60" s="172">
        <f t="shared" ref="Q60:AL60" si="90">+Q44/Q$7</f>
        <v>0.93416198055097655</v>
      </c>
      <c r="R60" s="172">
        <f t="shared" si="90"/>
        <v>0.89117349267658152</v>
      </c>
      <c r="S60" s="172">
        <f t="shared" si="90"/>
        <v>0.8953999775608662</v>
      </c>
      <c r="T60" s="172">
        <f t="shared" si="90"/>
        <v>0.90518665345226301</v>
      </c>
      <c r="U60" s="172">
        <f t="shared" si="90"/>
        <v>0.89522554364104712</v>
      </c>
      <c r="V60" s="172">
        <f t="shared" si="90"/>
        <v>0.85573208856617666</v>
      </c>
      <c r="W60" s="172">
        <f t="shared" si="90"/>
        <v>0.84029540451539364</v>
      </c>
      <c r="X60" s="172">
        <f t="shared" si="90"/>
        <v>0.8424215536016777</v>
      </c>
      <c r="Y60" s="172">
        <f t="shared" si="90"/>
        <v>0.8438286330512077</v>
      </c>
      <c r="Z60" s="172">
        <f t="shared" si="90"/>
        <v>0.85370396905000712</v>
      </c>
      <c r="AA60" s="172">
        <f t="shared" si="90"/>
        <v>0.81758629377676995</v>
      </c>
      <c r="AB60" s="172">
        <f t="shared" si="90"/>
        <v>0.82886234579988249</v>
      </c>
      <c r="AC60" s="172">
        <f t="shared" si="90"/>
        <v>0.87276662513427239</v>
      </c>
      <c r="AD60" s="172">
        <f t="shared" si="90"/>
        <v>0.87433580426592883</v>
      </c>
      <c r="AE60" s="172">
        <f t="shared" si="90"/>
        <v>0.87167432533938316</v>
      </c>
      <c r="AF60" s="172">
        <f t="shared" si="90"/>
        <v>0.86603730508219245</v>
      </c>
      <c r="AG60" s="172">
        <f t="shared" si="90"/>
        <v>0.86000098483372756</v>
      </c>
      <c r="AH60" s="172">
        <f t="shared" si="90"/>
        <v>0.85252018074364033</v>
      </c>
      <c r="AI60" s="172">
        <f t="shared" si="90"/>
        <v>0.84645706494274664</v>
      </c>
      <c r="AJ60" s="172">
        <f t="shared" si="90"/>
        <v>0.84121696403655388</v>
      </c>
      <c r="AK60" s="172">
        <f t="shared" si="90"/>
        <v>0.8346013292536445</v>
      </c>
      <c r="AL60" s="172">
        <f t="shared" si="90"/>
        <v>0.82825599329545285</v>
      </c>
      <c r="AM60" s="172">
        <f t="shared" ref="AM60:AN60" si="91">+AM44/AM$7</f>
        <v>0.82189554231437678</v>
      </c>
      <c r="AN60" s="172">
        <f t="shared" si="91"/>
        <v>0.81485283449781309</v>
      </c>
      <c r="AO60" s="55"/>
    </row>
    <row r="61" spans="1:42"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6"/>
    </row>
    <row r="62" spans="1:42">
      <c r="C62" s="94"/>
      <c r="D62" s="95" t="s">
        <v>225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</row>
    <row r="63" spans="1:42" ht="5.15" customHeight="1">
      <c r="G63" s="6"/>
      <c r="H63" s="6"/>
      <c r="I63" s="6"/>
      <c r="J63" s="6"/>
      <c r="K63" s="6"/>
      <c r="L63" s="6"/>
      <c r="M63" s="6"/>
      <c r="N63" s="6"/>
      <c r="O63" s="6"/>
      <c r="P63" s="84"/>
      <c r="Q63" s="62"/>
      <c r="R63" s="62"/>
      <c r="S63" s="62"/>
      <c r="T63" s="62"/>
      <c r="U63" s="62"/>
      <c r="V63" s="62"/>
      <c r="W63" s="62"/>
      <c r="X63" s="62"/>
      <c r="Y63" s="62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6"/>
    </row>
    <row r="64" spans="1:42">
      <c r="D64" s="145" t="s">
        <v>442</v>
      </c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3"/>
      <c r="S64" s="143"/>
      <c r="T64" s="143"/>
      <c r="U64" s="143"/>
      <c r="V64" s="143"/>
      <c r="W64" s="143"/>
      <c r="X64" s="143"/>
      <c r="Y64" s="143"/>
      <c r="Z64" s="146"/>
      <c r="AA64" s="146"/>
      <c r="AB64" s="146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</row>
    <row r="65" spans="1:42">
      <c r="A65" s="5"/>
      <c r="D65" s="153" t="s">
        <v>232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56"/>
      <c r="U65" s="56"/>
      <c r="V65" s="56"/>
      <c r="W65" s="62"/>
      <c r="X65" s="62"/>
      <c r="Y65" s="62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6"/>
      <c r="AM65" s="6"/>
      <c r="AN65" s="6"/>
    </row>
    <row r="66" spans="1:42">
      <c r="A66" s="5"/>
      <c r="D66" s="61" t="s">
        <v>233</v>
      </c>
      <c r="G66" s="136"/>
      <c r="H66" s="136"/>
      <c r="I66" s="136"/>
      <c r="J66" s="136"/>
      <c r="K66" s="136"/>
      <c r="L66" s="136"/>
      <c r="M66" s="154" t="s">
        <v>41</v>
      </c>
      <c r="N66" s="154" t="s">
        <v>41</v>
      </c>
      <c r="O66" s="154" t="s">
        <v>41</v>
      </c>
      <c r="P66" s="154" t="s">
        <v>41</v>
      </c>
      <c r="Q66" s="154" t="s">
        <v>41</v>
      </c>
      <c r="R66" s="154" t="s">
        <v>41</v>
      </c>
      <c r="S66" s="154" t="s">
        <v>41</v>
      </c>
      <c r="T66" s="154" t="s">
        <v>41</v>
      </c>
      <c r="U66" s="154" t="s">
        <v>41</v>
      </c>
      <c r="V66" s="154" t="s">
        <v>41</v>
      </c>
      <c r="W66" s="154">
        <v>-0.1</v>
      </c>
      <c r="X66" s="154">
        <v>-0.02</v>
      </c>
      <c r="Y66" s="154">
        <v>-0.05</v>
      </c>
      <c r="Z66" s="154">
        <v>-0.06</v>
      </c>
      <c r="AA66" s="154">
        <f>AVERAGE(-8%,-30%,-10%,-6%)</f>
        <v>-0.13500000000000001</v>
      </c>
      <c r="AB66" s="154">
        <v>0.05</v>
      </c>
      <c r="AC66" s="154">
        <v>-0.15</v>
      </c>
      <c r="AD66" s="154">
        <v>-0.08</v>
      </c>
      <c r="AE66" s="154">
        <v>-0.04</v>
      </c>
      <c r="AF66" s="154">
        <v>-0.04</v>
      </c>
      <c r="AG66" s="154">
        <v>-0.04</v>
      </c>
      <c r="AH66" s="154">
        <v>-0.04</v>
      </c>
      <c r="AI66" s="154">
        <v>-0.04</v>
      </c>
      <c r="AJ66" s="154">
        <v>-0.04</v>
      </c>
      <c r="AK66" s="154">
        <v>-0.04</v>
      </c>
      <c r="AL66" s="154">
        <v>-0.04</v>
      </c>
      <c r="AM66" s="154">
        <v>-0.04</v>
      </c>
      <c r="AN66" s="154">
        <v>-0.04</v>
      </c>
      <c r="AO66" s="6"/>
    </row>
    <row r="67" spans="1:42">
      <c r="A67" s="5"/>
      <c r="D67" s="61" t="s">
        <v>234</v>
      </c>
      <c r="G67" s="136"/>
      <c r="H67" s="136"/>
      <c r="I67" s="136"/>
      <c r="J67" s="136"/>
      <c r="K67" s="136"/>
      <c r="L67" s="136"/>
      <c r="M67" s="154" t="s">
        <v>41</v>
      </c>
      <c r="N67" s="154" t="s">
        <v>41</v>
      </c>
      <c r="O67" s="154" t="s">
        <v>41</v>
      </c>
      <c r="P67" s="154" t="s">
        <v>41</v>
      </c>
      <c r="Q67" s="154" t="s">
        <v>41</v>
      </c>
      <c r="R67" s="154" t="s">
        <v>41</v>
      </c>
      <c r="S67" s="154" t="s">
        <v>41</v>
      </c>
      <c r="T67" s="154" t="s">
        <v>41</v>
      </c>
      <c r="U67" s="154" t="s">
        <v>41</v>
      </c>
      <c r="V67" s="154" t="s">
        <v>41</v>
      </c>
      <c r="W67" s="154">
        <v>0</v>
      </c>
      <c r="X67" s="154">
        <v>0.02</v>
      </c>
      <c r="Y67" s="154">
        <v>0</v>
      </c>
      <c r="Z67" s="154">
        <v>-7.0000000000000007E-2</v>
      </c>
      <c r="AA67" s="154">
        <f>AVERAGE(-8%,-17%,-8%,-4%)</f>
        <v>-9.2499999999999999E-2</v>
      </c>
      <c r="AB67" s="154">
        <v>0.09</v>
      </c>
      <c r="AC67" s="154">
        <v>-0.06</v>
      </c>
      <c r="AD67" s="154">
        <v>-0.03</v>
      </c>
      <c r="AE67" s="154">
        <v>1.4999999999999999E-2</v>
      </c>
      <c r="AF67" s="154">
        <v>1.4999999999999999E-2</v>
      </c>
      <c r="AG67" s="154">
        <v>1.4999999999999999E-2</v>
      </c>
      <c r="AH67" s="154">
        <v>1.4999999999999999E-2</v>
      </c>
      <c r="AI67" s="154">
        <v>1.4999999999999999E-2</v>
      </c>
      <c r="AJ67" s="154">
        <v>1.4999999999999999E-2</v>
      </c>
      <c r="AK67" s="154">
        <v>1.4999999999999999E-2</v>
      </c>
      <c r="AL67" s="154">
        <v>1.4999999999999999E-2</v>
      </c>
      <c r="AM67" s="154">
        <v>1.4999999999999999E-2</v>
      </c>
      <c r="AN67" s="154">
        <v>1.4999999999999999E-2</v>
      </c>
      <c r="AO67" s="6"/>
    </row>
    <row r="68" spans="1:42">
      <c r="A68" s="5"/>
      <c r="D68" s="61" t="s">
        <v>235</v>
      </c>
      <c r="G68" s="136"/>
      <c r="H68" s="136"/>
      <c r="I68" s="136"/>
      <c r="J68" s="136"/>
      <c r="K68" s="136"/>
      <c r="L68" s="136"/>
      <c r="M68" s="154" t="s">
        <v>41</v>
      </c>
      <c r="N68" s="154" t="s">
        <v>41</v>
      </c>
      <c r="O68" s="154" t="s">
        <v>41</v>
      </c>
      <c r="P68" s="154" t="s">
        <v>41</v>
      </c>
      <c r="Q68" s="154" t="s">
        <v>41</v>
      </c>
      <c r="R68" s="154" t="s">
        <v>41</v>
      </c>
      <c r="S68" s="154" t="s">
        <v>41</v>
      </c>
      <c r="T68" s="154" t="s">
        <v>41</v>
      </c>
      <c r="U68" s="154" t="s">
        <v>41</v>
      </c>
      <c r="V68" s="154" t="s">
        <v>41</v>
      </c>
      <c r="W68" s="154">
        <v>-0.08</v>
      </c>
      <c r="X68" s="154">
        <v>0.05</v>
      </c>
      <c r="Y68" s="154">
        <v>-0.1</v>
      </c>
      <c r="Z68" s="154">
        <v>-0.12</v>
      </c>
      <c r="AA68" s="154">
        <f>AVERAGE(3%,-23%,-7%,-13%)</f>
        <v>-0.1</v>
      </c>
      <c r="AB68" s="154">
        <v>-7.0000000000000007E-2</v>
      </c>
      <c r="AC68" s="154">
        <v>-0.06</v>
      </c>
      <c r="AD68" s="154">
        <v>-0.06</v>
      </c>
      <c r="AE68" s="154">
        <v>-0.06</v>
      </c>
      <c r="AF68" s="154">
        <v>-0.06</v>
      </c>
      <c r="AG68" s="154">
        <v>-0.06</v>
      </c>
      <c r="AH68" s="154">
        <v>-0.06</v>
      </c>
      <c r="AI68" s="154">
        <v>-0.06</v>
      </c>
      <c r="AJ68" s="154">
        <v>-0.06</v>
      </c>
      <c r="AK68" s="154">
        <v>-0.06</v>
      </c>
      <c r="AL68" s="154">
        <v>-0.06</v>
      </c>
      <c r="AM68" s="154">
        <v>-0.06</v>
      </c>
      <c r="AN68" s="154">
        <v>-0.06</v>
      </c>
      <c r="AO68" s="6"/>
    </row>
    <row r="69" spans="1:42">
      <c r="A69" s="5"/>
      <c r="D69" s="61" t="s">
        <v>236</v>
      </c>
      <c r="G69" s="136"/>
      <c r="H69" s="136"/>
      <c r="I69" s="136"/>
      <c r="J69" s="136"/>
      <c r="K69" s="136"/>
      <c r="L69" s="136"/>
      <c r="M69" s="154" t="s">
        <v>41</v>
      </c>
      <c r="N69" s="154" t="s">
        <v>41</v>
      </c>
      <c r="O69" s="154" t="s">
        <v>41</v>
      </c>
      <c r="P69" s="154" t="s">
        <v>41</v>
      </c>
      <c r="Q69" s="154" t="s">
        <v>41</v>
      </c>
      <c r="R69" s="154" t="s">
        <v>41</v>
      </c>
      <c r="S69" s="154" t="s">
        <v>41</v>
      </c>
      <c r="T69" s="154" t="s">
        <v>41</v>
      </c>
      <c r="U69" s="154" t="s">
        <v>41</v>
      </c>
      <c r="V69" s="154" t="s">
        <v>41</v>
      </c>
      <c r="W69" s="154">
        <v>0.03</v>
      </c>
      <c r="X69" s="154">
        <v>0.04</v>
      </c>
      <c r="Y69" s="154">
        <v>0.05</v>
      </c>
      <c r="Z69" s="154">
        <v>0.02</v>
      </c>
      <c r="AA69" s="154">
        <f>AVERAGE(0%,-3%,2%,4%)</f>
        <v>7.5000000000000006E-3</v>
      </c>
      <c r="AB69" s="154">
        <v>0.08</v>
      </c>
      <c r="AC69" s="154">
        <v>1.4999999999999999E-2</v>
      </c>
      <c r="AD69" s="154">
        <v>0</v>
      </c>
      <c r="AE69" s="154">
        <v>0.01</v>
      </c>
      <c r="AF69" s="154">
        <v>0.03</v>
      </c>
      <c r="AG69" s="154">
        <v>0.03</v>
      </c>
      <c r="AH69" s="154">
        <v>0.03</v>
      </c>
      <c r="AI69" s="154">
        <v>0.03</v>
      </c>
      <c r="AJ69" s="154">
        <v>0.03</v>
      </c>
      <c r="AK69" s="154">
        <v>0.03</v>
      </c>
      <c r="AL69" s="154">
        <v>0.03</v>
      </c>
      <c r="AM69" s="154">
        <v>0.03</v>
      </c>
      <c r="AN69" s="154">
        <v>0.03</v>
      </c>
      <c r="AO69" s="6"/>
    </row>
    <row r="70" spans="1:42">
      <c r="A70" s="5"/>
      <c r="D70" s="149" t="s">
        <v>237</v>
      </c>
      <c r="E70" s="8"/>
      <c r="F70" s="8"/>
      <c r="G70" s="155"/>
      <c r="H70" s="155"/>
      <c r="I70" s="196">
        <v>0.06</v>
      </c>
      <c r="J70" s="196">
        <v>0.11</v>
      </c>
      <c r="K70" s="196">
        <v>0.09</v>
      </c>
      <c r="L70" s="196">
        <v>0.18</v>
      </c>
      <c r="M70" s="196">
        <v>0.08</v>
      </c>
      <c r="N70" s="196">
        <v>0.01</v>
      </c>
      <c r="O70" s="196">
        <v>0.05</v>
      </c>
      <c r="P70" s="196">
        <v>-0.03</v>
      </c>
      <c r="Q70" s="196">
        <v>-0.02</v>
      </c>
      <c r="R70" s="196">
        <v>7.0000000000000007E-2</v>
      </c>
      <c r="S70" s="196">
        <v>0.02</v>
      </c>
      <c r="T70" s="196">
        <v>0.04</v>
      </c>
      <c r="U70" s="196">
        <v>0.03</v>
      </c>
      <c r="V70" s="196">
        <v>-0.03</v>
      </c>
      <c r="W70" s="197">
        <f t="shared" ref="W70:AN70" si="92">SUMPRODUCT(W66:W69,V95:V98)/SUM(V95:V98)</f>
        <v>5.3086450645674918E-3</v>
      </c>
      <c r="X70" s="197">
        <f t="shared" si="92"/>
        <v>3.2581801395331761E-2</v>
      </c>
      <c r="Y70" s="197">
        <f t="shared" si="92"/>
        <v>2.2941034121158346E-2</v>
      </c>
      <c r="Z70" s="197">
        <f t="shared" si="92"/>
        <v>-1.1277409234992323E-2</v>
      </c>
      <c r="AA70" s="197">
        <f t="shared" si="92"/>
        <v>-2.6352808425275827E-2</v>
      </c>
      <c r="AB70" s="197">
        <f t="shared" si="92"/>
        <v>7.3736457545981363E-2</v>
      </c>
      <c r="AC70" s="197">
        <f t="shared" si="92"/>
        <v>-1.2027609163892698E-2</v>
      </c>
      <c r="AD70" s="197">
        <f t="shared" si="92"/>
        <v>-1.183963486657263E-2</v>
      </c>
      <c r="AE70" s="197">
        <f t="shared" si="92"/>
        <v>6.7245454853957732E-3</v>
      </c>
      <c r="AF70" s="197">
        <f t="shared" si="92"/>
        <v>2.1418089587068374E-2</v>
      </c>
      <c r="AG70" s="197">
        <f t="shared" si="92"/>
        <v>2.1763286483223655E-2</v>
      </c>
      <c r="AH70" s="197">
        <f t="shared" si="92"/>
        <v>2.2096346845574284E-2</v>
      </c>
      <c r="AI70" s="197">
        <f t="shared" si="92"/>
        <v>2.2414638064230667E-2</v>
      </c>
      <c r="AJ70" s="197">
        <f t="shared" si="92"/>
        <v>2.2718641987897154E-2</v>
      </c>
      <c r="AK70" s="197">
        <f t="shared" si="92"/>
        <v>2.3010130937110542E-2</v>
      </c>
      <c r="AL70" s="197">
        <f t="shared" si="92"/>
        <v>2.3288186129898192E-2</v>
      </c>
      <c r="AM70" s="197">
        <f t="shared" si="92"/>
        <v>2.3553301519521844E-2</v>
      </c>
      <c r="AN70" s="197">
        <f t="shared" si="92"/>
        <v>2.3805969127212622E-2</v>
      </c>
      <c r="AO70" s="6"/>
    </row>
    <row r="71" spans="1:42">
      <c r="A71" s="5"/>
      <c r="D71" s="158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59"/>
      <c r="W71" s="59"/>
      <c r="X71" s="59"/>
      <c r="Y71" s="59"/>
      <c r="Z71" s="59"/>
      <c r="AA71" s="59"/>
      <c r="AB71" s="213"/>
      <c r="AC71" s="213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6"/>
    </row>
    <row r="72" spans="1:42">
      <c r="A72" s="5"/>
      <c r="D72" s="153" t="s">
        <v>238</v>
      </c>
      <c r="G72" s="6"/>
      <c r="H72" s="6"/>
      <c r="I72" s="6"/>
      <c r="J72" s="6"/>
      <c r="K72" s="6"/>
      <c r="L72" s="6"/>
      <c r="M72" s="6"/>
      <c r="N72" s="6"/>
      <c r="O72" s="6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6"/>
      <c r="AB72" s="235"/>
      <c r="AC72" s="6"/>
      <c r="AD72" s="6"/>
      <c r="AE72" s="6"/>
      <c r="AF72" s="6"/>
      <c r="AG72" s="6"/>
      <c r="AH72" s="6"/>
      <c r="AI72" s="6"/>
      <c r="AJ72" s="6"/>
      <c r="AK72" s="6"/>
      <c r="AL72" s="213"/>
      <c r="AM72" s="213"/>
      <c r="AN72" s="213"/>
      <c r="AO72" s="6"/>
    </row>
    <row r="73" spans="1:42">
      <c r="A73" s="5"/>
      <c r="D73" s="61" t="s">
        <v>233</v>
      </c>
      <c r="G73" s="136"/>
      <c r="H73" s="136"/>
      <c r="I73" s="136"/>
      <c r="J73" s="136"/>
      <c r="K73" s="136"/>
      <c r="L73" s="136"/>
      <c r="M73" s="70" t="s">
        <v>41</v>
      </c>
      <c r="N73" s="70" t="s">
        <v>41</v>
      </c>
      <c r="O73" s="70" t="s">
        <v>41</v>
      </c>
      <c r="P73" s="70" t="s">
        <v>41</v>
      </c>
      <c r="Q73" s="70" t="s">
        <v>41</v>
      </c>
      <c r="R73" s="70" t="s">
        <v>41</v>
      </c>
      <c r="S73" s="70" t="s">
        <v>41</v>
      </c>
      <c r="T73" s="70" t="s">
        <v>41</v>
      </c>
      <c r="U73" s="70" t="s">
        <v>41</v>
      </c>
      <c r="V73" s="70" t="s">
        <v>41</v>
      </c>
      <c r="W73" s="69">
        <f t="shared" ref="W73:AB76" si="93">(W95-(V95*(1+W66)))/V95</f>
        <v>0.18786310695913663</v>
      </c>
      <c r="X73" s="69">
        <f t="shared" si="93"/>
        <v>0.21550423056954851</v>
      </c>
      <c r="Y73" s="69">
        <f t="shared" si="93"/>
        <v>0.21373239436619726</v>
      </c>
      <c r="Z73" s="69">
        <f t="shared" si="93"/>
        <v>0.19968734241048922</v>
      </c>
      <c r="AA73" s="69">
        <f t="shared" si="93"/>
        <v>0.17039823008849553</v>
      </c>
      <c r="AB73" s="69">
        <f t="shared" si="93"/>
        <v>0.17649572649572642</v>
      </c>
      <c r="AC73" s="70">
        <v>0.23</v>
      </c>
      <c r="AD73" s="70">
        <v>0.2</v>
      </c>
      <c r="AE73" s="70">
        <v>0.18</v>
      </c>
      <c r="AF73" s="70">
        <v>0.16</v>
      </c>
      <c r="AG73" s="70">
        <v>0.14000000000000001</v>
      </c>
      <c r="AH73" s="70">
        <v>0.13</v>
      </c>
      <c r="AI73" s="70">
        <v>0.12</v>
      </c>
      <c r="AJ73" s="70">
        <v>0.105</v>
      </c>
      <c r="AK73" s="70">
        <v>9.5000000000000001E-2</v>
      </c>
      <c r="AL73" s="70">
        <v>8.5000000000000006E-2</v>
      </c>
      <c r="AM73" s="70">
        <v>7.4999999999999997E-2</v>
      </c>
      <c r="AN73" s="70">
        <v>7.0000000000000007E-2</v>
      </c>
      <c r="AO73" s="6"/>
      <c r="AP73" s="70"/>
    </row>
    <row r="74" spans="1:42">
      <c r="A74" s="5"/>
      <c r="D74" s="61" t="s">
        <v>234</v>
      </c>
      <c r="G74" s="136"/>
      <c r="H74" s="136"/>
      <c r="I74" s="136"/>
      <c r="J74" s="136"/>
      <c r="K74" s="136"/>
      <c r="L74" s="136"/>
      <c r="M74" s="70" t="s">
        <v>41</v>
      </c>
      <c r="N74" s="70" t="s">
        <v>41</v>
      </c>
      <c r="O74" s="70" t="s">
        <v>41</v>
      </c>
      <c r="P74" s="70" t="s">
        <v>41</v>
      </c>
      <c r="Q74" s="70" t="s">
        <v>41</v>
      </c>
      <c r="R74" s="70" t="s">
        <v>41</v>
      </c>
      <c r="S74" s="70" t="s">
        <v>41</v>
      </c>
      <c r="T74" s="70" t="s">
        <v>41</v>
      </c>
      <c r="U74" s="70" t="s">
        <v>41</v>
      </c>
      <c r="V74" s="70" t="s">
        <v>41</v>
      </c>
      <c r="W74" s="69">
        <f t="shared" si="93"/>
        <v>0.12976392612257945</v>
      </c>
      <c r="X74" s="69">
        <f t="shared" si="93"/>
        <v>0.12663696120491233</v>
      </c>
      <c r="Y74" s="69">
        <f t="shared" si="93"/>
        <v>0.23564833400240875</v>
      </c>
      <c r="Z74" s="69">
        <f t="shared" si="93"/>
        <v>0.16324236517218965</v>
      </c>
      <c r="AA74" s="69">
        <f t="shared" si="93"/>
        <v>0.20839895988112936</v>
      </c>
      <c r="AB74" s="69">
        <f t="shared" si="93"/>
        <v>0.28549933422103857</v>
      </c>
      <c r="AC74" s="70">
        <v>0.37</v>
      </c>
      <c r="AD74" s="70">
        <v>0.2</v>
      </c>
      <c r="AE74" s="70">
        <v>0.18</v>
      </c>
      <c r="AF74" s="70">
        <v>0.16</v>
      </c>
      <c r="AG74" s="70">
        <v>0.14000000000000001</v>
      </c>
      <c r="AH74" s="70">
        <v>0.13</v>
      </c>
      <c r="AI74" s="70">
        <v>0.12</v>
      </c>
      <c r="AJ74" s="70">
        <v>0.105</v>
      </c>
      <c r="AK74" s="70">
        <v>9.5000000000000001E-2</v>
      </c>
      <c r="AL74" s="70">
        <v>8.5000000000000006E-2</v>
      </c>
      <c r="AM74" s="70">
        <v>7.4999999999999997E-2</v>
      </c>
      <c r="AN74" s="70">
        <v>7.0000000000000007E-2</v>
      </c>
      <c r="AO74" s="6"/>
    </row>
    <row r="75" spans="1:42">
      <c r="A75" s="5"/>
      <c r="D75" s="61" t="s">
        <v>235</v>
      </c>
      <c r="G75" s="136"/>
      <c r="H75" s="136"/>
      <c r="I75" s="136"/>
      <c r="J75" s="136"/>
      <c r="K75" s="136"/>
      <c r="L75" s="136"/>
      <c r="M75" s="70" t="s">
        <v>41</v>
      </c>
      <c r="N75" s="70" t="s">
        <v>41</v>
      </c>
      <c r="O75" s="70" t="s">
        <v>41</v>
      </c>
      <c r="P75" s="70" t="s">
        <v>41</v>
      </c>
      <c r="Q75" s="70" t="s">
        <v>41</v>
      </c>
      <c r="R75" s="70" t="s">
        <v>41</v>
      </c>
      <c r="S75" s="70" t="s">
        <v>41</v>
      </c>
      <c r="T75" s="70" t="s">
        <v>41</v>
      </c>
      <c r="U75" s="70" t="s">
        <v>41</v>
      </c>
      <c r="V75" s="70" t="s">
        <v>41</v>
      </c>
      <c r="W75" s="69">
        <f t="shared" si="93"/>
        <v>4.6254438914648609E-2</v>
      </c>
      <c r="X75" s="69">
        <f t="shared" si="93"/>
        <v>8.4356239297727897E-2</v>
      </c>
      <c r="Y75" s="69">
        <f t="shared" si="93"/>
        <v>0.14176610978520282</v>
      </c>
      <c r="Z75" s="69">
        <f t="shared" si="93"/>
        <v>0.11226804123711343</v>
      </c>
      <c r="AA75" s="69">
        <f t="shared" si="93"/>
        <v>7.5468975468975408E-2</v>
      </c>
      <c r="AB75" s="69">
        <f t="shared" si="93"/>
        <v>0.11142011834319535</v>
      </c>
      <c r="AC75" s="70">
        <v>0.2</v>
      </c>
      <c r="AD75" s="70">
        <v>0.2</v>
      </c>
      <c r="AE75" s="70">
        <v>0.18</v>
      </c>
      <c r="AF75" s="70">
        <v>0.16</v>
      </c>
      <c r="AG75" s="70">
        <v>0.14000000000000001</v>
      </c>
      <c r="AH75" s="70">
        <v>0.13</v>
      </c>
      <c r="AI75" s="70">
        <v>0.12</v>
      </c>
      <c r="AJ75" s="70">
        <v>0.105</v>
      </c>
      <c r="AK75" s="70">
        <v>9.5000000000000001E-2</v>
      </c>
      <c r="AL75" s="70">
        <v>8.5000000000000006E-2</v>
      </c>
      <c r="AM75" s="70">
        <v>7.4999999999999997E-2</v>
      </c>
      <c r="AN75" s="70">
        <v>7.0000000000000007E-2</v>
      </c>
      <c r="AO75" s="6"/>
    </row>
    <row r="76" spans="1:42">
      <c r="A76" s="5"/>
      <c r="D76" s="61" t="s">
        <v>236</v>
      </c>
      <c r="G76" s="136"/>
      <c r="H76" s="136"/>
      <c r="I76" s="136"/>
      <c r="J76" s="136"/>
      <c r="K76" s="136"/>
      <c r="L76" s="136"/>
      <c r="M76" s="70" t="s">
        <v>41</v>
      </c>
      <c r="N76" s="70" t="s">
        <v>41</v>
      </c>
      <c r="O76" s="70" t="s">
        <v>41</v>
      </c>
      <c r="P76" s="70" t="s">
        <v>41</v>
      </c>
      <c r="Q76" s="70" t="s">
        <v>41</v>
      </c>
      <c r="R76" s="70" t="s">
        <v>41</v>
      </c>
      <c r="S76" s="70" t="s">
        <v>41</v>
      </c>
      <c r="T76" s="70" t="s">
        <v>41</v>
      </c>
      <c r="U76" s="70" t="s">
        <v>41</v>
      </c>
      <c r="V76" s="70" t="s">
        <v>41</v>
      </c>
      <c r="W76" s="69">
        <f t="shared" si="93"/>
        <v>0.16706016866203052</v>
      </c>
      <c r="X76" s="69">
        <f t="shared" si="93"/>
        <v>0.13345025940591937</v>
      </c>
      <c r="Y76" s="69">
        <f t="shared" si="93"/>
        <v>0.21071080817916246</v>
      </c>
      <c r="Z76" s="69">
        <f t="shared" si="93"/>
        <v>0.14685170882409726</v>
      </c>
      <c r="AA76" s="69">
        <f t="shared" si="93"/>
        <v>0.15704648877857069</v>
      </c>
      <c r="AB76" s="69">
        <f t="shared" si="93"/>
        <v>0.2027708703374777</v>
      </c>
      <c r="AC76" s="70">
        <v>0.28000000000000003</v>
      </c>
      <c r="AD76" s="70">
        <v>0.2</v>
      </c>
      <c r="AE76" s="70">
        <v>0.18</v>
      </c>
      <c r="AF76" s="70">
        <v>0.16</v>
      </c>
      <c r="AG76" s="70">
        <v>0.14000000000000001</v>
      </c>
      <c r="AH76" s="70">
        <v>0.13</v>
      </c>
      <c r="AI76" s="70">
        <v>0.12</v>
      </c>
      <c r="AJ76" s="70">
        <v>0.105</v>
      </c>
      <c r="AK76" s="70">
        <v>9.5000000000000001E-2</v>
      </c>
      <c r="AL76" s="70">
        <v>8.5000000000000006E-2</v>
      </c>
      <c r="AM76" s="70">
        <v>7.4999999999999997E-2</v>
      </c>
      <c r="AN76" s="70">
        <v>7.0000000000000007E-2</v>
      </c>
      <c r="AO76" s="6"/>
    </row>
    <row r="77" spans="1:42">
      <c r="A77" s="5"/>
      <c r="D77" s="149" t="s">
        <v>238</v>
      </c>
      <c r="E77" s="8"/>
      <c r="F77" s="8"/>
      <c r="G77" s="155"/>
      <c r="H77" s="155"/>
      <c r="I77" s="155"/>
      <c r="J77" s="155"/>
      <c r="K77" s="157"/>
      <c r="L77" s="157"/>
      <c r="M77" s="157">
        <f t="shared" ref="M77:AN77" si="94">(M7-(L7*(1+M70)))/L7</f>
        <v>0.19453102889418361</v>
      </c>
      <c r="N77" s="157">
        <f t="shared" si="94"/>
        <v>0.14308480302146079</v>
      </c>
      <c r="O77" s="157">
        <f t="shared" si="94"/>
        <v>0.31008525941989007</v>
      </c>
      <c r="P77" s="157">
        <f t="shared" si="94"/>
        <v>0.35495492115740684</v>
      </c>
      <c r="Q77" s="157">
        <f t="shared" si="94"/>
        <v>0.46760697812485741</v>
      </c>
      <c r="R77" s="157">
        <f t="shared" si="94"/>
        <v>0.14984809886981112</v>
      </c>
      <c r="S77" s="157">
        <f t="shared" si="94"/>
        <v>0.13253167748768019</v>
      </c>
      <c r="T77" s="157">
        <f t="shared" si="94"/>
        <v>0.3184651632446987</v>
      </c>
      <c r="U77" s="157">
        <f t="shared" si="94"/>
        <v>0.34867525602907162</v>
      </c>
      <c r="V77" s="157">
        <f t="shared" si="94"/>
        <v>0.13124543221709711</v>
      </c>
      <c r="W77" s="157">
        <f t="shared" si="94"/>
        <v>0.15069178794207083</v>
      </c>
      <c r="X77" s="157">
        <f t="shared" si="94"/>
        <v>0.13414745097374856</v>
      </c>
      <c r="Y77" s="157">
        <f t="shared" si="94"/>
        <v>0.21126885536823412</v>
      </c>
      <c r="Z77" s="157">
        <f t="shared" si="94"/>
        <v>0.15159962092742077</v>
      </c>
      <c r="AA77" s="157">
        <f t="shared" si="94"/>
        <v>0.16376504513540624</v>
      </c>
      <c r="AB77" s="157">
        <f t="shared" si="94"/>
        <v>0.21298563869992446</v>
      </c>
      <c r="AC77" s="157">
        <f t="shared" si="94"/>
        <v>0.29263755629528099</v>
      </c>
      <c r="AD77" s="157">
        <f t="shared" si="94"/>
        <v>0.20000000000000007</v>
      </c>
      <c r="AE77" s="157">
        <f t="shared" si="94"/>
        <v>0.1800000000000001</v>
      </c>
      <c r="AF77" s="157">
        <f t="shared" si="94"/>
        <v>0.16000000000000006</v>
      </c>
      <c r="AG77" s="157">
        <f t="shared" si="94"/>
        <v>0.14000000000000015</v>
      </c>
      <c r="AH77" s="157">
        <f t="shared" si="94"/>
        <v>0.12999999999999989</v>
      </c>
      <c r="AI77" s="157">
        <f t="shared" si="94"/>
        <v>0.11999999999999997</v>
      </c>
      <c r="AJ77" s="157">
        <f t="shared" si="94"/>
        <v>0.10499999999999994</v>
      </c>
      <c r="AK77" s="157">
        <f t="shared" si="94"/>
        <v>9.4999999999999959E-2</v>
      </c>
      <c r="AL77" s="157">
        <f t="shared" si="94"/>
        <v>8.5000000000000062E-2</v>
      </c>
      <c r="AM77" s="157">
        <f t="shared" si="94"/>
        <v>7.4999999999999747E-2</v>
      </c>
      <c r="AN77" s="157">
        <f t="shared" si="94"/>
        <v>7.0000000000000048E-2</v>
      </c>
      <c r="AO77" s="6"/>
    </row>
    <row r="78" spans="1:42">
      <c r="A78" s="5"/>
      <c r="D78" s="58" t="s">
        <v>239</v>
      </c>
      <c r="G78" s="78"/>
      <c r="H78" s="78"/>
      <c r="I78" s="78"/>
      <c r="J78" s="78"/>
      <c r="K78" s="62"/>
      <c r="L78" s="62"/>
      <c r="M78" s="78">
        <f>+M77*L7</f>
        <v>32.168039999999991</v>
      </c>
      <c r="N78" s="198">
        <f>+N77*M7</f>
        <v>30.156410000000051</v>
      </c>
      <c r="O78" s="198">
        <f>+O77*N7</f>
        <v>75.357849999999956</v>
      </c>
      <c r="P78" s="198">
        <f>+P77*O7</f>
        <v>117.32396</v>
      </c>
      <c r="Q78" s="198">
        <f>+Q77*P7</f>
        <v>204.78380000000004</v>
      </c>
      <c r="R78" s="159">
        <f t="shared" ref="R78:W78" si="95">+R82*Q7</f>
        <v>95.094750000000005</v>
      </c>
      <c r="S78" s="159">
        <f t="shared" si="95"/>
        <v>116.00114999999998</v>
      </c>
      <c r="T78" s="159">
        <f t="shared" si="95"/>
        <v>303.04200000000003</v>
      </c>
      <c r="U78" s="159">
        <f t="shared" si="95"/>
        <v>387.45600000000002</v>
      </c>
      <c r="V78" s="159">
        <f t="shared" si="95"/>
        <v>250.39499999999998</v>
      </c>
      <c r="W78" s="159">
        <f t="shared" si="95"/>
        <v>294.12944000000005</v>
      </c>
      <c r="X78" s="78">
        <f t="shared" ref="X78:AN78" si="96">+X77*W7</f>
        <v>285.07486999999946</v>
      </c>
      <c r="Y78" s="78">
        <f t="shared" si="96"/>
        <v>523.81999999999971</v>
      </c>
      <c r="Z78" s="78">
        <f t="shared" si="96"/>
        <v>463.91000000000031</v>
      </c>
      <c r="AA78" s="78">
        <f t="shared" si="96"/>
        <v>571.45812500000011</v>
      </c>
      <c r="AB78" s="78">
        <f t="shared" si="96"/>
        <v>845.34000000000015</v>
      </c>
      <c r="AC78" s="78">
        <f t="shared" si="96"/>
        <v>1494.5</v>
      </c>
      <c r="AD78" s="78">
        <f t="shared" si="96"/>
        <v>1308.0150000000003</v>
      </c>
      <c r="AE78" s="78">
        <f t="shared" si="96"/>
        <v>1398.7184220000008</v>
      </c>
      <c r="AF78" s="78">
        <f t="shared" si="96"/>
        <v>1475.4608743200006</v>
      </c>
      <c r="AG78" s="78">
        <f t="shared" si="96"/>
        <v>1525.2441464746516</v>
      </c>
      <c r="AH78" s="78">
        <f t="shared" si="96"/>
        <v>1645.4031771335669</v>
      </c>
      <c r="AI78" s="78">
        <f t="shared" si="96"/>
        <v>1749.8427595049397</v>
      </c>
      <c r="AJ78" s="78">
        <f t="shared" si="96"/>
        <v>1749.1652349230062</v>
      </c>
      <c r="AK78" s="78">
        <f t="shared" si="96"/>
        <v>1784.7027915931649</v>
      </c>
      <c r="AL78" s="78">
        <f t="shared" si="96"/>
        <v>1785.2825594273343</v>
      </c>
      <c r="AM78" s="78">
        <f t="shared" si="96"/>
        <v>1745.8302083974011</v>
      </c>
      <c r="AN78" s="78">
        <f t="shared" si="96"/>
        <v>1790.0283700389882</v>
      </c>
      <c r="AO78" s="6"/>
    </row>
    <row r="79" spans="1:42">
      <c r="A79" s="5"/>
      <c r="D79" s="58" t="s">
        <v>240</v>
      </c>
      <c r="G79" s="78"/>
      <c r="H79" s="78"/>
      <c r="I79" s="78"/>
      <c r="J79" s="78"/>
      <c r="K79" s="62"/>
      <c r="L79" s="62"/>
      <c r="M79" s="78">
        <f t="shared" ref="M79:Y79" si="97">-M207-M209</f>
        <v>21.433</v>
      </c>
      <c r="N79" s="78">
        <f t="shared" si="97"/>
        <v>52.947000000000003</v>
      </c>
      <c r="O79" s="78">
        <f t="shared" si="97"/>
        <v>83.334000000000003</v>
      </c>
      <c r="P79" s="78">
        <f t="shared" si="97"/>
        <v>49.102999999999994</v>
      </c>
      <c r="Q79" s="78">
        <f t="shared" si="97"/>
        <v>102.967</v>
      </c>
      <c r="R79" s="78">
        <f t="shared" si="97"/>
        <v>37.531999999999996</v>
      </c>
      <c r="S79" s="78">
        <f t="shared" si="97"/>
        <v>103.833</v>
      </c>
      <c r="T79" s="78">
        <f t="shared" si="97"/>
        <v>517.17599999999993</v>
      </c>
      <c r="U79" s="78">
        <f t="shared" si="97"/>
        <v>121.48699999999999</v>
      </c>
      <c r="V79" s="78">
        <f t="shared" si="97"/>
        <v>248.77199999999999</v>
      </c>
      <c r="W79" s="78">
        <f t="shared" si="97"/>
        <v>177.31700000000001</v>
      </c>
      <c r="X79" s="78">
        <f t="shared" si="97"/>
        <v>253.2</v>
      </c>
      <c r="Y79" s="78">
        <f t="shared" si="97"/>
        <v>487.80000000000007</v>
      </c>
      <c r="Z79" s="78">
        <f>-Z207-Z209</f>
        <v>516</v>
      </c>
      <c r="AA79" s="78">
        <f>-AA207-AA209</f>
        <v>489</v>
      </c>
      <c r="AB79" s="78">
        <f>-AB207</f>
        <v>1183</v>
      </c>
      <c r="AC79" s="159">
        <f>+AC78*AC80</f>
        <v>1718.675</v>
      </c>
      <c r="AD79" s="159">
        <f>+AD78*AD80</f>
        <v>1700.4195000000004</v>
      </c>
      <c r="AE79" s="159">
        <f>+AE78*AE80</f>
        <v>1853.3019091500009</v>
      </c>
      <c r="AF79" s="159">
        <f t="shared" ref="AF79:AK79" si="98">+AF78*AF80</f>
        <v>1988.1835281462006</v>
      </c>
      <c r="AG79" s="159">
        <f t="shared" si="98"/>
        <v>2089.5844806702726</v>
      </c>
      <c r="AH79" s="159">
        <f t="shared" si="98"/>
        <v>2287.110416215658</v>
      </c>
      <c r="AI79" s="159">
        <f t="shared" si="98"/>
        <v>2467.2782909019647</v>
      </c>
      <c r="AJ79" s="159">
        <f t="shared" si="98"/>
        <v>2492.5604597652837</v>
      </c>
      <c r="AK79" s="159">
        <f t="shared" si="98"/>
        <v>2569.9720198941568</v>
      </c>
      <c r="AL79" s="159">
        <f t="shared" ref="AL79" si="99">+AL78*AL80</f>
        <v>2593.1229175682024</v>
      </c>
      <c r="AM79" s="159">
        <f t="shared" ref="AM79:AN79" si="100">+AM78*AM80</f>
        <v>2557.6412553021919</v>
      </c>
      <c r="AN79" s="159">
        <f t="shared" si="100"/>
        <v>2622.3915621071169</v>
      </c>
      <c r="AO79" s="6"/>
    </row>
    <row r="80" spans="1:42">
      <c r="A80" s="5"/>
      <c r="D80" s="58" t="s">
        <v>241</v>
      </c>
      <c r="G80" s="78"/>
      <c r="H80" s="78"/>
      <c r="I80" s="78"/>
      <c r="J80" s="78"/>
      <c r="K80" s="62"/>
      <c r="L80" s="62"/>
      <c r="M80" s="125">
        <f t="shared" ref="M80:X80" si="101">+M79/M78</f>
        <v>0.66628243436653289</v>
      </c>
      <c r="N80" s="125">
        <f t="shared" si="101"/>
        <v>1.7557461249531994</v>
      </c>
      <c r="O80" s="125">
        <f t="shared" si="101"/>
        <v>1.1058436513249787</v>
      </c>
      <c r="P80" s="125">
        <f t="shared" si="101"/>
        <v>0.41852491170601464</v>
      </c>
      <c r="Q80" s="125">
        <f t="shared" si="101"/>
        <v>0.50280832761185201</v>
      </c>
      <c r="R80" s="125">
        <f t="shared" si="101"/>
        <v>0.39468004279941843</v>
      </c>
      <c r="S80" s="125">
        <f t="shared" si="101"/>
        <v>0.89510319509763492</v>
      </c>
      <c r="T80" s="125">
        <f t="shared" si="101"/>
        <v>1.7066149246639075</v>
      </c>
      <c r="U80" s="125">
        <f t="shared" si="101"/>
        <v>0.31355044185662367</v>
      </c>
      <c r="V80" s="125">
        <f t="shared" si="101"/>
        <v>0.99351824117893728</v>
      </c>
      <c r="W80" s="125">
        <f t="shared" si="101"/>
        <v>0.60285362798093245</v>
      </c>
      <c r="X80" s="125">
        <f t="shared" si="101"/>
        <v>0.88818772415822012</v>
      </c>
      <c r="Y80" s="125">
        <f>+Y79/Y78</f>
        <v>0.93123592073613137</v>
      </c>
      <c r="Z80" s="125">
        <f>+Z79/Z78</f>
        <v>1.1122847103964124</v>
      </c>
      <c r="AA80" s="125">
        <f>+AA79/AA78</f>
        <v>0.85570574396855392</v>
      </c>
      <c r="AB80" s="125">
        <f>+AB79/AB78</f>
        <v>1.3994369129580995</v>
      </c>
      <c r="AC80" s="80">
        <v>1.1499999999999999</v>
      </c>
      <c r="AD80" s="80">
        <v>1.3</v>
      </c>
      <c r="AE80" s="80">
        <f>+AD80+0.025</f>
        <v>1.325</v>
      </c>
      <c r="AF80" s="80">
        <f>+AE80+0.0225</f>
        <v>1.3474999999999999</v>
      </c>
      <c r="AG80" s="80">
        <f>+AF80+0.0225</f>
        <v>1.3699999999999999</v>
      </c>
      <c r="AH80" s="80">
        <f>+AG80+0.02</f>
        <v>1.39</v>
      </c>
      <c r="AI80" s="80">
        <f>+AH80+0.02</f>
        <v>1.41</v>
      </c>
      <c r="AJ80" s="80">
        <f>+AI80+0.015</f>
        <v>1.4249999999999998</v>
      </c>
      <c r="AK80" s="80">
        <f>+AJ80+0.015</f>
        <v>1.4399999999999997</v>
      </c>
      <c r="AL80" s="80">
        <f>+AK80+0.0125</f>
        <v>1.4524999999999997</v>
      </c>
      <c r="AM80" s="80">
        <f>+AL80+0.0125</f>
        <v>1.4649999999999996</v>
      </c>
      <c r="AN80" s="80">
        <f>+AM80</f>
        <v>1.4649999999999996</v>
      </c>
      <c r="AO80" s="59"/>
    </row>
    <row r="81" spans="1:43">
      <c r="A81" s="5"/>
      <c r="D81" s="58" t="s">
        <v>303</v>
      </c>
      <c r="G81" s="78"/>
      <c r="H81" s="78"/>
      <c r="I81" s="78"/>
      <c r="J81" s="78"/>
      <c r="K81" s="62"/>
      <c r="L81" s="62"/>
      <c r="M81" s="125">
        <f t="shared" ref="M81:AA81" si="102">+M80/(M418*0.95)</f>
        <v>4.792523752200232</v>
      </c>
      <c r="N81" s="125">
        <f t="shared" si="102"/>
        <v>10.914266251035986</v>
      </c>
      <c r="O81" s="125">
        <f t="shared" si="102"/>
        <v>5.9800192032417891</v>
      </c>
      <c r="P81" s="125">
        <f t="shared" si="102"/>
        <v>2.1893150576570637</v>
      </c>
      <c r="Q81" s="125">
        <f t="shared" si="102"/>
        <v>2.8821992747951586</v>
      </c>
      <c r="R81" s="125">
        <f t="shared" si="102"/>
        <v>1.9047332100123819</v>
      </c>
      <c r="S81" s="125">
        <f t="shared" si="102"/>
        <v>4.5167280147340234</v>
      </c>
      <c r="T81" s="125">
        <f t="shared" si="102"/>
        <v>8.9217622329910604</v>
      </c>
      <c r="U81" s="125">
        <f t="shared" si="102"/>
        <v>1.5111290024865371</v>
      </c>
      <c r="V81" s="125">
        <f t="shared" si="102"/>
        <v>4.1549213423405718</v>
      </c>
      <c r="W81" s="125">
        <f t="shared" si="102"/>
        <v>2.4413054503486742</v>
      </c>
      <c r="X81" s="125">
        <f t="shared" si="102"/>
        <v>3.6006158226286207</v>
      </c>
      <c r="Y81" s="125">
        <f t="shared" si="102"/>
        <v>3.8275589357429149</v>
      </c>
      <c r="Z81" s="125">
        <f t="shared" si="102"/>
        <v>4.3766442048073539</v>
      </c>
      <c r="AA81" s="125">
        <f t="shared" si="102"/>
        <v>2.901825100658912</v>
      </c>
      <c r="AB81" s="125">
        <f>+AB80/(AB419*0.95)</f>
        <v>10.291488680937453</v>
      </c>
      <c r="AC81" s="125">
        <f t="shared" ref="AC81:AN81" si="103">+AC80/(AC418*0.95)</f>
        <v>4.7417852944442735</v>
      </c>
      <c r="AD81" s="125">
        <f t="shared" si="103"/>
        <v>5.1023377238129575</v>
      </c>
      <c r="AE81" s="125">
        <f t="shared" si="103"/>
        <v>5.1229529849058935</v>
      </c>
      <c r="AF81" s="125">
        <f t="shared" si="103"/>
        <v>5.139829295087611</v>
      </c>
      <c r="AG81" s="125">
        <f t="shared" si="103"/>
        <v>5.1670881938848803</v>
      </c>
      <c r="AH81" s="125">
        <f t="shared" si="103"/>
        <v>5.1915100038642752</v>
      </c>
      <c r="AI81" s="125">
        <f t="shared" si="103"/>
        <v>5.2213085773136818</v>
      </c>
      <c r="AJ81" s="125">
        <f t="shared" si="103"/>
        <v>5.237620542560534</v>
      </c>
      <c r="AK81" s="125">
        <f t="shared" si="103"/>
        <v>5.2576634690730142</v>
      </c>
      <c r="AL81" s="125">
        <f t="shared" si="103"/>
        <v>5.2717568490941273</v>
      </c>
      <c r="AM81" s="125">
        <f t="shared" si="103"/>
        <v>5.2885946054236372</v>
      </c>
      <c r="AN81" s="125">
        <f t="shared" si="103"/>
        <v>5.2625315614205235</v>
      </c>
      <c r="AO81" s="59"/>
    </row>
    <row r="82" spans="1:43">
      <c r="A82" s="5"/>
      <c r="D82" s="149" t="s">
        <v>242</v>
      </c>
      <c r="E82" s="8"/>
      <c r="F82" s="8"/>
      <c r="G82" s="155"/>
      <c r="H82" s="155"/>
      <c r="I82" s="155"/>
      <c r="J82" s="155"/>
      <c r="K82" s="157"/>
      <c r="L82" s="157"/>
      <c r="M82" s="157"/>
      <c r="N82" s="156">
        <v>0.11</v>
      </c>
      <c r="O82" s="156">
        <v>0.25</v>
      </c>
      <c r="P82" s="156">
        <v>0.27</v>
      </c>
      <c r="Q82" s="156">
        <v>0.25</v>
      </c>
      <c r="R82" s="156">
        <v>0.15</v>
      </c>
      <c r="S82" s="156">
        <v>0.15</v>
      </c>
      <c r="T82" s="156">
        <v>0.34</v>
      </c>
      <c r="U82" s="156">
        <v>0.32</v>
      </c>
      <c r="V82" s="156">
        <v>0.15</v>
      </c>
      <c r="W82" s="156">
        <v>0.16</v>
      </c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59"/>
    </row>
    <row r="83" spans="1:43">
      <c r="A83" s="5"/>
      <c r="D83" s="58" t="s">
        <v>243</v>
      </c>
      <c r="G83" s="6"/>
      <c r="H83" s="59"/>
      <c r="I83" s="59"/>
      <c r="J83" s="6"/>
      <c r="K83" s="6"/>
      <c r="L83" s="6"/>
      <c r="M83" s="160">
        <v>15</v>
      </c>
      <c r="N83" s="160">
        <v>16</v>
      </c>
      <c r="O83" s="161">
        <v>17</v>
      </c>
      <c r="P83" s="161">
        <v>18</v>
      </c>
      <c r="Q83" s="161">
        <f t="shared" ref="Q83:U83" ca="1" si="104">+AVERAGE(P83,R83)</f>
        <v>20.000000000000004</v>
      </c>
      <c r="R83" s="161">
        <f t="shared" ca="1" si="104"/>
        <v>22.000000000000007</v>
      </c>
      <c r="S83" s="161">
        <f t="shared" ca="1" si="104"/>
        <v>24.000000000000007</v>
      </c>
      <c r="T83" s="161">
        <f t="shared" ca="1" si="104"/>
        <v>26.000000000000007</v>
      </c>
      <c r="U83" s="161">
        <f t="shared" ca="1" si="104"/>
        <v>28.000000000000004</v>
      </c>
      <c r="V83" s="160">
        <v>30</v>
      </c>
      <c r="W83" s="160">
        <v>40</v>
      </c>
      <c r="X83" s="160">
        <f>243-(6+29+158)</f>
        <v>50</v>
      </c>
      <c r="Y83" s="161">
        <f>+AVERAGE(X83,Z83)-5</f>
        <v>66.5</v>
      </c>
      <c r="Z83" s="160">
        <v>93</v>
      </c>
      <c r="AA83" s="160">
        <v>84</v>
      </c>
      <c r="AB83" s="160">
        <v>98</v>
      </c>
      <c r="AC83" s="160">
        <v>134</v>
      </c>
      <c r="AD83" s="160">
        <v>140</v>
      </c>
      <c r="AE83" s="160">
        <v>150</v>
      </c>
      <c r="AF83" s="160">
        <v>160</v>
      </c>
      <c r="AG83" s="160">
        <v>170</v>
      </c>
      <c r="AH83" s="160">
        <v>180</v>
      </c>
      <c r="AI83" s="160">
        <f>+AH83+7</f>
        <v>187</v>
      </c>
      <c r="AJ83" s="160">
        <f>+AI83+5</f>
        <v>192</v>
      </c>
      <c r="AK83" s="160">
        <f>+AJ83+4</f>
        <v>196</v>
      </c>
      <c r="AL83" s="160">
        <f>+AK83+2</f>
        <v>198</v>
      </c>
      <c r="AM83" s="160">
        <f>+AL83+2</f>
        <v>200</v>
      </c>
      <c r="AN83" s="160">
        <f>+AM83</f>
        <v>200</v>
      </c>
      <c r="AO83" s="59"/>
      <c r="AP83" s="162"/>
    </row>
    <row r="84" spans="1:43">
      <c r="A84" s="5"/>
      <c r="D84" s="58" t="s">
        <v>460</v>
      </c>
      <c r="G84" s="6"/>
      <c r="H84" s="6"/>
      <c r="I84" s="6"/>
      <c r="J84" s="6"/>
      <c r="K84" s="6"/>
      <c r="L84" s="6"/>
      <c r="M84" s="163">
        <f t="shared" ref="M84:AC84" si="105">IFERROR(M79/M83,"na")</f>
        <v>1.4288666666666667</v>
      </c>
      <c r="N84" s="163">
        <f t="shared" si="105"/>
        <v>3.3091875000000002</v>
      </c>
      <c r="O84" s="163">
        <f t="shared" si="105"/>
        <v>4.9020000000000001</v>
      </c>
      <c r="P84" s="163">
        <f t="shared" si="105"/>
        <v>2.7279444444444443</v>
      </c>
      <c r="Q84" s="163">
        <f t="shared" ca="1" si="105"/>
        <v>5.1483499999999989</v>
      </c>
      <c r="R84" s="163">
        <f t="shared" ca="1" si="105"/>
        <v>1.7059999999999993</v>
      </c>
      <c r="S84" s="163">
        <f t="shared" ca="1" si="105"/>
        <v>4.3263749999999987</v>
      </c>
      <c r="T84" s="163">
        <f t="shared" ca="1" si="105"/>
        <v>19.891384615384606</v>
      </c>
      <c r="U84" s="163">
        <f t="shared" ca="1" si="105"/>
        <v>4.3388214285714275</v>
      </c>
      <c r="V84" s="163">
        <f t="shared" si="105"/>
        <v>8.2923999999999989</v>
      </c>
      <c r="W84" s="163">
        <f t="shared" si="105"/>
        <v>4.432925</v>
      </c>
      <c r="X84" s="163">
        <f t="shared" si="105"/>
        <v>5.0640000000000001</v>
      </c>
      <c r="Y84" s="163">
        <f t="shared" si="105"/>
        <v>7.3353383458646624</v>
      </c>
      <c r="Z84" s="163">
        <f t="shared" si="105"/>
        <v>5.5483870967741939</v>
      </c>
      <c r="AA84" s="163">
        <f t="shared" si="105"/>
        <v>5.8214285714285712</v>
      </c>
      <c r="AB84" s="163">
        <f t="shared" si="105"/>
        <v>12.071428571428571</v>
      </c>
      <c r="AC84" s="163">
        <f t="shared" si="105"/>
        <v>12.825932835820895</v>
      </c>
      <c r="AD84" s="163">
        <f t="shared" ref="AD84:AI84" si="106">IFERROR(AD79/AD83,"na")</f>
        <v>12.145853571428574</v>
      </c>
      <c r="AE84" s="163">
        <f t="shared" si="106"/>
        <v>12.355346061000006</v>
      </c>
      <c r="AF84" s="163">
        <f t="shared" si="106"/>
        <v>12.426147050913753</v>
      </c>
      <c r="AG84" s="163">
        <f t="shared" si="106"/>
        <v>12.291673415707486</v>
      </c>
      <c r="AH84" s="163">
        <f t="shared" si="106"/>
        <v>12.706168978975878</v>
      </c>
      <c r="AI84" s="163">
        <f t="shared" si="106"/>
        <v>13.19400155562548</v>
      </c>
      <c r="AJ84" s="163">
        <f t="shared" ref="AJ84:AL84" si="107">IFERROR(AJ79/AJ83,"na")</f>
        <v>12.982085727944186</v>
      </c>
      <c r="AK84" s="163">
        <f t="shared" si="107"/>
        <v>13.112102142317127</v>
      </c>
      <c r="AL84" s="163">
        <f t="shared" si="107"/>
        <v>13.096580391758598</v>
      </c>
      <c r="AM84" s="163">
        <f t="shared" ref="AM84:AN84" si="108">IFERROR(AM79/AM83,"na")</f>
        <v>12.788206276510959</v>
      </c>
      <c r="AN84" s="163">
        <f t="shared" si="108"/>
        <v>13.111957810535584</v>
      </c>
      <c r="AO84" s="6"/>
    </row>
    <row r="85" spans="1:43">
      <c r="A85" s="5"/>
      <c r="D85" s="58" t="s">
        <v>245</v>
      </c>
      <c r="G85" s="6"/>
      <c r="H85" s="56"/>
      <c r="I85" s="6"/>
      <c r="J85" s="6"/>
      <c r="K85" s="6"/>
      <c r="L85" s="6"/>
      <c r="M85" s="160" t="s">
        <v>41</v>
      </c>
      <c r="N85" s="160" t="s">
        <v>41</v>
      </c>
      <c r="O85" s="160" t="s">
        <v>41</v>
      </c>
      <c r="P85" s="160" t="s">
        <v>41</v>
      </c>
      <c r="Q85" s="160" t="s">
        <v>41</v>
      </c>
      <c r="R85" s="160" t="s">
        <v>41</v>
      </c>
      <c r="S85" s="160">
        <v>125</v>
      </c>
      <c r="T85" s="160" t="s">
        <v>41</v>
      </c>
      <c r="U85" s="160" t="s">
        <v>41</v>
      </c>
      <c r="V85" s="160">
        <v>182</v>
      </c>
      <c r="W85" s="160">
        <f>+(6+29+158)</f>
        <v>193</v>
      </c>
      <c r="X85" s="160">
        <v>243</v>
      </c>
      <c r="Y85" s="164"/>
      <c r="Z85" s="164"/>
      <c r="AA85" s="57"/>
      <c r="AB85" s="205"/>
      <c r="AC85" s="205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6"/>
    </row>
    <row r="86" spans="1:43">
      <c r="A86" s="5"/>
      <c r="D86" s="58" t="s">
        <v>498</v>
      </c>
      <c r="G86" s="6"/>
      <c r="H86" s="56"/>
      <c r="I86" s="6"/>
      <c r="J86" s="6"/>
      <c r="K86" s="6"/>
      <c r="L86" s="6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4"/>
      <c r="Z86" s="164"/>
      <c r="AA86" s="57"/>
      <c r="AB86" s="205"/>
      <c r="AC86" s="205"/>
      <c r="AD86" s="150">
        <f>+'Multiple to IRR'!E68</f>
        <v>0.18809001756966048</v>
      </c>
      <c r="AE86" s="150">
        <f>+'Multiple to IRR'!F68</f>
        <v>0.1843906710559815</v>
      </c>
      <c r="AF86" s="150">
        <f>+'Multiple to IRR'!G68</f>
        <v>0.18116107922449309</v>
      </c>
      <c r="AG86" s="150">
        <f>+'Multiple to IRR'!H68</f>
        <v>0.17802132956809968</v>
      </c>
      <c r="AH86" s="150">
        <f>+'Multiple to IRR'!I68</f>
        <v>0.17530242120936257</v>
      </c>
      <c r="AI86" s="150">
        <f>+'Multiple to IRR'!J68</f>
        <v>0.1726483320480019</v>
      </c>
      <c r="AJ86" s="150">
        <f>+'Multiple to IRR'!K68</f>
        <v>0.1706987048310209</v>
      </c>
      <c r="AK86" s="150">
        <f>+'Multiple to IRR'!L68</f>
        <v>0.1687829843541353</v>
      </c>
      <c r="AL86" s="150">
        <f>+'Multiple to IRR'!M68</f>
        <v>0.16721171577094474</v>
      </c>
      <c r="AM86" s="150">
        <f>+'Multiple to IRR'!N68</f>
        <v>0.16566271870355287</v>
      </c>
      <c r="AN86" s="150">
        <f>+'Multiple to IRR'!O68</f>
        <v>0.16566271870355287</v>
      </c>
      <c r="AO86" s="6"/>
    </row>
    <row r="87" spans="1:43">
      <c r="A87" s="5"/>
      <c r="D87" s="58"/>
      <c r="G87" s="6"/>
      <c r="H87" s="56"/>
      <c r="I87" s="6"/>
      <c r="J87" s="6"/>
      <c r="K87" s="6"/>
      <c r="L87" s="6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4"/>
      <c r="Z87" s="164"/>
      <c r="AA87" s="57"/>
      <c r="AB87" s="205"/>
      <c r="AC87" s="168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6"/>
    </row>
    <row r="88" spans="1:43">
      <c r="A88" s="5"/>
      <c r="D88" s="153" t="s">
        <v>246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56"/>
      <c r="U88" s="56"/>
      <c r="V88" s="56"/>
      <c r="W88" s="62"/>
      <c r="X88" s="62"/>
      <c r="Y88" s="62"/>
      <c r="Z88" s="57"/>
      <c r="AA88" s="57"/>
      <c r="AB88" s="57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6"/>
    </row>
    <row r="89" spans="1:43">
      <c r="A89" s="5"/>
      <c r="D89" s="61" t="s">
        <v>233</v>
      </c>
      <c r="G89" s="136"/>
      <c r="H89" s="136"/>
      <c r="I89" s="136"/>
      <c r="J89" s="136"/>
      <c r="K89" s="136"/>
      <c r="L89" s="136"/>
      <c r="M89" s="70" t="s">
        <v>41</v>
      </c>
      <c r="N89" s="70" t="s">
        <v>41</v>
      </c>
      <c r="O89" s="69">
        <f t="shared" ref="O89:AL92" si="109">+O95/N95-1</f>
        <v>0.32767530323691951</v>
      </c>
      <c r="P89" s="69">
        <f t="shared" si="109"/>
        <v>0.15333675703435423</v>
      </c>
      <c r="Q89" s="69">
        <f t="shared" si="109"/>
        <v>0.17147879071947503</v>
      </c>
      <c r="R89" s="69">
        <f t="shared" si="109"/>
        <v>0.26246824174285299</v>
      </c>
      <c r="S89" s="69">
        <f t="shared" si="109"/>
        <v>0.14725783193623543</v>
      </c>
      <c r="T89" s="69">
        <f t="shared" si="109"/>
        <v>0.40469613259668491</v>
      </c>
      <c r="U89" s="69">
        <f t="shared" si="109"/>
        <v>0.16912487708947888</v>
      </c>
      <c r="V89" s="69">
        <f t="shared" si="109"/>
        <v>0.10195121951219499</v>
      </c>
      <c r="W89" s="69">
        <f t="shared" si="109"/>
        <v>8.7863106959136683E-2</v>
      </c>
      <c r="X89" s="69">
        <f t="shared" si="109"/>
        <v>0.19550423056954847</v>
      </c>
      <c r="Y89" s="69">
        <f t="shared" si="109"/>
        <v>0.16373239436619724</v>
      </c>
      <c r="Z89" s="69">
        <f t="shared" si="109"/>
        <v>0.13968734241048919</v>
      </c>
      <c r="AA89" s="69">
        <f t="shared" si="109"/>
        <v>3.539823008849563E-2</v>
      </c>
      <c r="AB89" s="69">
        <f t="shared" si="109"/>
        <v>0.22649572649572658</v>
      </c>
      <c r="AC89" s="69">
        <f t="shared" si="109"/>
        <v>8.0000000000000071E-2</v>
      </c>
      <c r="AD89" s="69">
        <f t="shared" si="109"/>
        <v>0.11999999999999988</v>
      </c>
      <c r="AE89" s="69">
        <f t="shared" si="109"/>
        <v>0.1399999999999999</v>
      </c>
      <c r="AF89" s="69">
        <f t="shared" si="109"/>
        <v>0.12000000000000011</v>
      </c>
      <c r="AG89" s="69">
        <f t="shared" si="109"/>
        <v>0.10000000000000009</v>
      </c>
      <c r="AH89" s="69">
        <f t="shared" si="109"/>
        <v>9.000000000000008E-2</v>
      </c>
      <c r="AI89" s="69">
        <f t="shared" si="109"/>
        <v>8.0000000000000071E-2</v>
      </c>
      <c r="AJ89" s="69">
        <f t="shared" si="109"/>
        <v>6.4999999999999947E-2</v>
      </c>
      <c r="AK89" s="69">
        <f t="shared" si="109"/>
        <v>5.4999999999999938E-2</v>
      </c>
      <c r="AL89" s="69">
        <f t="shared" si="109"/>
        <v>4.5000000000000151E-2</v>
      </c>
      <c r="AM89" s="69">
        <f t="shared" ref="AM89:AM92" si="110">+AM95/AL95-1</f>
        <v>3.499999999999992E-2</v>
      </c>
      <c r="AN89" s="69">
        <f t="shared" ref="AN89:AN92" si="111">+AN95/AM95-1</f>
        <v>3.0000000000000027E-2</v>
      </c>
      <c r="AO89" s="6"/>
    </row>
    <row r="90" spans="1:43">
      <c r="A90" s="5"/>
      <c r="D90" s="61" t="s">
        <v>234</v>
      </c>
      <c r="G90" s="136"/>
      <c r="H90" s="136"/>
      <c r="I90" s="136"/>
      <c r="J90" s="136"/>
      <c r="K90" s="136"/>
      <c r="L90" s="136"/>
      <c r="M90" s="70" t="s">
        <v>41</v>
      </c>
      <c r="N90" s="70" t="s">
        <v>41</v>
      </c>
      <c r="O90" s="69">
        <f t="shared" si="109"/>
        <v>0.41651488616462329</v>
      </c>
      <c r="P90" s="69">
        <f t="shared" si="109"/>
        <v>0.35621824116316159</v>
      </c>
      <c r="Q90" s="69">
        <f t="shared" si="109"/>
        <v>0.54735402707507186</v>
      </c>
      <c r="R90" s="69">
        <f t="shared" si="109"/>
        <v>6.7333580774963542E-2</v>
      </c>
      <c r="S90" s="69">
        <f t="shared" si="109"/>
        <v>8.8504465517812436E-2</v>
      </c>
      <c r="T90" s="69">
        <f t="shared" si="109"/>
        <v>0.30172413793103448</v>
      </c>
      <c r="U90" s="69">
        <f t="shared" si="109"/>
        <v>0.54304635761589415</v>
      </c>
      <c r="V90" s="69">
        <f t="shared" si="109"/>
        <v>-2.9075990911386018E-2</v>
      </c>
      <c r="W90" s="69">
        <f t="shared" si="109"/>
        <v>0.12976392612257936</v>
      </c>
      <c r="X90" s="69">
        <f t="shared" si="109"/>
        <v>0.14663696120491232</v>
      </c>
      <c r="Y90" s="69">
        <f t="shared" si="109"/>
        <v>0.2356483340024087</v>
      </c>
      <c r="Z90" s="69">
        <f t="shared" si="109"/>
        <v>9.3242365172189645E-2</v>
      </c>
      <c r="AA90" s="69">
        <f t="shared" si="109"/>
        <v>0.1158989598811293</v>
      </c>
      <c r="AB90" s="69">
        <f t="shared" si="109"/>
        <v>0.37549933422103865</v>
      </c>
      <c r="AC90" s="69">
        <f t="shared" si="109"/>
        <v>0.31000000000000005</v>
      </c>
      <c r="AD90" s="69">
        <f t="shared" si="109"/>
        <v>0.16999999999999993</v>
      </c>
      <c r="AE90" s="69">
        <f t="shared" si="109"/>
        <v>0.19500000000000006</v>
      </c>
      <c r="AF90" s="69">
        <f t="shared" si="109"/>
        <v>0.17500000000000004</v>
      </c>
      <c r="AG90" s="69">
        <f t="shared" si="109"/>
        <v>0.15500000000000003</v>
      </c>
      <c r="AH90" s="69">
        <f t="shared" si="109"/>
        <v>0.14500000000000002</v>
      </c>
      <c r="AI90" s="69">
        <f t="shared" si="109"/>
        <v>0.13500000000000001</v>
      </c>
      <c r="AJ90" s="69">
        <f t="shared" si="109"/>
        <v>0.11999999999999988</v>
      </c>
      <c r="AK90" s="69">
        <f t="shared" si="109"/>
        <v>0.10999999999999988</v>
      </c>
      <c r="AL90" s="69">
        <f t="shared" si="109"/>
        <v>9.9999999999999867E-2</v>
      </c>
      <c r="AM90" s="69">
        <f t="shared" si="110"/>
        <v>9.000000000000008E-2</v>
      </c>
      <c r="AN90" s="69">
        <f t="shared" si="111"/>
        <v>8.4999999999999964E-2</v>
      </c>
      <c r="AO90" s="6"/>
    </row>
    <row r="91" spans="1:43">
      <c r="A91" s="5"/>
      <c r="D91" s="61" t="s">
        <v>235</v>
      </c>
      <c r="G91" s="136"/>
      <c r="H91" s="136"/>
      <c r="I91" s="136"/>
      <c r="J91" s="136"/>
      <c r="K91" s="136"/>
      <c r="L91" s="136"/>
      <c r="M91" s="70" t="s">
        <v>41</v>
      </c>
      <c r="N91" s="70" t="s">
        <v>41</v>
      </c>
      <c r="O91" s="69">
        <f t="shared" si="109"/>
        <v>0.28207104772917058</v>
      </c>
      <c r="P91" s="69">
        <f t="shared" si="109"/>
        <v>0.69340615292113439</v>
      </c>
      <c r="Q91" s="69">
        <f t="shared" si="109"/>
        <v>1.2073556824570231</v>
      </c>
      <c r="R91" s="69">
        <f t="shared" si="109"/>
        <v>0.45727996568456586</v>
      </c>
      <c r="S91" s="69">
        <f t="shared" si="109"/>
        <v>2.4688178373008629E-2</v>
      </c>
      <c r="T91" s="69">
        <f t="shared" si="109"/>
        <v>0.14811490125673243</v>
      </c>
      <c r="U91" s="69">
        <f t="shared" si="109"/>
        <v>8.913213448006263E-2</v>
      </c>
      <c r="V91" s="69">
        <f t="shared" si="109"/>
        <v>9.769562096195239E-2</v>
      </c>
      <c r="W91" s="69">
        <f t="shared" si="109"/>
        <v>-3.3745561085351428E-2</v>
      </c>
      <c r="X91" s="69">
        <f t="shared" si="109"/>
        <v>0.134356239297728</v>
      </c>
      <c r="Y91" s="69">
        <f t="shared" si="109"/>
        <v>4.1766109785202898E-2</v>
      </c>
      <c r="Z91" s="69">
        <f t="shared" si="109"/>
        <v>-7.7319587628865705E-3</v>
      </c>
      <c r="AA91" s="69">
        <f t="shared" si="109"/>
        <v>-2.4531024531024515E-2</v>
      </c>
      <c r="AB91" s="69">
        <f t="shared" si="109"/>
        <v>4.1420118343195256E-2</v>
      </c>
      <c r="AC91" s="69">
        <f t="shared" si="109"/>
        <v>0.14000000000000012</v>
      </c>
      <c r="AD91" s="69">
        <f t="shared" si="109"/>
        <v>0.1399999999999999</v>
      </c>
      <c r="AE91" s="69">
        <f t="shared" si="109"/>
        <v>0.11999999999999988</v>
      </c>
      <c r="AF91" s="69">
        <f t="shared" si="109"/>
        <v>0.10000000000000009</v>
      </c>
      <c r="AG91" s="69">
        <f t="shared" si="109"/>
        <v>8.0000000000000071E-2</v>
      </c>
      <c r="AH91" s="69">
        <f t="shared" si="109"/>
        <v>7.0000000000000062E-2</v>
      </c>
      <c r="AI91" s="69">
        <f t="shared" si="109"/>
        <v>5.9999999999999831E-2</v>
      </c>
      <c r="AJ91" s="69">
        <f t="shared" si="109"/>
        <v>4.5000000000000151E-2</v>
      </c>
      <c r="AK91" s="69">
        <f t="shared" si="109"/>
        <v>3.499999999999992E-2</v>
      </c>
      <c r="AL91" s="69">
        <f t="shared" si="109"/>
        <v>2.4999999999999911E-2</v>
      </c>
      <c r="AM91" s="69">
        <f t="shared" si="110"/>
        <v>1.5000000000000124E-2</v>
      </c>
      <c r="AN91" s="69">
        <f t="shared" si="111"/>
        <v>1.0000000000000009E-2</v>
      </c>
      <c r="AO91" s="6"/>
    </row>
    <row r="92" spans="1:43">
      <c r="A92" s="5"/>
      <c r="D92" s="61" t="s">
        <v>236</v>
      </c>
      <c r="G92" s="136"/>
      <c r="H92" s="136"/>
      <c r="I92" s="136"/>
      <c r="J92" s="136"/>
      <c r="K92" s="136"/>
      <c r="L92" s="136"/>
      <c r="M92" s="70" t="s">
        <v>41</v>
      </c>
      <c r="N92" s="70" t="s">
        <v>41</v>
      </c>
      <c r="O92" s="69">
        <f t="shared" si="109"/>
        <v>0.35233349708751471</v>
      </c>
      <c r="P92" s="69">
        <f t="shared" si="109"/>
        <v>0.3066208600163991</v>
      </c>
      <c r="Q92" s="69">
        <f t="shared" si="109"/>
        <v>0.34896218096894893</v>
      </c>
      <c r="R92" s="69">
        <f t="shared" si="109"/>
        <v>0.23764349794929318</v>
      </c>
      <c r="S92" s="69">
        <f t="shared" si="109"/>
        <v>0.21398256699147389</v>
      </c>
      <c r="T92" s="69">
        <f t="shared" si="109"/>
        <v>0.41975308641975295</v>
      </c>
      <c r="U92" s="69">
        <f t="shared" si="109"/>
        <v>0.40096618357487923</v>
      </c>
      <c r="V92" s="69">
        <f t="shared" si="109"/>
        <v>0.15250738916256168</v>
      </c>
      <c r="W92" s="69">
        <f t="shared" si="109"/>
        <v>0.19706016866203058</v>
      </c>
      <c r="X92" s="69">
        <f t="shared" si="109"/>
        <v>0.17345025940591929</v>
      </c>
      <c r="Y92" s="69">
        <f t="shared" si="109"/>
        <v>0.26071080817916248</v>
      </c>
      <c r="Z92" s="69">
        <f t="shared" si="109"/>
        <v>0.16685170882409728</v>
      </c>
      <c r="AA92" s="69">
        <f t="shared" si="109"/>
        <v>0.16454648877857059</v>
      </c>
      <c r="AB92" s="69">
        <f t="shared" si="109"/>
        <v>0.28277087033747783</v>
      </c>
      <c r="AC92" s="69">
        <f t="shared" si="109"/>
        <v>0.29499999999999993</v>
      </c>
      <c r="AD92" s="69">
        <f t="shared" si="109"/>
        <v>0.19999999999999996</v>
      </c>
      <c r="AE92" s="69">
        <f t="shared" si="109"/>
        <v>0.18999999999999995</v>
      </c>
      <c r="AF92" s="69">
        <f t="shared" si="109"/>
        <v>0.18999999999999995</v>
      </c>
      <c r="AG92" s="69">
        <f t="shared" si="109"/>
        <v>0.16999999999999993</v>
      </c>
      <c r="AH92" s="69">
        <f t="shared" si="109"/>
        <v>0.16000000000000014</v>
      </c>
      <c r="AI92" s="69">
        <f t="shared" si="109"/>
        <v>0.14999999999999991</v>
      </c>
      <c r="AJ92" s="69">
        <f t="shared" si="109"/>
        <v>0.13500000000000001</v>
      </c>
      <c r="AK92" s="69">
        <f t="shared" si="109"/>
        <v>0.125</v>
      </c>
      <c r="AL92" s="69">
        <f t="shared" si="109"/>
        <v>0.11499999999999999</v>
      </c>
      <c r="AM92" s="69">
        <f t="shared" si="110"/>
        <v>0.10499999999999998</v>
      </c>
      <c r="AN92" s="69">
        <f t="shared" si="111"/>
        <v>0.10000000000000009</v>
      </c>
      <c r="AO92" s="6"/>
    </row>
    <row r="93" spans="1:43">
      <c r="A93" s="5"/>
      <c r="D93" s="149" t="s">
        <v>246</v>
      </c>
      <c r="E93" s="8"/>
      <c r="F93" s="8"/>
      <c r="G93" s="155"/>
      <c r="H93" s="155"/>
      <c r="I93" s="155"/>
      <c r="J93" s="155"/>
      <c r="K93" s="155"/>
      <c r="L93" s="155"/>
      <c r="M93" s="157">
        <f t="shared" ref="M93:AN93" si="112">+M7/L7-1</f>
        <v>0.27453102889418357</v>
      </c>
      <c r="N93" s="157">
        <f t="shared" si="112"/>
        <v>0.15308480302146066</v>
      </c>
      <c r="O93" s="157">
        <f t="shared" si="112"/>
        <v>0.36008525941989</v>
      </c>
      <c r="P93" s="157">
        <f t="shared" si="112"/>
        <v>0.32495492115740698</v>
      </c>
      <c r="Q93" s="157">
        <f t="shared" si="112"/>
        <v>0.44760697812485728</v>
      </c>
      <c r="R93" s="157">
        <f t="shared" si="112"/>
        <v>0.21984809886981127</v>
      </c>
      <c r="S93" s="157">
        <f t="shared" si="112"/>
        <v>0.15253167748768015</v>
      </c>
      <c r="T93" s="157">
        <f t="shared" si="112"/>
        <v>0.35846516324469868</v>
      </c>
      <c r="U93" s="157">
        <f t="shared" si="112"/>
        <v>0.37867525602907159</v>
      </c>
      <c r="V93" s="157">
        <f t="shared" si="112"/>
        <v>0.10124543221709703</v>
      </c>
      <c r="W93" s="157">
        <f t="shared" si="112"/>
        <v>0.15600043300663824</v>
      </c>
      <c r="X93" s="157">
        <f t="shared" si="112"/>
        <v>0.16672925236908043</v>
      </c>
      <c r="Y93" s="157">
        <f t="shared" si="112"/>
        <v>0.23420988948939248</v>
      </c>
      <c r="Z93" s="157">
        <f t="shared" si="112"/>
        <v>0.14032221169242831</v>
      </c>
      <c r="AA93" s="157">
        <f t="shared" si="112"/>
        <v>0.13741223671013048</v>
      </c>
      <c r="AB93" s="157">
        <f t="shared" si="112"/>
        <v>0.28672209624590583</v>
      </c>
      <c r="AC93" s="157">
        <f t="shared" si="112"/>
        <v>0.28060994713138832</v>
      </c>
      <c r="AD93" s="157">
        <f t="shared" si="112"/>
        <v>0.18816036513342738</v>
      </c>
      <c r="AE93" s="157">
        <f t="shared" si="112"/>
        <v>0.18672454548539585</v>
      </c>
      <c r="AF93" s="157">
        <f t="shared" si="112"/>
        <v>0.18141808958706851</v>
      </c>
      <c r="AG93" s="157">
        <f t="shared" si="112"/>
        <v>0.16176328648322369</v>
      </c>
      <c r="AH93" s="157">
        <f t="shared" si="112"/>
        <v>0.15209634684557427</v>
      </c>
      <c r="AI93" s="157">
        <f t="shared" si="112"/>
        <v>0.1424146380642306</v>
      </c>
      <c r="AJ93" s="157">
        <f t="shared" si="112"/>
        <v>0.12771864198789706</v>
      </c>
      <c r="AK93" s="157">
        <f t="shared" si="112"/>
        <v>0.11801013093711044</v>
      </c>
      <c r="AL93" s="157">
        <f t="shared" si="112"/>
        <v>0.10828818612989832</v>
      </c>
      <c r="AM93" s="157">
        <f t="shared" si="112"/>
        <v>9.8553301519521685E-2</v>
      </c>
      <c r="AN93" s="157">
        <f t="shared" si="112"/>
        <v>9.3805969127212618E-2</v>
      </c>
      <c r="AO93" s="6"/>
    </row>
    <row r="94" spans="1:43">
      <c r="A94" s="5"/>
      <c r="D94" s="158"/>
      <c r="G94" s="6"/>
      <c r="H94" s="6"/>
      <c r="I94" s="6"/>
      <c r="J94" s="6"/>
      <c r="K94" s="6"/>
      <c r="L94" s="6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"/>
    </row>
    <row r="95" spans="1:43">
      <c r="A95" s="5"/>
      <c r="D95" s="61" t="s">
        <v>233</v>
      </c>
      <c r="G95" s="136"/>
      <c r="H95" s="136"/>
      <c r="I95" s="136"/>
      <c r="J95" s="136"/>
      <c r="K95" s="136"/>
      <c r="L95" s="136"/>
      <c r="M95" s="136"/>
      <c r="N95" s="136">
        <v>27.866</v>
      </c>
      <c r="O95" s="136">
        <v>36.997</v>
      </c>
      <c r="P95" s="136">
        <v>42.67</v>
      </c>
      <c r="Q95" s="136">
        <v>49.987000000000002</v>
      </c>
      <c r="R95" s="136">
        <v>63.106999999999999</v>
      </c>
      <c r="S95" s="136">
        <v>72.400000000000006</v>
      </c>
      <c r="T95" s="136">
        <v>101.7</v>
      </c>
      <c r="U95" s="136">
        <v>118.9</v>
      </c>
      <c r="V95" s="136">
        <v>131.02199999999999</v>
      </c>
      <c r="W95" s="136">
        <v>142.53399999999999</v>
      </c>
      <c r="X95" s="136">
        <v>170.4</v>
      </c>
      <c r="Y95" s="136">
        <v>198.3</v>
      </c>
      <c r="Z95" s="136">
        <v>226</v>
      </c>
      <c r="AA95" s="136">
        <v>234</v>
      </c>
      <c r="AB95" s="136">
        <v>287</v>
      </c>
      <c r="AC95" s="66">
        <f t="shared" ref="AC95:AN95" si="113">(AB95*AC66)+(AB95*AC73)+AB95</f>
        <v>309.96000000000004</v>
      </c>
      <c r="AD95" s="66">
        <f t="shared" si="113"/>
        <v>347.15520000000004</v>
      </c>
      <c r="AE95" s="66">
        <f t="shared" si="113"/>
        <v>395.75692800000002</v>
      </c>
      <c r="AF95" s="66">
        <f t="shared" si="113"/>
        <v>443.24775936000003</v>
      </c>
      <c r="AG95" s="66">
        <f t="shared" si="113"/>
        <v>487.57253529600007</v>
      </c>
      <c r="AH95" s="66">
        <f t="shared" si="113"/>
        <v>531.45406347264009</v>
      </c>
      <c r="AI95" s="66">
        <f t="shared" si="113"/>
        <v>573.97038855045128</v>
      </c>
      <c r="AJ95" s="66">
        <f t="shared" si="113"/>
        <v>611.27846380623055</v>
      </c>
      <c r="AK95" s="66">
        <f t="shared" si="113"/>
        <v>644.89877931557317</v>
      </c>
      <c r="AL95" s="66">
        <f t="shared" si="113"/>
        <v>673.919224384774</v>
      </c>
      <c r="AM95" s="66">
        <f t="shared" si="113"/>
        <v>697.50639723824111</v>
      </c>
      <c r="AN95" s="66">
        <f t="shared" si="113"/>
        <v>718.43158915538834</v>
      </c>
      <c r="AO95" s="6"/>
      <c r="AP95" s="64">
        <f t="shared" ref="AP95:AP99" si="114">(AM95/AC95)^(1/10)-1</f>
        <v>8.4486760025201946E-2</v>
      </c>
      <c r="AQ95" s="64">
        <f t="shared" ref="AQ95:AQ99" si="115">(AC95/Q95)^(1/12)-1</f>
        <v>0.16422623505823997</v>
      </c>
    </row>
    <row r="96" spans="1:43">
      <c r="A96" s="5"/>
      <c r="D96" s="61" t="s">
        <v>234</v>
      </c>
      <c r="G96" s="136"/>
      <c r="H96" s="136"/>
      <c r="I96" s="136"/>
      <c r="J96" s="136"/>
      <c r="K96" s="136"/>
      <c r="L96" s="136"/>
      <c r="M96" s="136"/>
      <c r="N96" s="136">
        <v>57.1</v>
      </c>
      <c r="O96" s="136">
        <v>80.882999999999996</v>
      </c>
      <c r="P96" s="136">
        <v>109.69499999999999</v>
      </c>
      <c r="Q96" s="136">
        <v>169.73699999999999</v>
      </c>
      <c r="R96" s="136">
        <v>181.166</v>
      </c>
      <c r="S96" s="136">
        <v>197.2</v>
      </c>
      <c r="T96" s="136">
        <v>256.7</v>
      </c>
      <c r="U96" s="136">
        <v>396.1</v>
      </c>
      <c r="V96" s="136">
        <v>384.58300000000003</v>
      </c>
      <c r="W96" s="136">
        <v>434.488</v>
      </c>
      <c r="X96" s="136">
        <v>498.2</v>
      </c>
      <c r="Y96" s="136">
        <v>615.6</v>
      </c>
      <c r="Z96" s="136">
        <v>673</v>
      </c>
      <c r="AA96" s="136">
        <v>751</v>
      </c>
      <c r="AB96" s="136">
        <v>1033</v>
      </c>
      <c r="AC96" s="66">
        <f t="shared" ref="AC96:AN96" si="116">(AB96*AC67)+(AB96*AC74)+AB96</f>
        <v>1353.23</v>
      </c>
      <c r="AD96" s="66">
        <f t="shared" si="116"/>
        <v>1583.2791</v>
      </c>
      <c r="AE96" s="66">
        <f t="shared" si="116"/>
        <v>1892.0185245</v>
      </c>
      <c r="AF96" s="66">
        <f t="shared" si="116"/>
        <v>2223.1217662875001</v>
      </c>
      <c r="AG96" s="66">
        <f t="shared" si="116"/>
        <v>2567.7056400620627</v>
      </c>
      <c r="AH96" s="66">
        <f t="shared" si="116"/>
        <v>2940.0229578710619</v>
      </c>
      <c r="AI96" s="66">
        <f t="shared" si="116"/>
        <v>3336.9260571836553</v>
      </c>
      <c r="AJ96" s="66">
        <f t="shared" si="116"/>
        <v>3737.3571840456939</v>
      </c>
      <c r="AK96" s="66">
        <f t="shared" si="116"/>
        <v>4148.4664742907198</v>
      </c>
      <c r="AL96" s="66">
        <f t="shared" si="116"/>
        <v>4563.3131217197915</v>
      </c>
      <c r="AM96" s="66">
        <f t="shared" si="116"/>
        <v>4974.011302674573</v>
      </c>
      <c r="AN96" s="66">
        <f t="shared" si="116"/>
        <v>5396.8022634019117</v>
      </c>
      <c r="AO96" s="6"/>
      <c r="AP96" s="64">
        <f t="shared" si="114"/>
        <v>0.13902567855796066</v>
      </c>
      <c r="AQ96" s="64">
        <f t="shared" si="115"/>
        <v>0.18886604822028441</v>
      </c>
    </row>
    <row r="97" spans="1:43">
      <c r="A97" s="5"/>
      <c r="D97" s="61" t="s">
        <v>235</v>
      </c>
      <c r="G97" s="136"/>
      <c r="H97" s="136"/>
      <c r="I97" s="136"/>
      <c r="J97" s="136"/>
      <c r="K97" s="136"/>
      <c r="L97" s="136"/>
      <c r="M97" s="136"/>
      <c r="N97" s="136">
        <v>15.567</v>
      </c>
      <c r="O97" s="136">
        <v>19.957999999999998</v>
      </c>
      <c r="P97" s="136">
        <v>33.796999999999997</v>
      </c>
      <c r="Q97" s="136">
        <v>74.602000000000004</v>
      </c>
      <c r="R97" s="136">
        <v>108.71599999999999</v>
      </c>
      <c r="S97" s="136">
        <v>111.4</v>
      </c>
      <c r="T97" s="136">
        <v>127.9</v>
      </c>
      <c r="U97" s="136">
        <v>139.30000000000001</v>
      </c>
      <c r="V97" s="136">
        <v>152.90899999999999</v>
      </c>
      <c r="W97" s="136">
        <v>147.749</v>
      </c>
      <c r="X97" s="136">
        <v>167.6</v>
      </c>
      <c r="Y97" s="136">
        <v>174.6</v>
      </c>
      <c r="Z97" s="136">
        <v>173.25</v>
      </c>
      <c r="AA97" s="136">
        <v>169</v>
      </c>
      <c r="AB97" s="136">
        <v>176</v>
      </c>
      <c r="AC97" s="66">
        <f t="shared" ref="AC97:AN97" si="117">(AB97*AC68)+(AB97*AC75)+AB97</f>
        <v>200.64000000000001</v>
      </c>
      <c r="AD97" s="66">
        <f t="shared" si="117"/>
        <v>228.7296</v>
      </c>
      <c r="AE97" s="66">
        <f t="shared" si="117"/>
        <v>256.17715199999998</v>
      </c>
      <c r="AF97" s="66">
        <f t="shared" si="117"/>
        <v>281.7948672</v>
      </c>
      <c r="AG97" s="66">
        <f t="shared" si="117"/>
        <v>304.338456576</v>
      </c>
      <c r="AH97" s="66">
        <f t="shared" si="117"/>
        <v>325.64214853632001</v>
      </c>
      <c r="AI97" s="66">
        <f t="shared" si="117"/>
        <v>345.18067744849918</v>
      </c>
      <c r="AJ97" s="66">
        <f t="shared" si="117"/>
        <v>360.71380793368166</v>
      </c>
      <c r="AK97" s="66">
        <f t="shared" si="117"/>
        <v>373.3387912113605</v>
      </c>
      <c r="AL97" s="66">
        <f t="shared" si="117"/>
        <v>382.67226099164452</v>
      </c>
      <c r="AM97" s="66">
        <f t="shared" si="117"/>
        <v>388.41234490651919</v>
      </c>
      <c r="AN97" s="66">
        <f t="shared" si="117"/>
        <v>392.29646835558441</v>
      </c>
      <c r="AO97" s="6"/>
      <c r="AP97" s="64">
        <f t="shared" si="114"/>
        <v>6.8286033433319515E-2</v>
      </c>
      <c r="AQ97" s="64">
        <f t="shared" si="115"/>
        <v>8.5939392284831051E-2</v>
      </c>
    </row>
    <row r="98" spans="1:43">
      <c r="A98" s="5"/>
      <c r="D98" s="61" t="s">
        <v>236</v>
      </c>
      <c r="G98" s="136"/>
      <c r="H98" s="136"/>
      <c r="I98" s="136"/>
      <c r="J98" s="136"/>
      <c r="K98" s="136"/>
      <c r="L98" s="136"/>
      <c r="M98" s="136"/>
      <c r="N98" s="136">
        <v>142.49</v>
      </c>
      <c r="O98" s="136">
        <v>192.69399999999999</v>
      </c>
      <c r="P98" s="136">
        <v>251.77799999999999</v>
      </c>
      <c r="Q98" s="136">
        <v>339.63900000000001</v>
      </c>
      <c r="R98" s="136">
        <v>420.35199999999998</v>
      </c>
      <c r="S98" s="136">
        <v>510.3</v>
      </c>
      <c r="T98" s="136">
        <v>724.5</v>
      </c>
      <c r="U98" s="136">
        <v>1015</v>
      </c>
      <c r="V98" s="136">
        <v>1169.7950000000001</v>
      </c>
      <c r="W98" s="136">
        <v>1400.3150000000001</v>
      </c>
      <c r="X98" s="136">
        <v>1643.2</v>
      </c>
      <c r="Y98" s="136">
        <v>2071.6</v>
      </c>
      <c r="Z98" s="136">
        <v>2417.25</v>
      </c>
      <c r="AA98" s="136">
        <v>2815</v>
      </c>
      <c r="AB98" s="136">
        <v>3611</v>
      </c>
      <c r="AC98" s="66">
        <f t="shared" ref="AC98:AN98" si="118">(AB98*AC69)+(AB98*AC76)+AB98</f>
        <v>4676.2449999999999</v>
      </c>
      <c r="AD98" s="66">
        <f t="shared" si="118"/>
        <v>5611.4939999999997</v>
      </c>
      <c r="AE98" s="66">
        <f t="shared" si="118"/>
        <v>6677.6778599999998</v>
      </c>
      <c r="AF98" s="66">
        <f t="shared" si="118"/>
        <v>7946.4366534000001</v>
      </c>
      <c r="AG98" s="66">
        <f t="shared" si="118"/>
        <v>9297.3308844780004</v>
      </c>
      <c r="AH98" s="66">
        <f t="shared" si="118"/>
        <v>10784.903825994481</v>
      </c>
      <c r="AI98" s="66">
        <f t="shared" si="118"/>
        <v>12402.639399893653</v>
      </c>
      <c r="AJ98" s="66">
        <f t="shared" si="118"/>
        <v>14076.995718879296</v>
      </c>
      <c r="AK98" s="66">
        <f t="shared" si="118"/>
        <v>15836.620183739207</v>
      </c>
      <c r="AL98" s="66">
        <f t="shared" si="118"/>
        <v>17657.831504869217</v>
      </c>
      <c r="AM98" s="66">
        <f t="shared" si="118"/>
        <v>19511.903812880482</v>
      </c>
      <c r="AN98" s="66">
        <f t="shared" si="118"/>
        <v>21463.094194168531</v>
      </c>
      <c r="AO98" s="6"/>
      <c r="AP98" s="64">
        <f t="shared" si="114"/>
        <v>0.15356013438739402</v>
      </c>
      <c r="AQ98" s="64">
        <f t="shared" si="115"/>
        <v>0.24424711360440932</v>
      </c>
    </row>
    <row r="99" spans="1:43">
      <c r="A99" s="5"/>
      <c r="D99" s="149" t="s">
        <v>247</v>
      </c>
      <c r="E99" s="8"/>
      <c r="F99" s="8"/>
      <c r="G99" s="155"/>
      <c r="H99" s="155"/>
      <c r="I99" s="155"/>
      <c r="J99" s="155"/>
      <c r="K99" s="155"/>
      <c r="L99" s="155"/>
      <c r="M99" s="155"/>
      <c r="N99" s="155">
        <f>SUM(N95:N98)</f>
        <v>243.02300000000002</v>
      </c>
      <c r="O99" s="155">
        <f>SUM(O95:O98)</f>
        <v>330.53199999999998</v>
      </c>
      <c r="P99" s="155">
        <f>SUM(P95:P98)</f>
        <v>437.94</v>
      </c>
      <c r="Q99" s="155">
        <f>SUM(Q95:Q98)</f>
        <v>633.96500000000003</v>
      </c>
      <c r="R99" s="155">
        <f t="shared" ref="R99:X99" si="119">SUM(R95:R98)</f>
        <v>773.34099999999989</v>
      </c>
      <c r="S99" s="155">
        <f t="shared" si="119"/>
        <v>891.3</v>
      </c>
      <c r="T99" s="155">
        <f t="shared" si="119"/>
        <v>1210.8</v>
      </c>
      <c r="U99" s="155">
        <f t="shared" si="119"/>
        <v>1669.3</v>
      </c>
      <c r="V99" s="155">
        <f t="shared" si="119"/>
        <v>1838.3090000000002</v>
      </c>
      <c r="W99" s="155">
        <f t="shared" si="119"/>
        <v>2125.0860000000002</v>
      </c>
      <c r="X99" s="155">
        <f t="shared" si="119"/>
        <v>2479.4</v>
      </c>
      <c r="Y99" s="155">
        <f>SUM(Y95:Y98)</f>
        <v>3060.1</v>
      </c>
      <c r="Z99" s="155">
        <f>SUM(Z95:Z98)</f>
        <v>3489.5</v>
      </c>
      <c r="AA99" s="155">
        <f t="shared" ref="AA99:AK99" si="120">SUM(AA95:AA98)</f>
        <v>3969</v>
      </c>
      <c r="AB99" s="155">
        <f t="shared" si="120"/>
        <v>5107</v>
      </c>
      <c r="AC99" s="155">
        <f t="shared" si="120"/>
        <v>6540.0749999999998</v>
      </c>
      <c r="AD99" s="155">
        <f t="shared" si="120"/>
        <v>7770.6579000000002</v>
      </c>
      <c r="AE99" s="155">
        <f t="shared" si="120"/>
        <v>9221.6304645</v>
      </c>
      <c r="AF99" s="155">
        <f t="shared" si="120"/>
        <v>10894.601046247501</v>
      </c>
      <c r="AG99" s="155">
        <f t="shared" si="120"/>
        <v>12656.947516412063</v>
      </c>
      <c r="AH99" s="155">
        <f t="shared" si="120"/>
        <v>14582.022995874502</v>
      </c>
      <c r="AI99" s="155">
        <f t="shared" si="120"/>
        <v>16658.716523076258</v>
      </c>
      <c r="AJ99" s="155">
        <f t="shared" si="120"/>
        <v>18786.345174664901</v>
      </c>
      <c r="AK99" s="155">
        <f t="shared" si="120"/>
        <v>21003.324228556859</v>
      </c>
      <c r="AL99" s="155">
        <f t="shared" ref="AL99" si="121">SUM(AL95:AL98)</f>
        <v>23277.736111965427</v>
      </c>
      <c r="AM99" s="155">
        <f t="shared" ref="AM99:AN99" si="122">SUM(AM95:AM98)</f>
        <v>25571.833857699814</v>
      </c>
      <c r="AN99" s="155">
        <f t="shared" si="122"/>
        <v>27970.624515081414</v>
      </c>
      <c r="AO99" s="6"/>
      <c r="AP99" s="64">
        <f t="shared" si="114"/>
        <v>0.14608786599926771</v>
      </c>
      <c r="AQ99" s="64">
        <f t="shared" si="115"/>
        <v>0.21467414454756262</v>
      </c>
    </row>
    <row r="100" spans="1:43">
      <c r="A100" s="5"/>
      <c r="D100" s="72" t="s">
        <v>111</v>
      </c>
      <c r="G100" s="6"/>
      <c r="H100" s="6"/>
      <c r="I100" s="6"/>
      <c r="J100" s="6"/>
      <c r="K100" s="6"/>
      <c r="L100" s="6"/>
      <c r="M100" s="6"/>
      <c r="N100" s="66" t="b">
        <f t="shared" ref="N100:Y100" si="123">ABS(N99-N134)&lt;1</f>
        <v>1</v>
      </c>
      <c r="O100" s="66" t="b">
        <f t="shared" si="123"/>
        <v>1</v>
      </c>
      <c r="P100" s="66" t="b">
        <f t="shared" si="123"/>
        <v>1</v>
      </c>
      <c r="Q100" s="66" t="b">
        <f t="shared" si="123"/>
        <v>1</v>
      </c>
      <c r="R100" s="66" t="b">
        <f t="shared" si="123"/>
        <v>1</v>
      </c>
      <c r="S100" s="66" t="b">
        <f t="shared" si="123"/>
        <v>1</v>
      </c>
      <c r="T100" s="66" t="b">
        <f t="shared" si="123"/>
        <v>1</v>
      </c>
      <c r="U100" s="66" t="b">
        <f t="shared" si="123"/>
        <v>1</v>
      </c>
      <c r="V100" s="66" t="b">
        <f t="shared" si="123"/>
        <v>1</v>
      </c>
      <c r="W100" s="66" t="b">
        <f t="shared" si="123"/>
        <v>1</v>
      </c>
      <c r="X100" s="66" t="b">
        <f t="shared" si="123"/>
        <v>1</v>
      </c>
      <c r="Y100" s="66" t="b">
        <f t="shared" si="123"/>
        <v>1</v>
      </c>
      <c r="Z100" s="66" t="b">
        <f>ABS(Z99-Z134)&lt;1</f>
        <v>1</v>
      </c>
      <c r="AA100" s="66" t="b">
        <f t="shared" ref="AA100" si="124">ABS(AA99-AA134)&lt;1</f>
        <v>1</v>
      </c>
      <c r="AB100" s="66" t="b">
        <f>ABS(AB99-AB134)&lt;1.5</f>
        <v>1</v>
      </c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6"/>
    </row>
    <row r="101" spans="1:43">
      <c r="A101" s="5"/>
      <c r="D101" s="61" t="s">
        <v>248</v>
      </c>
      <c r="G101" s="136"/>
      <c r="H101" s="70">
        <v>0.41</v>
      </c>
      <c r="I101" s="70">
        <v>0.43</v>
      </c>
      <c r="J101" s="70">
        <v>0.47</v>
      </c>
      <c r="K101" s="70">
        <v>0.53</v>
      </c>
      <c r="L101" s="70">
        <v>0.54900000000000004</v>
      </c>
      <c r="M101" s="70">
        <f>(26+26.9+28.1+29.6)/(46+47.3+48.4+48.6)</f>
        <v>0.58118759852863899</v>
      </c>
      <c r="N101" s="69">
        <f>+N98/N99</f>
        <v>0.58632310522049347</v>
      </c>
      <c r="O101" s="69">
        <f t="shared" ref="O101:AK101" si="125">+O98/O99</f>
        <v>0.58298137547953</v>
      </c>
      <c r="P101" s="69">
        <f t="shared" si="125"/>
        <v>0.57491437183175775</v>
      </c>
      <c r="Q101" s="69">
        <f t="shared" si="125"/>
        <v>0.53573777732209193</v>
      </c>
      <c r="R101" s="69">
        <f t="shared" si="125"/>
        <v>0.54355323201537231</v>
      </c>
      <c r="S101" s="69">
        <f t="shared" si="125"/>
        <v>0.57253450016829355</v>
      </c>
      <c r="T101" s="69">
        <f t="shared" si="125"/>
        <v>0.59836471754212095</v>
      </c>
      <c r="U101" s="69">
        <f t="shared" si="125"/>
        <v>0.60803929790930333</v>
      </c>
      <c r="V101" s="69">
        <f t="shared" si="125"/>
        <v>0.63634296519246758</v>
      </c>
      <c r="W101" s="69">
        <f t="shared" si="125"/>
        <v>0.65894509681019964</v>
      </c>
      <c r="X101" s="69">
        <f t="shared" si="125"/>
        <v>0.66274098572235218</v>
      </c>
      <c r="Y101" s="69">
        <f>+Y98/Y99</f>
        <v>0.67697134080585597</v>
      </c>
      <c r="Z101" s="69">
        <f>+Z98/Z99</f>
        <v>0.6927210202034676</v>
      </c>
      <c r="AA101" s="69">
        <f t="shared" si="125"/>
        <v>0.70924666162761396</v>
      </c>
      <c r="AB101" s="69">
        <f t="shared" si="125"/>
        <v>0.70706872919522223</v>
      </c>
      <c r="AC101" s="69">
        <f t="shared" si="125"/>
        <v>0.71501397155231405</v>
      </c>
      <c r="AD101" s="69">
        <f t="shared" si="125"/>
        <v>0.72213885519268572</v>
      </c>
      <c r="AE101" s="69">
        <f t="shared" si="125"/>
        <v>0.72413201610134847</v>
      </c>
      <c r="AF101" s="69">
        <f t="shared" si="125"/>
        <v>0.72939216586889555</v>
      </c>
      <c r="AG101" s="69">
        <f t="shared" si="125"/>
        <v>0.73456343817672454</v>
      </c>
      <c r="AH101" s="69">
        <f t="shared" si="125"/>
        <v>0.73960271692382529</v>
      </c>
      <c r="AI101" s="69">
        <f t="shared" si="125"/>
        <v>0.74451350334901656</v>
      </c>
      <c r="AJ101" s="69">
        <f t="shared" si="125"/>
        <v>0.74932061494661606</v>
      </c>
      <c r="AK101" s="69">
        <f t="shared" si="125"/>
        <v>0.75400541416235345</v>
      </c>
      <c r="AL101" s="69">
        <f t="shared" ref="AL101" si="126">+AL98/AL99</f>
        <v>0.75857168497552396</v>
      </c>
      <c r="AM101" s="69">
        <f t="shared" ref="AM101:AN101" si="127">+AM98/AM99</f>
        <v>0.76302325134203641</v>
      </c>
      <c r="AN101" s="69">
        <f t="shared" si="127"/>
        <v>0.76734411784749024</v>
      </c>
      <c r="AO101" s="6"/>
    </row>
    <row r="102" spans="1:43">
      <c r="A102" s="5"/>
      <c r="D102" s="61" t="s">
        <v>249</v>
      </c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69"/>
      <c r="U102" s="69"/>
      <c r="V102" s="69"/>
      <c r="W102" s="69"/>
      <c r="X102" s="70">
        <f>(X108*(1-0.23)+(X118*0.13))/X99</f>
        <v>0.56602807130757438</v>
      </c>
      <c r="Y102" s="70">
        <f>(Y108*(1-0.3)+(Y118*0.16))/Y99</f>
        <v>0.52131172183915564</v>
      </c>
      <c r="Z102" s="70">
        <f>(Z108*(1-0.35)+(Z118*0.15))/Z99</f>
        <v>0.48708267660123228</v>
      </c>
      <c r="AA102" s="70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"/>
    </row>
    <row r="103" spans="1:43">
      <c r="A103" s="5"/>
      <c r="D103" s="158"/>
      <c r="G103" s="6"/>
      <c r="H103" s="6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"/>
    </row>
    <row r="104" spans="1:43">
      <c r="A104" s="5"/>
      <c r="D104" s="61" t="s">
        <v>233</v>
      </c>
      <c r="G104" s="136"/>
      <c r="H104" s="136"/>
      <c r="I104" s="136"/>
      <c r="J104" s="136"/>
      <c r="K104" s="136"/>
      <c r="L104" s="136"/>
      <c r="M104" s="136"/>
      <c r="N104" s="136">
        <v>17.704999999999998</v>
      </c>
      <c r="O104" s="136">
        <v>25.027999999999999</v>
      </c>
      <c r="P104" s="136">
        <v>33.954000000000001</v>
      </c>
      <c r="Q104" s="136">
        <v>36.08</v>
      </c>
      <c r="R104" s="136">
        <v>43.747999999999998</v>
      </c>
      <c r="S104" s="136">
        <v>48.9</v>
      </c>
      <c r="T104" s="136">
        <v>65.599999999999994</v>
      </c>
      <c r="U104" s="136">
        <v>77.5</v>
      </c>
      <c r="V104" s="136">
        <v>86</v>
      </c>
      <c r="W104" s="136">
        <v>87.6</v>
      </c>
      <c r="X104" s="136">
        <v>106.8</v>
      </c>
      <c r="Y104" s="136">
        <v>120.9</v>
      </c>
      <c r="Z104" s="136">
        <v>143</v>
      </c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6"/>
      <c r="AP104" s="64"/>
      <c r="AQ104" s="64"/>
    </row>
    <row r="105" spans="1:43">
      <c r="A105" s="5"/>
      <c r="D105" s="61" t="s">
        <v>234</v>
      </c>
      <c r="G105" s="136"/>
      <c r="H105" s="136"/>
      <c r="I105" s="136"/>
      <c r="J105" s="136"/>
      <c r="K105" s="136"/>
      <c r="L105" s="136"/>
      <c r="M105" s="136"/>
      <c r="N105" s="136">
        <v>42.667000000000002</v>
      </c>
      <c r="O105" s="136">
        <v>65.44</v>
      </c>
      <c r="P105" s="136">
        <v>97.233999999999995</v>
      </c>
      <c r="Q105" s="136">
        <v>141.48699999999999</v>
      </c>
      <c r="R105" s="136">
        <v>146.28100000000001</v>
      </c>
      <c r="S105" s="136">
        <v>154.80000000000001</v>
      </c>
      <c r="T105" s="136">
        <v>198.2</v>
      </c>
      <c r="U105" s="136">
        <v>327</v>
      </c>
      <c r="V105" s="136">
        <v>311.5</v>
      </c>
      <c r="W105" s="136">
        <v>344.4</v>
      </c>
      <c r="X105" s="136">
        <v>398.2</v>
      </c>
      <c r="Y105" s="136">
        <v>471.1</v>
      </c>
      <c r="Z105" s="136">
        <v>522</v>
      </c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6"/>
      <c r="AP105" s="64"/>
      <c r="AQ105" s="64"/>
    </row>
    <row r="106" spans="1:43">
      <c r="A106" s="5"/>
      <c r="D106" s="61" t="s">
        <v>235</v>
      </c>
      <c r="G106" s="136"/>
      <c r="H106" s="136"/>
      <c r="I106" s="136"/>
      <c r="J106" s="136"/>
      <c r="K106" s="136"/>
      <c r="L106" s="136"/>
      <c r="M106" s="136"/>
      <c r="N106" s="136">
        <v>11.507999999999999</v>
      </c>
      <c r="O106" s="136">
        <v>16.114000000000001</v>
      </c>
      <c r="P106" s="136">
        <v>30.007999999999999</v>
      </c>
      <c r="Q106" s="136">
        <v>66.075999999999993</v>
      </c>
      <c r="R106" s="136">
        <v>97.132999999999996</v>
      </c>
      <c r="S106" s="136">
        <v>97.8</v>
      </c>
      <c r="T106" s="136">
        <v>111.1</v>
      </c>
      <c r="U106" s="136">
        <v>116.3</v>
      </c>
      <c r="V106" s="136">
        <v>126.4</v>
      </c>
      <c r="W106" s="136">
        <v>120.4</v>
      </c>
      <c r="X106" s="136">
        <v>138.6</v>
      </c>
      <c r="Y106" s="136">
        <v>146.4</v>
      </c>
      <c r="Z106" s="136">
        <v>143</v>
      </c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6"/>
      <c r="AP106" s="64"/>
      <c r="AQ106" s="64"/>
    </row>
    <row r="107" spans="1:43">
      <c r="A107" s="5"/>
      <c r="D107" s="61" t="s">
        <v>236</v>
      </c>
      <c r="G107" s="136"/>
      <c r="H107" s="136"/>
      <c r="I107" s="136"/>
      <c r="J107" s="136"/>
      <c r="K107" s="136"/>
      <c r="L107" s="136"/>
      <c r="M107" s="136"/>
      <c r="N107" s="136">
        <v>84.924000000000007</v>
      </c>
      <c r="O107" s="136">
        <v>124.187</v>
      </c>
      <c r="P107" s="136">
        <v>175.423</v>
      </c>
      <c r="Q107" s="136">
        <v>231.18899999999999</v>
      </c>
      <c r="R107" s="136">
        <v>284.48899999999998</v>
      </c>
      <c r="S107" s="136">
        <v>334.5</v>
      </c>
      <c r="T107" s="136">
        <v>434.9</v>
      </c>
      <c r="U107" s="136">
        <v>650.70000000000005</v>
      </c>
      <c r="V107" s="136">
        <v>744.6</v>
      </c>
      <c r="W107" s="136">
        <v>875.9</v>
      </c>
      <c r="X107" s="136">
        <v>1045.5999999999999</v>
      </c>
      <c r="Y107" s="136">
        <v>1309.0999999999999</v>
      </c>
      <c r="Z107" s="136">
        <v>1544.5</v>
      </c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6"/>
      <c r="AP107" s="64"/>
      <c r="AQ107" s="64"/>
    </row>
    <row r="108" spans="1:43">
      <c r="A108" s="5"/>
      <c r="D108" s="149" t="s">
        <v>250</v>
      </c>
      <c r="E108" s="8"/>
      <c r="F108" s="8"/>
      <c r="G108" s="155"/>
      <c r="H108" s="155"/>
      <c r="I108" s="155"/>
      <c r="J108" s="155"/>
      <c r="K108" s="155"/>
      <c r="L108" s="155"/>
      <c r="M108" s="155"/>
      <c r="N108" s="155">
        <f t="shared" ref="N108:Y108" si="128">SUM(N104:N107)</f>
        <v>156.804</v>
      </c>
      <c r="O108" s="155">
        <f t="shared" si="128"/>
        <v>230.76900000000001</v>
      </c>
      <c r="P108" s="155">
        <f t="shared" si="128"/>
        <v>336.61900000000003</v>
      </c>
      <c r="Q108" s="155">
        <f t="shared" si="128"/>
        <v>474.83199999999999</v>
      </c>
      <c r="R108" s="155">
        <f t="shared" si="128"/>
        <v>571.65099999999995</v>
      </c>
      <c r="S108" s="155">
        <f t="shared" si="128"/>
        <v>636</v>
      </c>
      <c r="T108" s="155">
        <f t="shared" si="128"/>
        <v>809.8</v>
      </c>
      <c r="U108" s="155">
        <f t="shared" si="128"/>
        <v>1171.5</v>
      </c>
      <c r="V108" s="155">
        <f t="shared" si="128"/>
        <v>1268.5</v>
      </c>
      <c r="W108" s="155">
        <f t="shared" si="128"/>
        <v>1428.3</v>
      </c>
      <c r="X108" s="155">
        <f t="shared" si="128"/>
        <v>1689.1999999999998</v>
      </c>
      <c r="Y108" s="155">
        <f t="shared" si="128"/>
        <v>2047.5</v>
      </c>
      <c r="Z108" s="155">
        <f t="shared" ref="Z108" si="129">SUM(Z104:Z107)</f>
        <v>2352.5</v>
      </c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6"/>
      <c r="AP108" s="64"/>
      <c r="AQ108" s="64"/>
    </row>
    <row r="109" spans="1:43">
      <c r="A109" s="5"/>
      <c r="D109" s="61" t="s">
        <v>251</v>
      </c>
      <c r="G109" s="136"/>
      <c r="H109" s="136"/>
      <c r="I109" s="136"/>
      <c r="J109" s="136"/>
      <c r="K109" s="136"/>
      <c r="L109" s="136"/>
      <c r="M109" s="136"/>
      <c r="N109" s="136">
        <f>63.899+70.997+14.973</f>
        <v>149.86900000000003</v>
      </c>
      <c r="O109" s="136">
        <f>96.929+29.568+93.704</f>
        <v>220.20099999999999</v>
      </c>
      <c r="P109" s="136">
        <f>138.263+46.34+135.521</f>
        <v>320.12400000000002</v>
      </c>
      <c r="Q109" s="136">
        <f>+Q108-91.047+5.144+50.775</f>
        <v>439.70399999999995</v>
      </c>
      <c r="R109" s="136">
        <v>506.923</v>
      </c>
      <c r="S109" s="136">
        <v>568.96199999999999</v>
      </c>
      <c r="T109" s="136">
        <v>728.26800000000003</v>
      </c>
      <c r="U109" s="136">
        <v>1037.896</v>
      </c>
      <c r="V109" s="136">
        <v>1075.9649999999999</v>
      </c>
      <c r="W109" s="136">
        <v>1181.509</v>
      </c>
      <c r="X109" s="136">
        <v>1417.6</v>
      </c>
      <c r="Y109" s="136">
        <v>1714.8</v>
      </c>
      <c r="Z109" s="136">
        <v>2016</v>
      </c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6"/>
    </row>
    <row r="110" spans="1:43">
      <c r="A110" s="5"/>
      <c r="D110" s="61" t="s">
        <v>252</v>
      </c>
      <c r="G110" s="78"/>
      <c r="H110" s="78"/>
      <c r="I110" s="78"/>
      <c r="J110" s="78"/>
      <c r="K110" s="78"/>
      <c r="L110" s="78"/>
      <c r="M110" s="78"/>
      <c r="N110" s="78">
        <f t="shared" ref="N110:Z110" si="130">+N108-N109</f>
        <v>6.9349999999999739</v>
      </c>
      <c r="O110" s="78">
        <f t="shared" si="130"/>
        <v>10.568000000000012</v>
      </c>
      <c r="P110" s="78">
        <f t="shared" si="130"/>
        <v>16.495000000000005</v>
      </c>
      <c r="Q110" s="78">
        <f t="shared" si="130"/>
        <v>35.128000000000043</v>
      </c>
      <c r="R110" s="78">
        <f t="shared" si="130"/>
        <v>64.727999999999952</v>
      </c>
      <c r="S110" s="78">
        <f t="shared" si="130"/>
        <v>67.038000000000011</v>
      </c>
      <c r="T110" s="78">
        <f t="shared" si="130"/>
        <v>81.531999999999925</v>
      </c>
      <c r="U110" s="78">
        <f t="shared" si="130"/>
        <v>133.60400000000004</v>
      </c>
      <c r="V110" s="78">
        <f t="shared" si="130"/>
        <v>192.53500000000008</v>
      </c>
      <c r="W110" s="78">
        <f t="shared" si="130"/>
        <v>246.79099999999994</v>
      </c>
      <c r="X110" s="78">
        <f t="shared" si="130"/>
        <v>271.59999999999991</v>
      </c>
      <c r="Y110" s="78">
        <f t="shared" si="130"/>
        <v>332.70000000000005</v>
      </c>
      <c r="Z110" s="78">
        <f t="shared" si="130"/>
        <v>336.5</v>
      </c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6"/>
    </row>
    <row r="111" spans="1:43">
      <c r="A111" s="5"/>
      <c r="D111" s="61" t="s">
        <v>253</v>
      </c>
      <c r="G111" s="136"/>
      <c r="H111" s="136"/>
      <c r="I111" s="136"/>
      <c r="J111" s="136"/>
      <c r="K111" s="136"/>
      <c r="L111" s="136"/>
      <c r="M111" s="136"/>
      <c r="N111" s="136">
        <v>3.1760000000000002</v>
      </c>
      <c r="O111" s="136">
        <v>4.827</v>
      </c>
      <c r="P111" s="136">
        <v>6.7080000000000002</v>
      </c>
      <c r="Q111" s="136">
        <v>18.010999999999999</v>
      </c>
      <c r="R111" s="136">
        <v>84.417000000000002</v>
      </c>
      <c r="S111" s="136">
        <v>30.995000000000001</v>
      </c>
      <c r="T111" s="136">
        <v>53.682000000000002</v>
      </c>
      <c r="U111" s="136">
        <v>64.456999999999994</v>
      </c>
      <c r="V111" s="136">
        <v>80.572000000000003</v>
      </c>
      <c r="W111" s="136">
        <v>132.17400000000001</v>
      </c>
      <c r="X111" s="136">
        <v>128</v>
      </c>
      <c r="Y111" s="136">
        <v>261.60000000000002</v>
      </c>
      <c r="Z111" s="136">
        <v>202</v>
      </c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6"/>
    </row>
    <row r="112" spans="1:43">
      <c r="A112" s="5"/>
      <c r="D112" s="61" t="s">
        <v>254</v>
      </c>
      <c r="G112" s="62"/>
      <c r="H112" s="62"/>
      <c r="I112" s="62"/>
      <c r="J112" s="62"/>
      <c r="K112" s="62"/>
      <c r="L112" s="62"/>
      <c r="M112" s="62"/>
      <c r="N112" s="62">
        <f t="shared" ref="N112:Z112" si="131">+N111/N108</f>
        <v>2.0254585342210658E-2</v>
      </c>
      <c r="O112" s="62">
        <f t="shared" si="131"/>
        <v>2.0917020917020916E-2</v>
      </c>
      <c r="P112" s="62">
        <f t="shared" si="131"/>
        <v>1.9927573904027995E-2</v>
      </c>
      <c r="Q112" s="62">
        <f t="shared" si="131"/>
        <v>3.7931310442430165E-2</v>
      </c>
      <c r="R112" s="62">
        <f t="shared" si="131"/>
        <v>0.14767226856945936</v>
      </c>
      <c r="S112" s="62">
        <f t="shared" si="131"/>
        <v>4.8734276729559753E-2</v>
      </c>
      <c r="T112" s="62">
        <f t="shared" si="131"/>
        <v>6.6290442084465301E-2</v>
      </c>
      <c r="U112" s="62">
        <f t="shared" si="131"/>
        <v>5.502091335894152E-2</v>
      </c>
      <c r="V112" s="62">
        <f t="shared" si="131"/>
        <v>6.3517540402049669E-2</v>
      </c>
      <c r="W112" s="62">
        <f t="shared" si="131"/>
        <v>9.2539382482671712E-2</v>
      </c>
      <c r="X112" s="62">
        <f t="shared" si="131"/>
        <v>7.5775515036703767E-2</v>
      </c>
      <c r="Y112" s="62">
        <f t="shared" si="131"/>
        <v>0.12776556776556777</v>
      </c>
      <c r="Z112" s="62">
        <f t="shared" si="131"/>
        <v>8.5866099893730077E-2</v>
      </c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6"/>
    </row>
    <row r="113" spans="1:43">
      <c r="A113" s="5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56"/>
      <c r="U113" s="56"/>
      <c r="V113" s="56"/>
      <c r="W113" s="62"/>
      <c r="X113" s="62"/>
      <c r="Y113" s="62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6"/>
    </row>
    <row r="114" spans="1:43">
      <c r="A114" s="5"/>
      <c r="D114" s="61" t="s">
        <v>233</v>
      </c>
      <c r="G114" s="136"/>
      <c r="H114" s="136"/>
      <c r="I114" s="136"/>
      <c r="J114" s="136"/>
      <c r="K114" s="136"/>
      <c r="L114" s="136"/>
      <c r="M114" s="136"/>
      <c r="N114" s="136">
        <v>10.161</v>
      </c>
      <c r="O114" s="136">
        <v>11.968999999999999</v>
      </c>
      <c r="P114" s="136">
        <v>8.7159999999999993</v>
      </c>
      <c r="Q114" s="136">
        <v>13.907</v>
      </c>
      <c r="R114" s="136">
        <v>19.359000000000002</v>
      </c>
      <c r="S114" s="136">
        <v>23.6</v>
      </c>
      <c r="T114" s="136">
        <v>36.1</v>
      </c>
      <c r="U114" s="136">
        <v>41.3</v>
      </c>
      <c r="V114" s="136">
        <v>45</v>
      </c>
      <c r="W114" s="136">
        <v>55</v>
      </c>
      <c r="X114" s="136">
        <v>63.6</v>
      </c>
      <c r="Y114" s="136">
        <v>77.400000000000006</v>
      </c>
      <c r="Z114" s="136">
        <v>83</v>
      </c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6"/>
      <c r="AP114" s="64"/>
      <c r="AQ114" s="64"/>
    </row>
    <row r="115" spans="1:43">
      <c r="A115" s="5"/>
      <c r="D115" s="61" t="s">
        <v>234</v>
      </c>
      <c r="G115" s="136"/>
      <c r="H115" s="136"/>
      <c r="I115" s="136"/>
      <c r="J115" s="136"/>
      <c r="K115" s="136"/>
      <c r="L115" s="136"/>
      <c r="M115" s="136"/>
      <c r="N115" s="136">
        <v>14.433</v>
      </c>
      <c r="O115" s="136">
        <v>15.443</v>
      </c>
      <c r="P115" s="136">
        <v>12.461</v>
      </c>
      <c r="Q115" s="136">
        <v>28.25</v>
      </c>
      <c r="R115" s="136">
        <v>34.884999999999998</v>
      </c>
      <c r="S115" s="136">
        <v>42.3</v>
      </c>
      <c r="T115" s="136">
        <v>58.6</v>
      </c>
      <c r="U115" s="136">
        <v>69.099999999999994</v>
      </c>
      <c r="V115" s="136">
        <v>73.099999999999994</v>
      </c>
      <c r="W115" s="136">
        <v>90.1</v>
      </c>
      <c r="X115" s="136">
        <v>100</v>
      </c>
      <c r="Y115" s="136">
        <v>144.5</v>
      </c>
      <c r="Z115" s="136">
        <v>151</v>
      </c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6"/>
      <c r="AP115" s="64"/>
      <c r="AQ115" s="64"/>
    </row>
    <row r="116" spans="1:43">
      <c r="A116" s="5"/>
      <c r="D116" s="61" t="s">
        <v>235</v>
      </c>
      <c r="G116" s="136"/>
      <c r="H116" s="136"/>
      <c r="I116" s="136"/>
      <c r="J116" s="136"/>
      <c r="K116" s="136"/>
      <c r="L116" s="136"/>
      <c r="M116" s="136"/>
      <c r="N116" s="136">
        <v>4.0590000000000002</v>
      </c>
      <c r="O116" s="136">
        <v>3.8439999999999999</v>
      </c>
      <c r="P116" s="136">
        <v>3.7890000000000001</v>
      </c>
      <c r="Q116" s="136">
        <v>8.5259999999999998</v>
      </c>
      <c r="R116" s="136">
        <v>11.583</v>
      </c>
      <c r="S116" s="136">
        <v>13.6</v>
      </c>
      <c r="T116" s="136">
        <v>16.8</v>
      </c>
      <c r="U116" s="136">
        <v>23</v>
      </c>
      <c r="V116" s="136">
        <v>26.6</v>
      </c>
      <c r="W116" s="136">
        <v>27.3</v>
      </c>
      <c r="X116" s="136">
        <v>29</v>
      </c>
      <c r="Y116" s="136">
        <v>28.2</v>
      </c>
      <c r="Z116" s="136">
        <v>30</v>
      </c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6"/>
      <c r="AP116" s="64"/>
      <c r="AQ116" s="64"/>
    </row>
    <row r="117" spans="1:43">
      <c r="A117" s="5"/>
      <c r="D117" s="61" t="s">
        <v>236</v>
      </c>
      <c r="G117" s="136"/>
      <c r="H117" s="136"/>
      <c r="I117" s="136"/>
      <c r="J117" s="136"/>
      <c r="K117" s="136"/>
      <c r="L117" s="136"/>
      <c r="M117" s="136"/>
      <c r="N117" s="136">
        <v>57.566000000000003</v>
      </c>
      <c r="O117" s="136">
        <v>68.507000000000005</v>
      </c>
      <c r="P117" s="136">
        <v>76.355000000000004</v>
      </c>
      <c r="Q117" s="136">
        <v>108.45</v>
      </c>
      <c r="R117" s="136">
        <v>135.863</v>
      </c>
      <c r="S117" s="136">
        <v>175.8</v>
      </c>
      <c r="T117" s="136">
        <v>289.60000000000002</v>
      </c>
      <c r="U117" s="136">
        <v>364.3</v>
      </c>
      <c r="V117" s="136">
        <v>425.2</v>
      </c>
      <c r="W117" s="136">
        <v>524.5</v>
      </c>
      <c r="X117" s="136">
        <v>597.6</v>
      </c>
      <c r="Y117" s="136">
        <v>762.5</v>
      </c>
      <c r="Z117" s="136">
        <v>873</v>
      </c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6"/>
      <c r="AP117" s="64"/>
      <c r="AQ117" s="64"/>
    </row>
    <row r="118" spans="1:43">
      <c r="A118" s="5"/>
      <c r="D118" s="149" t="s">
        <v>255</v>
      </c>
      <c r="E118" s="8"/>
      <c r="F118" s="8"/>
      <c r="G118" s="155"/>
      <c r="H118" s="155"/>
      <c r="I118" s="155"/>
      <c r="J118" s="155"/>
      <c r="K118" s="155"/>
      <c r="L118" s="155"/>
      <c r="M118" s="155"/>
      <c r="N118" s="155">
        <f t="shared" ref="N118:Y118" si="132">SUM(N114:N117)</f>
        <v>86.219000000000008</v>
      </c>
      <c r="O118" s="155">
        <f t="shared" si="132"/>
        <v>99.763000000000005</v>
      </c>
      <c r="P118" s="155">
        <f t="shared" si="132"/>
        <v>101.321</v>
      </c>
      <c r="Q118" s="155">
        <f t="shared" si="132"/>
        <v>159.13299999999998</v>
      </c>
      <c r="R118" s="155">
        <f t="shared" si="132"/>
        <v>201.69</v>
      </c>
      <c r="S118" s="155">
        <f t="shared" si="132"/>
        <v>255.3</v>
      </c>
      <c r="T118" s="155">
        <f t="shared" si="132"/>
        <v>401.1</v>
      </c>
      <c r="U118" s="155">
        <f t="shared" si="132"/>
        <v>497.7</v>
      </c>
      <c r="V118" s="155">
        <f t="shared" si="132"/>
        <v>569.9</v>
      </c>
      <c r="W118" s="155">
        <f t="shared" si="132"/>
        <v>696.9</v>
      </c>
      <c r="X118" s="155">
        <f t="shared" si="132"/>
        <v>790.2</v>
      </c>
      <c r="Y118" s="155">
        <f t="shared" si="132"/>
        <v>1012.6</v>
      </c>
      <c r="Z118" s="155">
        <f t="shared" ref="Z118" si="133">SUM(Z114:Z117)</f>
        <v>1137</v>
      </c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6"/>
      <c r="AP118" s="64"/>
      <c r="AQ118" s="64"/>
    </row>
    <row r="119" spans="1:43">
      <c r="A119" s="5"/>
      <c r="D119" s="61" t="s">
        <v>256</v>
      </c>
      <c r="G119" s="136"/>
      <c r="H119" s="136"/>
      <c r="I119" s="136"/>
      <c r="J119" s="136"/>
      <c r="K119" s="136"/>
      <c r="L119" s="136"/>
      <c r="M119" s="136"/>
      <c r="N119" s="136">
        <f>28.214+41.878+7.391</f>
        <v>77.483000000000004</v>
      </c>
      <c r="O119" s="136">
        <f>30.986+48.215+12.773</f>
        <v>91.974000000000004</v>
      </c>
      <c r="P119" s="136">
        <f>31.086+48.755+13.57</f>
        <v>93.411000000000001</v>
      </c>
      <c r="Q119" s="136">
        <f>+Q118-25.371+1.586+17.151</f>
        <v>152.499</v>
      </c>
      <c r="R119" s="136">
        <v>181.85</v>
      </c>
      <c r="S119" s="136">
        <v>228.71100000000001</v>
      </c>
      <c r="T119" s="136">
        <v>367.79399999999998</v>
      </c>
      <c r="U119" s="136">
        <v>443.88200000000001</v>
      </c>
      <c r="V119" s="136">
        <v>488.31599999999997</v>
      </c>
      <c r="W119" s="136">
        <v>594.80499999999995</v>
      </c>
      <c r="X119" s="136">
        <v>661.6</v>
      </c>
      <c r="Y119" s="136">
        <v>858.7</v>
      </c>
      <c r="Z119" s="136">
        <v>953</v>
      </c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6"/>
    </row>
    <row r="120" spans="1:43">
      <c r="A120" s="5"/>
      <c r="D120" s="61" t="s">
        <v>257</v>
      </c>
      <c r="G120" s="78"/>
      <c r="H120" s="78"/>
      <c r="I120" s="78"/>
      <c r="J120" s="78"/>
      <c r="K120" s="78"/>
      <c r="L120" s="78"/>
      <c r="M120" s="78"/>
      <c r="N120" s="78">
        <f t="shared" ref="N120:Z120" si="134">+N118-N119</f>
        <v>8.7360000000000042</v>
      </c>
      <c r="O120" s="78">
        <f t="shared" si="134"/>
        <v>7.7890000000000015</v>
      </c>
      <c r="P120" s="78">
        <f t="shared" si="134"/>
        <v>7.9099999999999966</v>
      </c>
      <c r="Q120" s="78">
        <f t="shared" si="134"/>
        <v>6.6339999999999861</v>
      </c>
      <c r="R120" s="78">
        <f t="shared" si="134"/>
        <v>19.840000000000003</v>
      </c>
      <c r="S120" s="78">
        <f t="shared" si="134"/>
        <v>26.588999999999999</v>
      </c>
      <c r="T120" s="78">
        <f t="shared" si="134"/>
        <v>33.30600000000004</v>
      </c>
      <c r="U120" s="78">
        <f t="shared" si="134"/>
        <v>53.817999999999984</v>
      </c>
      <c r="V120" s="78">
        <f t="shared" si="134"/>
        <v>81.584000000000003</v>
      </c>
      <c r="W120" s="78">
        <f t="shared" si="134"/>
        <v>102.09500000000003</v>
      </c>
      <c r="X120" s="78">
        <f t="shared" si="134"/>
        <v>128.60000000000002</v>
      </c>
      <c r="Y120" s="78">
        <f t="shared" si="134"/>
        <v>153.89999999999998</v>
      </c>
      <c r="Z120" s="78">
        <f t="shared" si="134"/>
        <v>184</v>
      </c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6"/>
    </row>
    <row r="121" spans="1:43">
      <c r="A121" s="5"/>
      <c r="D121" s="61" t="s">
        <v>258</v>
      </c>
      <c r="G121" s="136"/>
      <c r="H121" s="136"/>
      <c r="I121" s="136"/>
      <c r="J121" s="136"/>
      <c r="K121" s="136"/>
      <c r="L121" s="136"/>
      <c r="M121" s="136"/>
      <c r="N121" s="136">
        <v>3.0329999999999999</v>
      </c>
      <c r="O121" s="136">
        <v>7.274</v>
      </c>
      <c r="P121" s="136">
        <v>-2.8210000000000002</v>
      </c>
      <c r="Q121" s="136">
        <v>0.18099999999999999</v>
      </c>
      <c r="R121" s="136">
        <v>42.545000000000002</v>
      </c>
      <c r="S121" s="136">
        <v>13.426</v>
      </c>
      <c r="T121" s="136">
        <v>7.7690000000000001</v>
      </c>
      <c r="U121" s="136">
        <v>22.756</v>
      </c>
      <c r="V121" s="136">
        <v>44.74</v>
      </c>
      <c r="W121" s="136">
        <v>59.213000000000001</v>
      </c>
      <c r="X121" s="136">
        <v>73.3</v>
      </c>
      <c r="Y121" s="136">
        <v>111.3</v>
      </c>
      <c r="Z121" s="136">
        <v>128</v>
      </c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6"/>
    </row>
    <row r="122" spans="1:43">
      <c r="A122" s="5"/>
      <c r="D122" s="61" t="s">
        <v>259</v>
      </c>
      <c r="G122" s="62"/>
      <c r="H122" s="62"/>
      <c r="I122" s="62"/>
      <c r="J122" s="62"/>
      <c r="K122" s="62"/>
      <c r="L122" s="62"/>
      <c r="M122" s="62"/>
      <c r="N122" s="62">
        <f t="shared" ref="N122:Z122" si="135">+N121/N118</f>
        <v>3.5177861028311622E-2</v>
      </c>
      <c r="O122" s="62">
        <f t="shared" si="135"/>
        <v>7.2912803343925095E-2</v>
      </c>
      <c r="P122" s="62">
        <f t="shared" si="135"/>
        <v>-2.7842204478834596E-2</v>
      </c>
      <c r="Q122" s="62">
        <f t="shared" si="135"/>
        <v>1.1374133586371149E-3</v>
      </c>
      <c r="R122" s="62">
        <f t="shared" si="135"/>
        <v>0.21094253557439635</v>
      </c>
      <c r="S122" s="62">
        <f t="shared" si="135"/>
        <v>5.2589110849980414E-2</v>
      </c>
      <c r="T122" s="62">
        <f t="shared" si="135"/>
        <v>1.9369234604836697E-2</v>
      </c>
      <c r="U122" s="62">
        <f t="shared" si="135"/>
        <v>4.5722322684348005E-2</v>
      </c>
      <c r="V122" s="62">
        <f t="shared" si="135"/>
        <v>7.8505000877346909E-2</v>
      </c>
      <c r="W122" s="62">
        <f t="shared" si="135"/>
        <v>8.4966279236619313E-2</v>
      </c>
      <c r="X122" s="62">
        <f t="shared" si="135"/>
        <v>9.2761326246519865E-2</v>
      </c>
      <c r="Y122" s="62">
        <f t="shared" si="135"/>
        <v>0.10991507011653169</v>
      </c>
      <c r="Z122" s="62">
        <f t="shared" si="135"/>
        <v>0.11257695690413369</v>
      </c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6"/>
    </row>
    <row r="123" spans="1:43">
      <c r="A123" s="5"/>
      <c r="D123" s="158"/>
      <c r="G123" s="6"/>
      <c r="H123" s="6"/>
      <c r="I123" s="6"/>
      <c r="J123" s="6"/>
      <c r="K123" s="6"/>
      <c r="L123" s="6"/>
      <c r="M123" s="6"/>
      <c r="N123" s="6"/>
      <c r="O123" s="6"/>
      <c r="P123" s="84"/>
      <c r="Q123" s="6"/>
      <c r="R123" s="6"/>
      <c r="S123" s="6"/>
      <c r="T123" s="56"/>
      <c r="U123" s="56"/>
      <c r="V123" s="56"/>
      <c r="W123" s="62"/>
      <c r="X123" s="62"/>
      <c r="Y123" s="62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6"/>
    </row>
    <row r="124" spans="1:43">
      <c r="A124" s="5"/>
      <c r="D124" s="61" t="s">
        <v>260</v>
      </c>
      <c r="G124" s="6"/>
      <c r="H124" s="6"/>
      <c r="I124" s="6"/>
      <c r="J124" s="6"/>
      <c r="K124" s="6"/>
      <c r="L124" s="6"/>
      <c r="M124" s="6"/>
      <c r="N124" s="42">
        <v>0.09</v>
      </c>
      <c r="O124" s="42">
        <v>0.09</v>
      </c>
      <c r="P124" s="42">
        <v>0.08</v>
      </c>
      <c r="Q124" s="42">
        <v>0.08</v>
      </c>
      <c r="R124" s="42">
        <v>0.08</v>
      </c>
      <c r="S124" s="42">
        <v>0.08</v>
      </c>
      <c r="T124" s="42">
        <v>0.1</v>
      </c>
      <c r="U124" s="42">
        <v>0.1</v>
      </c>
      <c r="V124" s="42">
        <v>0.08</v>
      </c>
      <c r="W124" s="42">
        <v>0.09</v>
      </c>
      <c r="X124" s="42"/>
      <c r="Y124" s="42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6"/>
    </row>
    <row r="125" spans="1:43">
      <c r="A125" s="5"/>
      <c r="D125" s="61" t="s">
        <v>261</v>
      </c>
      <c r="G125" s="6"/>
      <c r="H125" s="6"/>
      <c r="I125" s="6"/>
      <c r="J125" s="6"/>
      <c r="K125" s="6"/>
      <c r="L125" s="6"/>
      <c r="M125" s="6"/>
      <c r="N125" s="42">
        <v>0.09</v>
      </c>
      <c r="O125" s="42">
        <v>0.09</v>
      </c>
      <c r="P125" s="42">
        <v>0.04</v>
      </c>
      <c r="Q125" s="42">
        <v>0.06</v>
      </c>
      <c r="R125" s="42">
        <v>0.05</v>
      </c>
      <c r="S125" s="42">
        <v>0.05</v>
      </c>
      <c r="T125" s="42">
        <v>0.06</v>
      </c>
      <c r="U125" s="42">
        <v>7.0000000000000007E-2</v>
      </c>
      <c r="V125" s="42">
        <v>0.05</v>
      </c>
      <c r="W125" s="42">
        <v>0.05</v>
      </c>
      <c r="X125" s="42"/>
      <c r="Y125" s="42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6"/>
    </row>
    <row r="126" spans="1:43">
      <c r="A126" s="5"/>
      <c r="D126" s="61" t="s">
        <v>262</v>
      </c>
      <c r="G126" s="6"/>
      <c r="H126" s="6"/>
      <c r="I126" s="6"/>
      <c r="J126" s="6"/>
      <c r="K126" s="6"/>
      <c r="L126" s="6"/>
      <c r="M126" s="6"/>
      <c r="N126" s="42">
        <v>-0.02</v>
      </c>
      <c r="O126" s="42">
        <v>-0.03</v>
      </c>
      <c r="P126" s="42">
        <v>-0.03</v>
      </c>
      <c r="Q126" s="42">
        <v>-0.03</v>
      </c>
      <c r="R126" s="42">
        <v>-0.02</v>
      </c>
      <c r="S126" s="42">
        <v>-0.02</v>
      </c>
      <c r="T126" s="42">
        <v>-0.02</v>
      </c>
      <c r="U126" s="42">
        <v>-0.04</v>
      </c>
      <c r="V126" s="42">
        <v>-0.02</v>
      </c>
      <c r="W126" s="42">
        <v>-0.04</v>
      </c>
      <c r="X126" s="42"/>
      <c r="Y126" s="42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6"/>
    </row>
    <row r="127" spans="1:43">
      <c r="A127" s="5"/>
      <c r="D127" s="61" t="s">
        <v>263</v>
      </c>
      <c r="G127" s="6"/>
      <c r="H127" s="6"/>
      <c r="I127" s="6"/>
      <c r="J127" s="6"/>
      <c r="K127" s="6"/>
      <c r="L127" s="6"/>
      <c r="M127" s="6"/>
      <c r="N127" s="42">
        <v>-0.04</v>
      </c>
      <c r="O127" s="42">
        <v>-0.04</v>
      </c>
      <c r="P127" s="42">
        <v>-0.04</v>
      </c>
      <c r="Q127" s="42">
        <v>-0.04</v>
      </c>
      <c r="R127" s="42">
        <v>-0.03</v>
      </c>
      <c r="S127" s="42">
        <v>-0.04</v>
      </c>
      <c r="T127" s="42">
        <v>-0.05</v>
      </c>
      <c r="U127" s="42">
        <v>-0.05</v>
      </c>
      <c r="V127" s="42">
        <v>-0.05</v>
      </c>
      <c r="W127" s="42">
        <v>-0.05</v>
      </c>
      <c r="X127" s="42"/>
      <c r="Y127" s="42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6"/>
    </row>
    <row r="128" spans="1:43">
      <c r="A128" s="5"/>
      <c r="D128" s="149" t="s">
        <v>264</v>
      </c>
      <c r="E128" s="8"/>
      <c r="F128" s="8"/>
      <c r="G128" s="155"/>
      <c r="H128" s="155"/>
      <c r="I128" s="155"/>
      <c r="J128" s="155"/>
      <c r="K128" s="155"/>
      <c r="L128" s="155"/>
      <c r="M128" s="155"/>
      <c r="N128" s="165">
        <f>+SUM(N124:N127)</f>
        <v>0.12</v>
      </c>
      <c r="O128" s="165">
        <f t="shared" ref="O128:W128" si="136">+SUM(O124:O127)</f>
        <v>0.10999999999999999</v>
      </c>
      <c r="P128" s="165">
        <f t="shared" si="136"/>
        <v>4.9999999999999996E-2</v>
      </c>
      <c r="Q128" s="165">
        <f t="shared" si="136"/>
        <v>7.0000000000000007E-2</v>
      </c>
      <c r="R128" s="165">
        <f t="shared" si="136"/>
        <v>0.08</v>
      </c>
      <c r="S128" s="165">
        <f t="shared" si="136"/>
        <v>7.0000000000000007E-2</v>
      </c>
      <c r="T128" s="165">
        <f t="shared" si="136"/>
        <v>9.0000000000000011E-2</v>
      </c>
      <c r="U128" s="165">
        <f t="shared" si="136"/>
        <v>0.08</v>
      </c>
      <c r="V128" s="165">
        <f t="shared" si="136"/>
        <v>0.06</v>
      </c>
      <c r="W128" s="165">
        <f t="shared" si="136"/>
        <v>0.05</v>
      </c>
      <c r="X128" s="165"/>
      <c r="Y128" s="16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6"/>
    </row>
    <row r="129" spans="1:43">
      <c r="A129" s="5"/>
      <c r="D129" s="158"/>
      <c r="G129" s="6"/>
      <c r="H129" s="6"/>
      <c r="I129" s="6"/>
      <c r="J129" s="6"/>
      <c r="K129" s="6"/>
      <c r="L129" s="6"/>
      <c r="M129" s="6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62"/>
      <c r="Y129" s="62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6"/>
    </row>
    <row r="130" spans="1:43">
      <c r="A130" s="5"/>
      <c r="D130" s="58" t="s">
        <v>305</v>
      </c>
      <c r="G130" s="6"/>
      <c r="H130" s="6"/>
      <c r="I130" s="6"/>
      <c r="J130" s="6"/>
      <c r="K130" s="6"/>
      <c r="L130" s="6"/>
      <c r="M130" s="6"/>
      <c r="N130" s="67">
        <v>40.604999999999997</v>
      </c>
      <c r="O130" s="67">
        <v>53.453000000000003</v>
      </c>
      <c r="P130" s="67">
        <v>71.44</v>
      </c>
      <c r="Q130" s="67">
        <v>128.083</v>
      </c>
      <c r="R130" s="67">
        <v>131.95099999999999</v>
      </c>
      <c r="S130" s="67">
        <v>172.17099999999999</v>
      </c>
      <c r="T130" s="67">
        <v>183.10499999999999</v>
      </c>
      <c r="U130" s="67">
        <v>199.77</v>
      </c>
      <c r="V130" s="67">
        <v>224.22300000000001</v>
      </c>
      <c r="W130" s="67">
        <v>252.50800000000001</v>
      </c>
      <c r="X130" s="136">
        <v>308.65899999999999</v>
      </c>
      <c r="Y130" s="136">
        <v>440</v>
      </c>
      <c r="Z130" s="67">
        <v>481</v>
      </c>
      <c r="AA130" s="67">
        <v>493</v>
      </c>
      <c r="AB130" s="67">
        <v>578</v>
      </c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6"/>
    </row>
    <row r="131" spans="1:43">
      <c r="A131" s="5"/>
      <c r="D131" s="58" t="s">
        <v>307</v>
      </c>
      <c r="G131" s="6"/>
      <c r="H131" s="6"/>
      <c r="I131" s="6"/>
      <c r="J131" s="6"/>
      <c r="K131" s="6"/>
      <c r="L131" s="6"/>
      <c r="M131" s="6"/>
      <c r="N131" s="67">
        <v>167.393</v>
      </c>
      <c r="O131" s="67">
        <v>233.92099999999999</v>
      </c>
      <c r="P131" s="67">
        <v>301.25299999999999</v>
      </c>
      <c r="Q131" s="67">
        <v>351.52</v>
      </c>
      <c r="R131" s="67">
        <v>467.202</v>
      </c>
      <c r="S131" s="67">
        <v>517.78700000000003</v>
      </c>
      <c r="T131" s="67">
        <v>740.19899999999996</v>
      </c>
      <c r="U131" s="67">
        <v>872.43899999999996</v>
      </c>
      <c r="V131" s="67">
        <v>990.24099999999999</v>
      </c>
      <c r="W131" s="67">
        <v>1114.8209999999999</v>
      </c>
      <c r="X131" s="136">
        <v>1231.3869999999999</v>
      </c>
      <c r="Y131" s="136">
        <v>1369</v>
      </c>
      <c r="Z131" s="67">
        <v>1532</v>
      </c>
      <c r="AA131" s="67">
        <v>1730</v>
      </c>
      <c r="AB131" s="67">
        <v>2037</v>
      </c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6"/>
    </row>
    <row r="132" spans="1:43">
      <c r="A132" s="5"/>
      <c r="D132" s="58" t="s">
        <v>306</v>
      </c>
      <c r="G132" s="6"/>
      <c r="H132" s="6"/>
      <c r="I132" s="6"/>
      <c r="J132" s="6"/>
      <c r="K132" s="6"/>
      <c r="L132" s="6"/>
      <c r="M132" s="6"/>
      <c r="N132" s="67">
        <v>28.190999999999999</v>
      </c>
      <c r="O132" s="67">
        <v>35.646000000000001</v>
      </c>
      <c r="P132" s="67">
        <v>45.29</v>
      </c>
      <c r="Q132" s="67">
        <v>126.764</v>
      </c>
      <c r="R132" s="67">
        <v>165.251</v>
      </c>
      <c r="S132" s="67">
        <v>172.08099999999999</v>
      </c>
      <c r="T132" s="67">
        <v>246.80699999999999</v>
      </c>
      <c r="U132" s="67">
        <v>524.10299999999995</v>
      </c>
      <c r="V132" s="67">
        <v>530.60799999999995</v>
      </c>
      <c r="W132" s="67">
        <v>643.14700000000005</v>
      </c>
      <c r="X132" s="136">
        <v>778.72400000000005</v>
      </c>
      <c r="Y132" s="136">
        <v>1032</v>
      </c>
      <c r="Z132" s="67">
        <v>1185</v>
      </c>
      <c r="AA132" s="67">
        <v>1363</v>
      </c>
      <c r="AB132" s="67">
        <v>1945</v>
      </c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6"/>
    </row>
    <row r="133" spans="1:43">
      <c r="A133" s="5"/>
      <c r="D133" s="58" t="s">
        <v>121</v>
      </c>
      <c r="G133" s="6"/>
      <c r="H133" s="6"/>
      <c r="I133" s="6"/>
      <c r="J133" s="6"/>
      <c r="K133" s="6"/>
      <c r="L133" s="6"/>
      <c r="M133" s="6"/>
      <c r="N133" s="67">
        <v>6.8339999999999996</v>
      </c>
      <c r="O133" s="67">
        <v>7.5119999999999996</v>
      </c>
      <c r="P133" s="67">
        <v>19.957000000000001</v>
      </c>
      <c r="Q133" s="67">
        <v>27.597999999999999</v>
      </c>
      <c r="R133" s="67">
        <v>8.9369999999999994</v>
      </c>
      <c r="S133" s="67">
        <v>29.187000000000001</v>
      </c>
      <c r="T133" s="67">
        <v>40.664999999999999</v>
      </c>
      <c r="U133" s="67">
        <v>73.031999999999996</v>
      </c>
      <c r="V133" s="67">
        <v>93.236999999999995</v>
      </c>
      <c r="W133" s="67">
        <v>114.61</v>
      </c>
      <c r="X133" s="136">
        <v>160.65100000000001</v>
      </c>
      <c r="Y133" s="136">
        <v>220</v>
      </c>
      <c r="Z133" s="67">
        <v>292</v>
      </c>
      <c r="AA133" s="67">
        <v>383</v>
      </c>
      <c r="AB133" s="67">
        <v>546</v>
      </c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6"/>
    </row>
    <row r="134" spans="1:43">
      <c r="A134" s="5"/>
      <c r="D134" s="149" t="s">
        <v>308</v>
      </c>
      <c r="E134" s="8"/>
      <c r="F134" s="8"/>
      <c r="G134" s="155"/>
      <c r="H134" s="155"/>
      <c r="I134" s="155"/>
      <c r="J134" s="155"/>
      <c r="K134" s="155"/>
      <c r="L134" s="155"/>
      <c r="M134" s="155"/>
      <c r="N134" s="155">
        <f t="shared" ref="N134:Y134" si="137">SUM(N130:N133)</f>
        <v>243.023</v>
      </c>
      <c r="O134" s="155">
        <f t="shared" si="137"/>
        <v>330.53200000000004</v>
      </c>
      <c r="P134" s="155">
        <f t="shared" si="137"/>
        <v>437.94</v>
      </c>
      <c r="Q134" s="155">
        <f t="shared" si="137"/>
        <v>633.96499999999992</v>
      </c>
      <c r="R134" s="155">
        <f t="shared" si="137"/>
        <v>773.34100000000001</v>
      </c>
      <c r="S134" s="155">
        <f t="shared" si="137"/>
        <v>891.22600000000011</v>
      </c>
      <c r="T134" s="155">
        <f t="shared" si="137"/>
        <v>1210.7759999999998</v>
      </c>
      <c r="U134" s="155">
        <f t="shared" si="137"/>
        <v>1669.3439999999998</v>
      </c>
      <c r="V134" s="155">
        <f t="shared" si="137"/>
        <v>1838.309</v>
      </c>
      <c r="W134" s="155">
        <f t="shared" si="137"/>
        <v>2125.0860000000002</v>
      </c>
      <c r="X134" s="155">
        <f t="shared" si="137"/>
        <v>2479.4209999999998</v>
      </c>
      <c r="Y134" s="155">
        <f t="shared" si="137"/>
        <v>3061</v>
      </c>
      <c r="Z134" s="155">
        <f>SUM(Z130:Z133)</f>
        <v>3490</v>
      </c>
      <c r="AA134" s="155">
        <f>SUM(AA130:AA133)</f>
        <v>3969</v>
      </c>
      <c r="AB134" s="155">
        <f>SUM(AB130:AB133)</f>
        <v>5106</v>
      </c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6"/>
      <c r="AP134" s="64"/>
      <c r="AQ134" s="64"/>
    </row>
    <row r="135" spans="1:43">
      <c r="A135" s="5"/>
      <c r="D135" s="158" t="s">
        <v>111</v>
      </c>
      <c r="G135" s="6"/>
      <c r="H135" s="6"/>
      <c r="I135" s="6"/>
      <c r="J135" s="6"/>
      <c r="K135" s="6"/>
      <c r="L135" s="6"/>
      <c r="M135" s="6"/>
      <c r="N135" s="69" t="b">
        <f t="shared" ref="N135:AA135" si="138">ABS(N134-N7)&lt;1</f>
        <v>1</v>
      </c>
      <c r="O135" s="69" t="b">
        <f t="shared" si="138"/>
        <v>1</v>
      </c>
      <c r="P135" s="69" t="b">
        <f t="shared" si="138"/>
        <v>1</v>
      </c>
      <c r="Q135" s="69" t="b">
        <f t="shared" si="138"/>
        <v>1</v>
      </c>
      <c r="R135" s="69" t="b">
        <f t="shared" si="138"/>
        <v>1</v>
      </c>
      <c r="S135" s="69" t="b">
        <f t="shared" si="138"/>
        <v>1</v>
      </c>
      <c r="T135" s="69" t="b">
        <f t="shared" si="138"/>
        <v>1</v>
      </c>
      <c r="U135" s="69" t="b">
        <f t="shared" si="138"/>
        <v>1</v>
      </c>
      <c r="V135" s="69" t="b">
        <f t="shared" si="138"/>
        <v>1</v>
      </c>
      <c r="W135" s="69" t="b">
        <f t="shared" si="138"/>
        <v>1</v>
      </c>
      <c r="X135" s="69" t="b">
        <f t="shared" si="138"/>
        <v>1</v>
      </c>
      <c r="Y135" s="69" t="b">
        <f t="shared" si="138"/>
        <v>1</v>
      </c>
      <c r="Z135" s="69" t="b">
        <f t="shared" si="138"/>
        <v>1</v>
      </c>
      <c r="AA135" s="69" t="b">
        <f t="shared" si="138"/>
        <v>1</v>
      </c>
      <c r="AB135" s="69" t="b">
        <f>ABS(AB134-AB7)&lt;1.5</f>
        <v>1</v>
      </c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6"/>
    </row>
    <row r="136" spans="1:43"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6"/>
    </row>
    <row r="137" spans="1:43">
      <c r="D137" s="145" t="s">
        <v>443</v>
      </c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3"/>
      <c r="S137" s="143"/>
      <c r="T137" s="143"/>
      <c r="U137" s="143"/>
      <c r="V137" s="143"/>
      <c r="W137" s="143"/>
      <c r="X137" s="143"/>
      <c r="Y137" s="143"/>
      <c r="Z137" s="146"/>
      <c r="AA137" s="146"/>
      <c r="AB137" s="146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</row>
    <row r="138" spans="1:43">
      <c r="G138" s="6"/>
      <c r="H138" s="6"/>
      <c r="I138" s="6"/>
      <c r="J138" s="6"/>
      <c r="K138" s="6"/>
      <c r="L138" s="6"/>
      <c r="M138" s="6"/>
      <c r="N138" s="6"/>
      <c r="O138" s="6"/>
      <c r="P138" s="84"/>
      <c r="Q138" s="6"/>
      <c r="R138" s="6"/>
      <c r="S138" s="6"/>
      <c r="T138" s="56"/>
      <c r="U138" s="56"/>
      <c r="V138" s="56"/>
      <c r="W138" s="62"/>
      <c r="X138" s="62"/>
      <c r="Y138" s="62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6"/>
    </row>
    <row r="139" spans="1:43">
      <c r="D139" t="s">
        <v>313</v>
      </c>
      <c r="G139" s="6"/>
      <c r="Q139" s="6"/>
      <c r="R139" s="6"/>
      <c r="S139" s="6"/>
      <c r="T139" s="56"/>
      <c r="U139" s="56"/>
      <c r="V139" s="56"/>
      <c r="W139" s="62"/>
      <c r="X139" s="62"/>
      <c r="Y139" s="62"/>
      <c r="Z139" s="57"/>
      <c r="AA139" s="57"/>
      <c r="AB139" s="57"/>
      <c r="AC139" s="63">
        <f ca="1">+AC203</f>
        <v>1296.1705527496429</v>
      </c>
      <c r="AD139" s="63">
        <f t="shared" ref="AD139:AM139" ca="1" si="139">+AD203</f>
        <v>1688.1158854591883</v>
      </c>
      <c r="AE139" s="63">
        <f t="shared" ca="1" si="139"/>
        <v>2075.0055691093139</v>
      </c>
      <c r="AF139" s="63">
        <f t="shared" ca="1" si="139"/>
        <v>2523.0756951126632</v>
      </c>
      <c r="AG139" s="63">
        <f t="shared" ca="1" si="139"/>
        <v>2997.9169481528411</v>
      </c>
      <c r="AH139" s="63">
        <f t="shared" ca="1" si="139"/>
        <v>3526.1836445842519</v>
      </c>
      <c r="AI139" s="63">
        <f t="shared" ca="1" si="139"/>
        <v>4118.3400811389793</v>
      </c>
      <c r="AJ139" s="63">
        <f t="shared" ca="1" si="139"/>
        <v>4764.6947396757096</v>
      </c>
      <c r="AK139" s="63">
        <f t="shared" ca="1" si="139"/>
        <v>5452.5560972264802</v>
      </c>
      <c r="AL139" s="63">
        <f t="shared" ca="1" si="139"/>
        <v>6181.8817576842721</v>
      </c>
      <c r="AM139" s="63">
        <f t="shared" ca="1" si="139"/>
        <v>6939.8442954085003</v>
      </c>
      <c r="AN139" s="63">
        <f t="shared" ref="AN139" ca="1" si="140">+AN203</f>
        <v>7734.6565599223759</v>
      </c>
      <c r="AO139" s="6"/>
    </row>
    <row r="140" spans="1:43">
      <c r="D140" t="s">
        <v>456</v>
      </c>
      <c r="G140" s="6"/>
      <c r="H140" s="43" t="s">
        <v>458</v>
      </c>
      <c r="I140" s="44"/>
      <c r="J140" s="44"/>
      <c r="K140" s="44"/>
      <c r="L140" s="44"/>
      <c r="M140" s="44"/>
      <c r="N140" s="44"/>
      <c r="O140" s="44"/>
      <c r="P140" s="44"/>
      <c r="Q140" s="219"/>
      <c r="R140" s="6"/>
      <c r="S140" s="6"/>
      <c r="T140" s="56"/>
      <c r="U140" s="56"/>
      <c r="V140" s="56"/>
      <c r="W140" s="62"/>
      <c r="X140" s="62"/>
      <c r="Y140" s="62"/>
      <c r="Z140" s="57"/>
      <c r="AA140" s="57"/>
      <c r="AB140" s="57"/>
      <c r="AC140" s="63">
        <f>+AC206+AC207+AC219</f>
        <v>-1825.1553323529415</v>
      </c>
      <c r="AD140" s="63">
        <f t="shared" ref="AD140:AK140" si="141">+AD206+AD207+AD219</f>
        <v>-1833.1520820000007</v>
      </c>
      <c r="AE140" s="63">
        <f t="shared" si="141"/>
        <v>-2009.7817383120012</v>
      </c>
      <c r="AF140" s="63">
        <f t="shared" si="141"/>
        <v>-2186.3668715261329</v>
      </c>
      <c r="AG140" s="63">
        <f t="shared" si="141"/>
        <v>-2328.2161915504184</v>
      </c>
      <c r="AH140" s="63">
        <f t="shared" si="141"/>
        <v>-2575.7488676825674</v>
      </c>
      <c r="AI140" s="63">
        <f t="shared" si="141"/>
        <v>-2792.7056577591466</v>
      </c>
      <c r="AJ140" s="63">
        <f t="shared" si="141"/>
        <v>-2866.761959559788</v>
      </c>
      <c r="AK140" s="63">
        <f t="shared" si="141"/>
        <v>-2993.6549989029054</v>
      </c>
      <c r="AL140" s="63">
        <f>+AL206+AL207+AL219</f>
        <v>-3069.3191694952402</v>
      </c>
      <c r="AM140" s="63">
        <f t="shared" ref="AM140" si="142">+AM206+AM207+AM219</f>
        <v>-3088.5186847046903</v>
      </c>
      <c r="AN140" s="63">
        <f t="shared" ref="AN140" si="143">+AN206+AN207+AN219</f>
        <v>-3208.3296761956485</v>
      </c>
      <c r="AO140" s="6"/>
    </row>
    <row r="141" spans="1:43">
      <c r="D141" s="2" t="s">
        <v>455</v>
      </c>
      <c r="E141" s="2"/>
      <c r="F141" s="2"/>
      <c r="G141" s="7"/>
      <c r="H141" s="218"/>
      <c r="I141" s="218"/>
      <c r="J141" s="252" t="s">
        <v>312</v>
      </c>
      <c r="K141" s="252"/>
      <c r="L141" s="252"/>
      <c r="M141" s="252"/>
      <c r="N141" s="252"/>
      <c r="O141" s="252"/>
      <c r="P141" s="252"/>
      <c r="Q141" s="252"/>
      <c r="R141" s="7"/>
      <c r="S141" s="7"/>
      <c r="T141" s="171"/>
      <c r="U141" s="171"/>
      <c r="V141" s="171"/>
      <c r="W141" s="157"/>
      <c r="X141" s="157"/>
      <c r="Y141" s="157"/>
      <c r="Z141" s="216"/>
      <c r="AA141" s="216"/>
      <c r="AB141" s="216"/>
      <c r="AC141" s="135">
        <f ca="1">SUM(AC139:AC140)</f>
        <v>-528.98477960329865</v>
      </c>
      <c r="AD141" s="135">
        <f t="shared" ref="AD141:AM141" ca="1" si="144">SUM(AD139:AD140)</f>
        <v>-145.0361965408124</v>
      </c>
      <c r="AE141" s="135">
        <f t="shared" ca="1" si="144"/>
        <v>65.223830797312758</v>
      </c>
      <c r="AF141" s="135">
        <f t="shared" ca="1" si="144"/>
        <v>336.70882358653034</v>
      </c>
      <c r="AG141" s="135">
        <f t="shared" ca="1" si="144"/>
        <v>669.70075660242264</v>
      </c>
      <c r="AH141" s="135">
        <f t="shared" ca="1" si="144"/>
        <v>950.43477690168447</v>
      </c>
      <c r="AI141" s="135">
        <f t="shared" ca="1" si="144"/>
        <v>1325.6344233798327</v>
      </c>
      <c r="AJ141" s="135">
        <f t="shared" ca="1" si="144"/>
        <v>1897.9327801159216</v>
      </c>
      <c r="AK141" s="135">
        <f t="shared" ca="1" si="144"/>
        <v>2458.9010983235748</v>
      </c>
      <c r="AL141" s="135">
        <f t="shared" ca="1" si="144"/>
        <v>3112.5625881890319</v>
      </c>
      <c r="AM141" s="135">
        <f t="shared" ca="1" si="144"/>
        <v>3851.3256107038101</v>
      </c>
      <c r="AN141" s="135">
        <f t="shared" ref="AN141" ca="1" si="145">SUM(AN139:AN140)</f>
        <v>4526.3268837267278</v>
      </c>
      <c r="AO141" s="6"/>
    </row>
    <row r="142" spans="1:43">
      <c r="G142" s="6"/>
      <c r="H142" s="218"/>
      <c r="I142" s="220">
        <f ca="1">+$D$1-1737</f>
        <v>65.70262606477695</v>
      </c>
      <c r="J142" s="223">
        <v>0.06</v>
      </c>
      <c r="K142" s="223">
        <f>+J142+0.02</f>
        <v>0.08</v>
      </c>
      <c r="L142" s="223">
        <f t="shared" ref="L142:Q142" si="146">+K142+0.02</f>
        <v>0.1</v>
      </c>
      <c r="M142" s="223">
        <f t="shared" si="146"/>
        <v>0.12000000000000001</v>
      </c>
      <c r="N142" s="223">
        <f t="shared" si="146"/>
        <v>0.14000000000000001</v>
      </c>
      <c r="O142" s="223">
        <f t="shared" si="146"/>
        <v>0.16</v>
      </c>
      <c r="P142" s="223">
        <f t="shared" si="146"/>
        <v>0.18</v>
      </c>
      <c r="Q142" s="223">
        <f t="shared" si="146"/>
        <v>0.19999999999999998</v>
      </c>
      <c r="R142" s="6"/>
      <c r="S142" s="6"/>
      <c r="T142" s="56"/>
      <c r="U142" s="56"/>
      <c r="V142" s="56"/>
      <c r="W142" s="62"/>
      <c r="X142" s="62"/>
      <c r="Y142" s="62"/>
      <c r="Z142" s="57"/>
      <c r="AA142" s="57"/>
      <c r="AB142" s="57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"/>
    </row>
    <row r="143" spans="1:43">
      <c r="D143" t="s">
        <v>450</v>
      </c>
      <c r="G143" s="6"/>
      <c r="H143" s="251" t="s">
        <v>454</v>
      </c>
      <c r="I143" s="223">
        <v>0</v>
      </c>
      <c r="J143" s="224">
        <f t="dataTable" ref="J143:Q153" dt2D="1" dtr="1" r1="F147" r2="F144" ca="1"/>
        <v>1.7677813279988186E-2</v>
      </c>
      <c r="K143" s="225">
        <v>1.7677731979119926E-2</v>
      </c>
      <c r="L143" s="225">
        <v>1.7677736085261131E-2</v>
      </c>
      <c r="M143" s="225">
        <v>1.7677735878805834E-2</v>
      </c>
      <c r="N143" s="225">
        <v>1.7677735889265023E-2</v>
      </c>
      <c r="O143" s="225">
        <v>1.7677735889265023E-2</v>
      </c>
      <c r="P143" s="225">
        <v>1.7677735889265023E-2</v>
      </c>
      <c r="Q143" s="225">
        <v>1.7677735889265023E-2</v>
      </c>
      <c r="R143" s="6"/>
      <c r="S143" s="6"/>
      <c r="T143" s="56"/>
      <c r="U143" s="56"/>
      <c r="V143" s="56"/>
      <c r="W143" s="62"/>
      <c r="X143" s="62"/>
      <c r="Y143" s="62"/>
      <c r="Z143" s="57"/>
      <c r="AA143" s="57"/>
      <c r="AB143" s="57"/>
      <c r="AC143" s="42">
        <v>0</v>
      </c>
      <c r="AD143" s="42">
        <v>0</v>
      </c>
      <c r="AE143" s="42">
        <v>0.15</v>
      </c>
      <c r="AF143" s="42">
        <v>0.6</v>
      </c>
      <c r="AG143" s="42">
        <v>0.9</v>
      </c>
      <c r="AH143" s="42">
        <v>0.9</v>
      </c>
      <c r="AI143" s="42">
        <v>0.85</v>
      </c>
      <c r="AJ143" s="42">
        <v>0.8</v>
      </c>
      <c r="AK143" s="42">
        <v>0.75</v>
      </c>
      <c r="AL143" s="42">
        <v>0.7</v>
      </c>
      <c r="AM143" s="42">
        <v>0.65</v>
      </c>
      <c r="AN143" s="42">
        <v>0.6</v>
      </c>
      <c r="AO143" s="6"/>
    </row>
    <row r="144" spans="1:43">
      <c r="D144" t="s">
        <v>454</v>
      </c>
      <c r="F144" s="65">
        <v>0.75</v>
      </c>
      <c r="G144" s="6"/>
      <c r="H144" s="251"/>
      <c r="I144" s="223">
        <f>+I143+0.1</f>
        <v>0.1</v>
      </c>
      <c r="J144" s="225">
        <v>-8.4932241663118475</v>
      </c>
      <c r="K144" s="225">
        <v>-3.5398412358247242</v>
      </c>
      <c r="L144" s="225">
        <v>1.4621814190384157</v>
      </c>
      <c r="M144" s="225">
        <v>6.5134665339237472</v>
      </c>
      <c r="N144" s="225">
        <v>11.614640862902434</v>
      </c>
      <c r="O144" s="225">
        <v>16.766344715155128</v>
      </c>
      <c r="P144" s="225">
        <v>21.969226905565847</v>
      </c>
      <c r="Q144" s="225">
        <v>27.223946071884939</v>
      </c>
      <c r="R144" s="6"/>
      <c r="S144" s="6"/>
      <c r="T144" s="56"/>
      <c r="U144" s="56"/>
      <c r="V144" s="56"/>
      <c r="W144" s="62"/>
      <c r="X144" s="62"/>
      <c r="Y144" s="62"/>
      <c r="Z144" s="57"/>
      <c r="AA144" s="57"/>
      <c r="AB144" s="57"/>
      <c r="AC144" s="150">
        <f>+$F$144</f>
        <v>0.75</v>
      </c>
      <c r="AD144" s="150">
        <f t="shared" ref="AD144:AM144" si="147">+$F$144</f>
        <v>0.75</v>
      </c>
      <c r="AE144" s="150">
        <f t="shared" si="147"/>
        <v>0.75</v>
      </c>
      <c r="AF144" s="150">
        <f t="shared" si="147"/>
        <v>0.75</v>
      </c>
      <c r="AG144" s="150">
        <f t="shared" si="147"/>
        <v>0.75</v>
      </c>
      <c r="AH144" s="150">
        <f>+$F$144</f>
        <v>0.75</v>
      </c>
      <c r="AI144" s="150">
        <f t="shared" si="147"/>
        <v>0.75</v>
      </c>
      <c r="AJ144" s="150">
        <f t="shared" si="147"/>
        <v>0.75</v>
      </c>
      <c r="AK144" s="150">
        <f t="shared" si="147"/>
        <v>0.75</v>
      </c>
      <c r="AL144" s="150">
        <f t="shared" si="147"/>
        <v>0.75</v>
      </c>
      <c r="AM144" s="150">
        <f t="shared" si="147"/>
        <v>0.75</v>
      </c>
      <c r="AN144" s="150">
        <f t="shared" ref="AN144" si="148">+$F$144</f>
        <v>0.75</v>
      </c>
      <c r="AO144" s="6"/>
    </row>
    <row r="145" spans="1:45">
      <c r="D145" s="2" t="s">
        <v>457</v>
      </c>
      <c r="E145" s="2"/>
      <c r="F145" s="2"/>
      <c r="G145" s="7"/>
      <c r="H145" s="251"/>
      <c r="I145" s="223">
        <f t="shared" ref="I145:I153" si="149">+I144+0.1</f>
        <v>0.2</v>
      </c>
      <c r="J145" s="225">
        <v>-17.159499079433544</v>
      </c>
      <c r="K145" s="225">
        <v>-7.1089810310320445</v>
      </c>
      <c r="L145" s="225">
        <v>3.1428986138159871</v>
      </c>
      <c r="M145" s="225">
        <v>13.6013804743111</v>
      </c>
      <c r="N145" s="225">
        <v>24.271855472622292</v>
      </c>
      <c r="O145" s="225">
        <v>35.159889307493586</v>
      </c>
      <c r="P145" s="225">
        <v>46.271204543878412</v>
      </c>
      <c r="Q145" s="225">
        <v>57.611713983834534</v>
      </c>
      <c r="R145" s="7"/>
      <c r="S145" s="7"/>
      <c r="T145" s="171"/>
      <c r="U145" s="171"/>
      <c r="V145" s="171"/>
      <c r="W145" s="157"/>
      <c r="X145" s="157"/>
      <c r="Y145" s="157"/>
      <c r="Z145" s="217"/>
      <c r="AA145" s="216"/>
      <c r="AB145" s="216"/>
      <c r="AC145" s="135">
        <f ca="1">+AC141*AC143*AC144</f>
        <v>0</v>
      </c>
      <c r="AD145" s="135">
        <f t="shared" ref="AD145:AM145" ca="1" si="150">+AD141*AD143*AD144</f>
        <v>0</v>
      </c>
      <c r="AE145" s="135">
        <f t="shared" ca="1" si="150"/>
        <v>7.3376809646976859</v>
      </c>
      <c r="AF145" s="135">
        <f t="shared" ca="1" si="150"/>
        <v>151.51897061393865</v>
      </c>
      <c r="AG145" s="135">
        <f t="shared" ca="1" si="150"/>
        <v>452.0480107066353</v>
      </c>
      <c r="AH145" s="135">
        <f t="shared" ca="1" si="150"/>
        <v>641.54347440863705</v>
      </c>
      <c r="AI145" s="135">
        <f t="shared" ca="1" si="150"/>
        <v>845.09194490464324</v>
      </c>
      <c r="AJ145" s="135">
        <f t="shared" ca="1" si="150"/>
        <v>1138.7596680695531</v>
      </c>
      <c r="AK145" s="135">
        <f t="shared" ca="1" si="150"/>
        <v>1383.1318678070108</v>
      </c>
      <c r="AL145" s="135">
        <f t="shared" ca="1" si="150"/>
        <v>1634.0953587992415</v>
      </c>
      <c r="AM145" s="135">
        <f t="shared" ca="1" si="150"/>
        <v>1877.5212352181074</v>
      </c>
      <c r="AN145" s="135">
        <f t="shared" ref="AN145" ca="1" si="151">+AN141*AN143*AN144</f>
        <v>2036.8470976770277</v>
      </c>
      <c r="AO145" s="6"/>
    </row>
    <row r="146" spans="1:45">
      <c r="G146" s="6"/>
      <c r="H146" s="251"/>
      <c r="I146" s="223">
        <f t="shared" si="149"/>
        <v>0.30000000000000004</v>
      </c>
      <c r="J146" s="225">
        <v>-25.986295661069107</v>
      </c>
      <c r="K146" s="225">
        <v>-10.688813776657753</v>
      </c>
      <c r="L146" s="225">
        <v>5.0778038097867011</v>
      </c>
      <c r="M146" s="225">
        <v>21.332183844887368</v>
      </c>
      <c r="N146" s="225">
        <v>38.093831188705053</v>
      </c>
      <c r="O146" s="225">
        <v>55.383184943239485</v>
      </c>
      <c r="P146" s="225">
        <v>73.221649045441154</v>
      </c>
      <c r="Q146" s="225">
        <v>91.63163393259515</v>
      </c>
      <c r="R146" s="6"/>
      <c r="S146" s="6"/>
      <c r="T146" s="56"/>
      <c r="U146" s="56"/>
      <c r="V146" s="56"/>
      <c r="W146" s="62"/>
      <c r="X146" s="62"/>
      <c r="Y146" s="62"/>
      <c r="Z146" s="42"/>
      <c r="AA146" s="57"/>
      <c r="AB146" s="57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"/>
    </row>
    <row r="147" spans="1:45">
      <c r="D147" t="s">
        <v>312</v>
      </c>
      <c r="F147" s="42">
        <v>0.12</v>
      </c>
      <c r="G147" s="6"/>
      <c r="H147" s="251"/>
      <c r="I147" s="223">
        <f t="shared" si="149"/>
        <v>0.4</v>
      </c>
      <c r="J147" s="225">
        <v>-34.979008211497558</v>
      </c>
      <c r="K147" s="225">
        <v>-14.27831064234465</v>
      </c>
      <c r="L147" s="225">
        <v>7.2863078789321207</v>
      </c>
      <c r="M147" s="225">
        <v>29.761499992873041</v>
      </c>
      <c r="N147" s="225">
        <v>53.196890768227377</v>
      </c>
      <c r="O147" s="225">
        <v>77.6452630921533</v>
      </c>
      <c r="P147" s="225">
        <v>103.16285535069824</v>
      </c>
      <c r="Q147" s="225">
        <v>129.80957481162682</v>
      </c>
      <c r="R147" s="6"/>
      <c r="S147" s="6"/>
      <c r="T147" s="56"/>
      <c r="U147" s="56"/>
      <c r="V147" s="67"/>
      <c r="W147" s="62"/>
      <c r="X147" s="62"/>
      <c r="Y147" s="62"/>
      <c r="Z147" s="57"/>
      <c r="AA147" s="215"/>
      <c r="AB147" s="215"/>
      <c r="AC147" s="150">
        <f>+$F$147</f>
        <v>0.12</v>
      </c>
      <c r="AD147" s="150">
        <f t="shared" ref="AD147:AM147" si="152">+$F$147</f>
        <v>0.12</v>
      </c>
      <c r="AE147" s="150">
        <f t="shared" si="152"/>
        <v>0.12</v>
      </c>
      <c r="AF147" s="150">
        <f t="shared" si="152"/>
        <v>0.12</v>
      </c>
      <c r="AG147" s="150">
        <f t="shared" si="152"/>
        <v>0.12</v>
      </c>
      <c r="AH147" s="150">
        <f t="shared" si="152"/>
        <v>0.12</v>
      </c>
      <c r="AI147" s="150">
        <f t="shared" si="152"/>
        <v>0.12</v>
      </c>
      <c r="AJ147" s="150">
        <f t="shared" si="152"/>
        <v>0.12</v>
      </c>
      <c r="AK147" s="150">
        <f t="shared" si="152"/>
        <v>0.12</v>
      </c>
      <c r="AL147" s="150">
        <f t="shared" si="152"/>
        <v>0.12</v>
      </c>
      <c r="AM147" s="150">
        <f t="shared" si="152"/>
        <v>0.12</v>
      </c>
      <c r="AN147" s="150">
        <f t="shared" ref="AN147" si="153">+$F$147</f>
        <v>0.12</v>
      </c>
      <c r="AO147" s="6"/>
    </row>
    <row r="148" spans="1:45">
      <c r="D148" t="s">
        <v>453</v>
      </c>
      <c r="F148" s="150">
        <f ca="1">AVERAGE(DCF!C46:L46)</f>
        <v>8.7812354917037136E-2</v>
      </c>
      <c r="G148" s="6"/>
      <c r="H148" s="251"/>
      <c r="I148" s="223">
        <f t="shared" si="149"/>
        <v>0.5</v>
      </c>
      <c r="J148" s="225">
        <v>-44.143240396597548</v>
      </c>
      <c r="K148" s="225">
        <v>-17.876393093474007</v>
      </c>
      <c r="L148" s="225">
        <v>9.7894102764676063</v>
      </c>
      <c r="M148" s="225">
        <v>38.950410234520177</v>
      </c>
      <c r="N148" s="225">
        <v>69.710689358519403</v>
      </c>
      <c r="O148" s="225">
        <v>102.18287989102373</v>
      </c>
      <c r="P148" s="225">
        <v>136.48892685540568</v>
      </c>
      <c r="Q148" s="225">
        <v>172.76103529846864</v>
      </c>
      <c r="R148" s="6"/>
      <c r="S148" s="6"/>
      <c r="T148" s="56"/>
      <c r="U148" s="56"/>
      <c r="V148" s="56"/>
      <c r="W148" s="62"/>
      <c r="X148" s="62"/>
      <c r="Y148" s="62"/>
      <c r="Z148" s="57"/>
      <c r="AA148" s="215"/>
      <c r="AB148" s="215"/>
      <c r="AC148" s="150">
        <f ca="1">+$F$148</f>
        <v>8.7812354917037136E-2</v>
      </c>
      <c r="AD148" s="150">
        <f t="shared" ref="AD148:AM148" ca="1" si="154">+$F$148</f>
        <v>8.7812354917037136E-2</v>
      </c>
      <c r="AE148" s="150">
        <f t="shared" ca="1" si="154"/>
        <v>8.7812354917037136E-2</v>
      </c>
      <c r="AF148" s="150">
        <f t="shared" ca="1" si="154"/>
        <v>8.7812354917037136E-2</v>
      </c>
      <c r="AG148" s="150">
        <f t="shared" ca="1" si="154"/>
        <v>8.7812354917037136E-2</v>
      </c>
      <c r="AH148" s="150">
        <f t="shared" ca="1" si="154"/>
        <v>8.7812354917037136E-2</v>
      </c>
      <c r="AI148" s="150">
        <f t="shared" ca="1" si="154"/>
        <v>8.7812354917037136E-2</v>
      </c>
      <c r="AJ148" s="150">
        <f t="shared" ca="1" si="154"/>
        <v>8.7812354917037136E-2</v>
      </c>
      <c r="AK148" s="150">
        <f t="shared" ca="1" si="154"/>
        <v>8.7812354917037136E-2</v>
      </c>
      <c r="AL148" s="150">
        <f t="shared" ca="1" si="154"/>
        <v>8.7812354917037136E-2</v>
      </c>
      <c r="AM148" s="150">
        <f t="shared" ca="1" si="154"/>
        <v>8.7812354917037136E-2</v>
      </c>
      <c r="AN148" s="150">
        <f t="shared" ref="AN148" ca="1" si="155">+$F$148</f>
        <v>8.7812354917037136E-2</v>
      </c>
      <c r="AO148" s="6"/>
    </row>
    <row r="149" spans="1:45">
      <c r="D149" t="s">
        <v>444</v>
      </c>
      <c r="G149" s="6"/>
      <c r="H149" s="251"/>
      <c r="I149" s="223">
        <f t="shared" si="149"/>
        <v>0.6</v>
      </c>
      <c r="J149" s="225">
        <v>-53.484886046649308</v>
      </c>
      <c r="K149" s="225">
        <v>-21.481861382224679</v>
      </c>
      <c r="L149" s="225">
        <v>12.609800048811167</v>
      </c>
      <c r="M149" s="225">
        <v>48.96596435353149</v>
      </c>
      <c r="N149" s="225">
        <v>87.780001130778373</v>
      </c>
      <c r="O149" s="225">
        <v>129.26472689415277</v>
      </c>
      <c r="P149" s="225">
        <v>173.65472015146543</v>
      </c>
      <c r="Q149" s="225">
        <v>221.20875704105742</v>
      </c>
      <c r="R149" s="6"/>
      <c r="S149" s="6"/>
      <c r="T149" s="56"/>
      <c r="U149" s="56"/>
      <c r="V149" s="56"/>
      <c r="W149" s="62"/>
      <c r="X149" s="62"/>
      <c r="Y149" s="63"/>
      <c r="Z149" s="57"/>
      <c r="AA149" s="214"/>
      <c r="AB149" s="214"/>
      <c r="AC149" s="63">
        <f ca="1">+AC147*AC145</f>
        <v>0</v>
      </c>
      <c r="AD149" s="63">
        <f t="shared" ref="AD149:AM149" ca="1" si="156">+AD147*AD145</f>
        <v>0</v>
      </c>
      <c r="AE149" s="63">
        <f t="shared" ca="1" si="156"/>
        <v>0.88052171576372229</v>
      </c>
      <c r="AF149" s="63">
        <f t="shared" ca="1" si="156"/>
        <v>18.182276473672637</v>
      </c>
      <c r="AG149" s="63">
        <f t="shared" ca="1" si="156"/>
        <v>54.245761284796231</v>
      </c>
      <c r="AH149" s="63">
        <f t="shared" ca="1" si="156"/>
        <v>76.98521692903644</v>
      </c>
      <c r="AI149" s="63">
        <f t="shared" ca="1" si="156"/>
        <v>101.41103338855719</v>
      </c>
      <c r="AJ149" s="63">
        <f t="shared" ca="1" si="156"/>
        <v>136.65116016834637</v>
      </c>
      <c r="AK149" s="63">
        <f t="shared" ca="1" si="156"/>
        <v>165.97582413684128</v>
      </c>
      <c r="AL149" s="63">
        <f t="shared" ca="1" si="156"/>
        <v>196.09144305590897</v>
      </c>
      <c r="AM149" s="63">
        <f t="shared" ca="1" si="156"/>
        <v>225.30254822617289</v>
      </c>
      <c r="AN149" s="63">
        <f t="shared" ref="AN149" ca="1" si="157">+AN147*AN145</f>
        <v>244.42165172124331</v>
      </c>
      <c r="AO149" s="6"/>
    </row>
    <row r="150" spans="1:45">
      <c r="D150" t="s">
        <v>445</v>
      </c>
      <c r="G150" s="6"/>
      <c r="H150" s="251"/>
      <c r="I150" s="223">
        <f t="shared" si="149"/>
        <v>0.7</v>
      </c>
      <c r="J150" s="225">
        <v>-63.01007165585338</v>
      </c>
      <c r="K150" s="225">
        <v>-25.09345253305537</v>
      </c>
      <c r="L150" s="226">
        <v>15.772052610184346</v>
      </c>
      <c r="M150" s="227">
        <v>59.881932844199582</v>
      </c>
      <c r="N150" s="228">
        <v>107.56664026771841</v>
      </c>
      <c r="O150" s="225">
        <v>159.19640704135327</v>
      </c>
      <c r="P150" s="225">
        <v>215.18660568566588</v>
      </c>
      <c r="Q150" s="225">
        <v>276.0041618849225</v>
      </c>
      <c r="R150" s="6"/>
      <c r="S150" s="6"/>
      <c r="T150" s="56"/>
      <c r="U150" s="56"/>
      <c r="V150" s="56"/>
      <c r="W150" s="62"/>
      <c r="X150" s="62"/>
      <c r="Y150" s="62"/>
      <c r="Z150" s="57"/>
      <c r="AA150" s="214"/>
      <c r="AB150" s="214">
        <v>0</v>
      </c>
      <c r="AC150" s="63">
        <f ca="1">+AB150+AC149</f>
        <v>0</v>
      </c>
      <c r="AD150" s="63">
        <f t="shared" ref="AD150:AM150" ca="1" si="158">+AC150+AD149</f>
        <v>0</v>
      </c>
      <c r="AE150" s="63">
        <f t="shared" ca="1" si="158"/>
        <v>0.88052171576372229</v>
      </c>
      <c r="AF150" s="63">
        <f t="shared" ca="1" si="158"/>
        <v>19.062798189436361</v>
      </c>
      <c r="AG150" s="63">
        <f t="shared" ca="1" si="158"/>
        <v>73.308559474232595</v>
      </c>
      <c r="AH150" s="63">
        <f t="shared" ca="1" si="158"/>
        <v>150.29377640326902</v>
      </c>
      <c r="AI150" s="63">
        <f t="shared" ca="1" si="158"/>
        <v>251.70480979182622</v>
      </c>
      <c r="AJ150" s="63">
        <f t="shared" ca="1" si="158"/>
        <v>388.35596996017262</v>
      </c>
      <c r="AK150" s="63">
        <f t="shared" ca="1" si="158"/>
        <v>554.33179409701393</v>
      </c>
      <c r="AL150" s="63">
        <f t="shared" ca="1" si="158"/>
        <v>750.42323715292287</v>
      </c>
      <c r="AM150" s="63">
        <f t="shared" ca="1" si="158"/>
        <v>975.72578537909578</v>
      </c>
      <c r="AN150" s="63">
        <f t="shared" ref="AN150" ca="1" si="159">+AM150+AN149</f>
        <v>1220.1474371003392</v>
      </c>
      <c r="AO150" s="6"/>
    </row>
    <row r="151" spans="1:45">
      <c r="D151" s="2" t="s">
        <v>447</v>
      </c>
      <c r="E151" s="2"/>
      <c r="F151" s="2"/>
      <c r="G151" s="7"/>
      <c r="H151" s="251"/>
      <c r="I151" s="223">
        <f t="shared" si="149"/>
        <v>0.79999999999999993</v>
      </c>
      <c r="J151" s="225">
        <v>-72.725226822119112</v>
      </c>
      <c r="K151" s="225">
        <v>-28.70978298230807</v>
      </c>
      <c r="L151" s="229">
        <v>19.302790885819377</v>
      </c>
      <c r="M151" s="230">
        <v>71.779479574136303</v>
      </c>
      <c r="N151" s="231">
        <v>129.25184348747712</v>
      </c>
      <c r="O151" s="225">
        <v>192.32613559081142</v>
      </c>
      <c r="P151" s="225">
        <v>261.69544860399128</v>
      </c>
      <c r="Q151" s="225">
        <v>338.15380529607273</v>
      </c>
      <c r="R151" s="7"/>
      <c r="S151" s="7"/>
      <c r="T151" s="171"/>
      <c r="U151" s="171"/>
      <c r="V151" s="171"/>
      <c r="W151" s="157"/>
      <c r="X151" s="157"/>
      <c r="Y151" s="157"/>
      <c r="Z151" s="216"/>
      <c r="AA151" s="216"/>
      <c r="AB151" s="216"/>
      <c r="AC151" s="135">
        <f t="shared" ref="AC151:AN151" ca="1" si="160">(AC150/(1-SUM(AC23)))*(1+(AC20/AC18))</f>
        <v>0</v>
      </c>
      <c r="AD151" s="135">
        <f t="shared" ca="1" si="160"/>
        <v>0</v>
      </c>
      <c r="AE151" s="135">
        <f t="shared" ca="1" si="160"/>
        <v>1.0083505098957601</v>
      </c>
      <c r="AF151" s="135">
        <f t="shared" ca="1" si="160"/>
        <v>22.005897543711125</v>
      </c>
      <c r="AG151" s="135">
        <f t="shared" ca="1" si="160"/>
        <v>85.482789736898823</v>
      </c>
      <c r="AH151" s="135">
        <f t="shared" ca="1" si="160"/>
        <v>177.24059194458758</v>
      </c>
      <c r="AI151" s="135">
        <f t="shared" ca="1" si="160"/>
        <v>299.54230460796123</v>
      </c>
      <c r="AJ151" s="135">
        <f t="shared" ca="1" si="160"/>
        <v>465.84902782509511</v>
      </c>
      <c r="AK151" s="135">
        <f t="shared" ca="1" si="160"/>
        <v>670.40323042797377</v>
      </c>
      <c r="AL151" s="135">
        <f t="shared" ca="1" si="160"/>
        <v>913.21718365468359</v>
      </c>
      <c r="AM151" s="135">
        <f t="shared" ca="1" si="160"/>
        <v>1193.1253769289692</v>
      </c>
      <c r="AN151" s="135">
        <f t="shared" ca="1" si="160"/>
        <v>1498.791136329379</v>
      </c>
      <c r="AO151" s="6"/>
    </row>
    <row r="152" spans="1:45">
      <c r="D152" t="s">
        <v>451</v>
      </c>
      <c r="G152" s="6"/>
      <c r="H152" s="251"/>
      <c r="I152" s="223">
        <f t="shared" si="149"/>
        <v>0.89999999999999991</v>
      </c>
      <c r="J152" s="225">
        <v>-82.637077157288104</v>
      </c>
      <c r="K152" s="225">
        <v>-32.329359629740338</v>
      </c>
      <c r="L152" s="232">
        <v>23.230838051353885</v>
      </c>
      <c r="M152" s="233">
        <v>84.748099690723166</v>
      </c>
      <c r="N152" s="234">
        <v>153.03882070616419</v>
      </c>
      <c r="O152" s="225">
        <v>229.051676899423</v>
      </c>
      <c r="P152" s="225">
        <v>313.8920737766789</v>
      </c>
      <c r="Q152" s="225">
        <v>408.8519298359779</v>
      </c>
      <c r="R152" s="6"/>
      <c r="S152" s="6"/>
      <c r="T152" s="56"/>
      <c r="U152" s="56"/>
      <c r="V152" s="56"/>
      <c r="W152" s="62"/>
      <c r="X152" s="62"/>
      <c r="Y152" s="62"/>
      <c r="Z152" s="57"/>
      <c r="AA152" s="57"/>
      <c r="AB152" s="57"/>
      <c r="AC152" s="42">
        <v>0.5</v>
      </c>
      <c r="AD152" s="42">
        <f t="shared" ref="AD152:AM152" si="161">+AC152*0.99</f>
        <v>0.495</v>
      </c>
      <c r="AE152" s="42">
        <f t="shared" si="161"/>
        <v>0.49004999999999999</v>
      </c>
      <c r="AF152" s="42">
        <f t="shared" si="161"/>
        <v>0.48514949999999996</v>
      </c>
      <c r="AG152" s="42">
        <f t="shared" si="161"/>
        <v>0.48029800499999997</v>
      </c>
      <c r="AH152" s="42">
        <f t="shared" si="161"/>
        <v>0.47549502494999996</v>
      </c>
      <c r="AI152" s="42">
        <f t="shared" si="161"/>
        <v>0.47074007470049994</v>
      </c>
      <c r="AJ152" s="42">
        <f t="shared" si="161"/>
        <v>0.46603267395349496</v>
      </c>
      <c r="AK152" s="42">
        <f t="shared" si="161"/>
        <v>0.46137234721395998</v>
      </c>
      <c r="AL152" s="42">
        <f t="shared" si="161"/>
        <v>0.45675862374182036</v>
      </c>
      <c r="AM152" s="42">
        <f t="shared" si="161"/>
        <v>0.45219103750440215</v>
      </c>
      <c r="AN152" s="42">
        <f t="shared" ref="AN152" si="162">+AM152*0.99</f>
        <v>0.44766912712935814</v>
      </c>
      <c r="AO152" s="6"/>
    </row>
    <row r="153" spans="1:45">
      <c r="D153" t="s">
        <v>471</v>
      </c>
      <c r="G153" s="6"/>
      <c r="H153" s="251"/>
      <c r="I153" s="223">
        <f t="shared" si="149"/>
        <v>0.99999999999999989</v>
      </c>
      <c r="J153" s="225">
        <v>-92.752635855898689</v>
      </c>
      <c r="K153" s="225">
        <v>-35.950599962283832</v>
      </c>
      <c r="L153" s="225">
        <v>27.587496853109997</v>
      </c>
      <c r="M153" s="225">
        <v>98.886484818860026</v>
      </c>
      <c r="N153" s="225">
        <v>179.15593010776706</v>
      </c>
      <c r="O153" s="225">
        <v>269.82828416584766</v>
      </c>
      <c r="P153" s="225">
        <v>372.60617032520395</v>
      </c>
      <c r="Q153" s="225">
        <v>489.52092494209319</v>
      </c>
      <c r="R153" s="57"/>
      <c r="S153" s="57">
        <f t="shared" ref="S153:AB153" si="163">S42/S18</f>
        <v>8.2997520995096621E-2</v>
      </c>
      <c r="T153" s="57">
        <f t="shared" si="163"/>
        <v>7.9544267590130099E-2</v>
      </c>
      <c r="U153" s="57">
        <f t="shared" si="163"/>
        <v>9.8538053604701137E-2</v>
      </c>
      <c r="V153" s="57">
        <f t="shared" si="163"/>
        <v>6.5440491496585498E-2</v>
      </c>
      <c r="W153" s="57">
        <f t="shared" si="163"/>
        <v>7.5401073118844156E-2</v>
      </c>
      <c r="X153" s="57">
        <f t="shared" si="163"/>
        <v>6.6062554808535512E-2</v>
      </c>
      <c r="Y153" s="57">
        <f t="shared" si="163"/>
        <v>5.4622698765931635E-2</v>
      </c>
      <c r="Z153" s="57">
        <f t="shared" si="163"/>
        <v>0.18680203045685279</v>
      </c>
      <c r="AA153" s="57">
        <f t="shared" si="163"/>
        <v>0.16304347826086957</v>
      </c>
      <c r="AB153" s="57">
        <f t="shared" si="163"/>
        <v>0.16552667578659372</v>
      </c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6"/>
    </row>
    <row r="154" spans="1:45">
      <c r="D154" s="2" t="s">
        <v>452</v>
      </c>
      <c r="E154" s="2"/>
      <c r="F154" s="2"/>
      <c r="G154" s="7"/>
      <c r="H154" s="221" t="s">
        <v>459</v>
      </c>
      <c r="I154" s="221"/>
      <c r="J154" s="221"/>
      <c r="K154" s="221"/>
      <c r="L154" s="221"/>
      <c r="M154" s="221"/>
      <c r="N154" s="221"/>
      <c r="O154" s="221"/>
      <c r="P154" s="222"/>
      <c r="Q154" s="221"/>
      <c r="R154" s="7"/>
      <c r="S154" s="7"/>
      <c r="T154" s="171"/>
      <c r="U154" s="171"/>
      <c r="V154" s="171"/>
      <c r="W154" s="157"/>
      <c r="X154" s="157"/>
      <c r="Y154" s="157"/>
      <c r="Z154" s="216"/>
      <c r="AA154" s="216"/>
      <c r="AB154" s="216"/>
      <c r="AC154" s="135">
        <f ca="1">+AC152*AC151</f>
        <v>0</v>
      </c>
      <c r="AD154" s="135">
        <f t="shared" ref="AD154:AM154" ca="1" si="164">+AD152*AD151</f>
        <v>0</v>
      </c>
      <c r="AE154" s="135">
        <f t="shared" ca="1" si="164"/>
        <v>0.49414216737441724</v>
      </c>
      <c r="AF154" s="135">
        <f t="shared" ca="1" si="164"/>
        <v>10.67615019038268</v>
      </c>
      <c r="AG154" s="135">
        <f t="shared" ca="1" si="164"/>
        <v>41.057213372466975</v>
      </c>
      <c r="AH154" s="135">
        <f t="shared" ca="1" si="164"/>
        <v>84.277019688844433</v>
      </c>
      <c r="AI154" s="135">
        <f t="shared" ca="1" si="164"/>
        <v>141.00656684711157</v>
      </c>
      <c r="AJ154" s="135">
        <f t="shared" ca="1" si="164"/>
        <v>217.10086809596515</v>
      </c>
      <c r="AK154" s="135">
        <f t="shared" ca="1" si="164"/>
        <v>309.30551200237551</v>
      </c>
      <c r="AL154" s="135">
        <f t="shared" ca="1" si="164"/>
        <v>417.11982398349448</v>
      </c>
      <c r="AM154" s="135">
        <f t="shared" ca="1" si="164"/>
        <v>539.52060206634144</v>
      </c>
      <c r="AN154" s="135">
        <f t="shared" ref="AN154" ca="1" si="165">+AN152*AN151</f>
        <v>670.96251974979191</v>
      </c>
      <c r="AO154" s="6"/>
    </row>
    <row r="155" spans="1:45">
      <c r="G155" s="6"/>
      <c r="H155" s="6"/>
      <c r="I155" s="6"/>
      <c r="J155" s="6"/>
      <c r="K155" s="6"/>
      <c r="L155" s="6"/>
      <c r="M155" s="6"/>
      <c r="N155" s="6"/>
      <c r="O155" s="6"/>
      <c r="P155" s="84"/>
      <c r="Q155" s="6"/>
      <c r="R155" s="6"/>
      <c r="S155" s="6"/>
      <c r="T155" s="56"/>
      <c r="U155" s="56"/>
      <c r="V155" s="56"/>
      <c r="W155" s="62"/>
      <c r="X155" s="62"/>
      <c r="Y155" s="62"/>
      <c r="Z155" s="57"/>
      <c r="AA155" s="57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"/>
    </row>
    <row r="156" spans="1:45">
      <c r="B156" s="124" t="s">
        <v>180</v>
      </c>
      <c r="C156" s="43" t="s">
        <v>180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</row>
    <row r="157" spans="1:45">
      <c r="C157" s="94"/>
      <c r="D157" s="95" t="s">
        <v>95</v>
      </c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</row>
    <row r="158" spans="1:45"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6"/>
      <c r="AP158" s="1"/>
    </row>
    <row r="159" spans="1:45">
      <c r="A159" s="99" t="s">
        <v>182</v>
      </c>
      <c r="D159" s="58" t="s">
        <v>215</v>
      </c>
      <c r="I159" s="66"/>
      <c r="J159" s="66"/>
      <c r="K159" s="136"/>
      <c r="L159" s="66">
        <f t="shared" ref="L159:AN159" si="166">+L7</f>
        <v>165.36199999999999</v>
      </c>
      <c r="M159" s="66">
        <f t="shared" si="166"/>
        <v>210.75899999999999</v>
      </c>
      <c r="N159" s="66">
        <f t="shared" si="166"/>
        <v>243.02300000000002</v>
      </c>
      <c r="O159" s="66">
        <f t="shared" si="166"/>
        <v>330.53199999999998</v>
      </c>
      <c r="P159" s="66">
        <f t="shared" si="166"/>
        <v>437.94</v>
      </c>
      <c r="Q159" s="66">
        <f t="shared" si="166"/>
        <v>633.96500000000003</v>
      </c>
      <c r="R159" s="66">
        <f t="shared" si="166"/>
        <v>773.34099999999989</v>
      </c>
      <c r="S159" s="66">
        <f t="shared" si="166"/>
        <v>891.3</v>
      </c>
      <c r="T159" s="66">
        <f t="shared" si="166"/>
        <v>1210.8</v>
      </c>
      <c r="U159" s="66">
        <f t="shared" si="166"/>
        <v>1669.3</v>
      </c>
      <c r="V159" s="66">
        <f t="shared" si="166"/>
        <v>1838.3090000000002</v>
      </c>
      <c r="W159" s="66">
        <f t="shared" si="166"/>
        <v>2125.0860000000002</v>
      </c>
      <c r="X159" s="66">
        <f t="shared" si="166"/>
        <v>2479.4</v>
      </c>
      <c r="Y159" s="66">
        <f t="shared" si="166"/>
        <v>3060.1</v>
      </c>
      <c r="Z159" s="66">
        <f t="shared" si="166"/>
        <v>3489.5</v>
      </c>
      <c r="AA159" s="66">
        <f t="shared" si="166"/>
        <v>3969</v>
      </c>
      <c r="AB159" s="66">
        <f t="shared" si="166"/>
        <v>5107</v>
      </c>
      <c r="AC159" s="66">
        <f t="shared" si="166"/>
        <v>6540.0749999999998</v>
      </c>
      <c r="AD159" s="66">
        <f t="shared" si="166"/>
        <v>7770.6579000000002</v>
      </c>
      <c r="AE159" s="66">
        <f t="shared" si="166"/>
        <v>9221.6304645</v>
      </c>
      <c r="AF159" s="66">
        <f t="shared" si="166"/>
        <v>10894.601046247501</v>
      </c>
      <c r="AG159" s="66">
        <f t="shared" si="166"/>
        <v>12656.947516412063</v>
      </c>
      <c r="AH159" s="66">
        <f t="shared" si="166"/>
        <v>14582.022995874502</v>
      </c>
      <c r="AI159" s="66">
        <f t="shared" si="166"/>
        <v>16658.716523076258</v>
      </c>
      <c r="AJ159" s="66">
        <f t="shared" si="166"/>
        <v>18786.345174664901</v>
      </c>
      <c r="AK159" s="66">
        <f t="shared" si="166"/>
        <v>21003.324228556859</v>
      </c>
      <c r="AL159" s="66">
        <f t="shared" si="166"/>
        <v>23277.736111965427</v>
      </c>
      <c r="AM159" s="66">
        <f t="shared" si="166"/>
        <v>25571.833857699814</v>
      </c>
      <c r="AN159" s="66">
        <f t="shared" si="166"/>
        <v>27970.624515081414</v>
      </c>
      <c r="AO159" s="6"/>
      <c r="AP159" s="64">
        <f>(AM159/AC159)^(1/10)-1</f>
        <v>0.14608786599926771</v>
      </c>
      <c r="AQ159" s="64">
        <f>(AC159/Q159)^(1/12)-1</f>
        <v>0.21467414454756262</v>
      </c>
      <c r="AR159" s="64"/>
      <c r="AS159" s="64"/>
    </row>
    <row r="160" spans="1:45">
      <c r="D160" s="61" t="s">
        <v>183</v>
      </c>
      <c r="I160" s="66"/>
      <c r="J160" s="66"/>
      <c r="K160" s="136"/>
      <c r="L160" s="66">
        <f t="shared" ref="L160:AN160" si="167">+L8</f>
        <v>0</v>
      </c>
      <c r="M160" s="66">
        <f t="shared" si="167"/>
        <v>0</v>
      </c>
      <c r="N160" s="66">
        <f t="shared" si="167"/>
        <v>0</v>
      </c>
      <c r="O160" s="66">
        <f t="shared" si="167"/>
        <v>0</v>
      </c>
      <c r="P160" s="66">
        <f t="shared" si="167"/>
        <v>0</v>
      </c>
      <c r="Q160" s="66">
        <f t="shared" si="167"/>
        <v>0</v>
      </c>
      <c r="R160" s="66">
        <f t="shared" si="167"/>
        <v>0</v>
      </c>
      <c r="S160" s="66">
        <f t="shared" si="167"/>
        <v>0</v>
      </c>
      <c r="T160" s="66">
        <f t="shared" si="167"/>
        <v>0</v>
      </c>
      <c r="U160" s="66">
        <f t="shared" si="167"/>
        <v>0</v>
      </c>
      <c r="V160" s="66">
        <f t="shared" si="167"/>
        <v>0</v>
      </c>
      <c r="W160" s="66">
        <f t="shared" si="167"/>
        <v>0</v>
      </c>
      <c r="X160" s="66">
        <f t="shared" si="167"/>
        <v>0</v>
      </c>
      <c r="Y160" s="66">
        <f t="shared" si="167"/>
        <v>0</v>
      </c>
      <c r="Z160" s="66">
        <f t="shared" si="167"/>
        <v>0</v>
      </c>
      <c r="AA160" s="66">
        <f t="shared" si="167"/>
        <v>0</v>
      </c>
      <c r="AB160" s="66">
        <f t="shared" si="167"/>
        <v>0</v>
      </c>
      <c r="AC160" s="66">
        <f t="shared" si="167"/>
        <v>0</v>
      </c>
      <c r="AD160" s="66">
        <f t="shared" si="167"/>
        <v>0</v>
      </c>
      <c r="AE160" s="66">
        <f t="shared" si="167"/>
        <v>0</v>
      </c>
      <c r="AF160" s="66">
        <f t="shared" si="167"/>
        <v>0</v>
      </c>
      <c r="AG160" s="66">
        <f t="shared" si="167"/>
        <v>0</v>
      </c>
      <c r="AH160" s="66">
        <f t="shared" si="167"/>
        <v>0</v>
      </c>
      <c r="AI160" s="66">
        <f t="shared" si="167"/>
        <v>0</v>
      </c>
      <c r="AJ160" s="66">
        <f t="shared" si="167"/>
        <v>0</v>
      </c>
      <c r="AK160" s="66">
        <f t="shared" si="167"/>
        <v>0</v>
      </c>
      <c r="AL160" s="66">
        <f t="shared" si="167"/>
        <v>0</v>
      </c>
      <c r="AM160" s="66">
        <f t="shared" si="167"/>
        <v>0</v>
      </c>
      <c r="AN160" s="66">
        <f t="shared" si="167"/>
        <v>0</v>
      </c>
      <c r="AO160" s="6"/>
      <c r="AP160" s="64"/>
      <c r="AQ160" s="64"/>
    </row>
    <row r="161" spans="1:48" s="3" customFormat="1">
      <c r="A161" s="99" t="s">
        <v>157</v>
      </c>
      <c r="D161" s="2" t="s">
        <v>157</v>
      </c>
      <c r="E161" s="2"/>
      <c r="F161" s="2"/>
      <c r="G161" s="7"/>
      <c r="H161" s="7"/>
      <c r="I161" s="7"/>
      <c r="J161" s="7"/>
      <c r="K161" s="7"/>
      <c r="L161" s="7">
        <f t="shared" ref="L161:Z161" si="168">SUM(L159:L160)</f>
        <v>165.36199999999999</v>
      </c>
      <c r="M161" s="7">
        <f t="shared" si="168"/>
        <v>210.75899999999999</v>
      </c>
      <c r="N161" s="7">
        <f t="shared" si="168"/>
        <v>243.02300000000002</v>
      </c>
      <c r="O161" s="7">
        <f t="shared" si="168"/>
        <v>330.53199999999998</v>
      </c>
      <c r="P161" s="7">
        <f t="shared" si="168"/>
        <v>437.94</v>
      </c>
      <c r="Q161" s="7">
        <f t="shared" si="168"/>
        <v>633.96500000000003</v>
      </c>
      <c r="R161" s="7">
        <f t="shared" si="168"/>
        <v>773.34099999999989</v>
      </c>
      <c r="S161" s="7">
        <f t="shared" si="168"/>
        <v>891.3</v>
      </c>
      <c r="T161" s="7">
        <f t="shared" si="168"/>
        <v>1210.8</v>
      </c>
      <c r="U161" s="7">
        <f t="shared" si="168"/>
        <v>1669.3</v>
      </c>
      <c r="V161" s="7">
        <f t="shared" si="168"/>
        <v>1838.3090000000002</v>
      </c>
      <c r="W161" s="7">
        <f t="shared" si="168"/>
        <v>2125.0860000000002</v>
      </c>
      <c r="X161" s="7">
        <f t="shared" si="168"/>
        <v>2479.4</v>
      </c>
      <c r="Y161" s="7">
        <f t="shared" si="168"/>
        <v>3060.1</v>
      </c>
      <c r="Z161" s="7">
        <f t="shared" si="168"/>
        <v>3489.5</v>
      </c>
      <c r="AA161" s="7">
        <f t="shared" ref="AA161:AB161" si="169">SUM(AA159:AA160)</f>
        <v>3969</v>
      </c>
      <c r="AB161" s="7">
        <f t="shared" si="169"/>
        <v>5107</v>
      </c>
      <c r="AC161" s="7">
        <f t="shared" ref="AC161:AL161" si="170">SUM(AC159:AC160)</f>
        <v>6540.0749999999998</v>
      </c>
      <c r="AD161" s="7">
        <f t="shared" si="170"/>
        <v>7770.6579000000002</v>
      </c>
      <c r="AE161" s="7">
        <f t="shared" si="170"/>
        <v>9221.6304645</v>
      </c>
      <c r="AF161" s="7">
        <f t="shared" si="170"/>
        <v>10894.601046247501</v>
      </c>
      <c r="AG161" s="7">
        <f t="shared" si="170"/>
        <v>12656.947516412063</v>
      </c>
      <c r="AH161" s="7">
        <f t="shared" si="170"/>
        <v>14582.022995874502</v>
      </c>
      <c r="AI161" s="7">
        <f t="shared" si="170"/>
        <v>16658.716523076258</v>
      </c>
      <c r="AJ161" s="7">
        <f t="shared" si="170"/>
        <v>18786.345174664901</v>
      </c>
      <c r="AK161" s="7">
        <f t="shared" si="170"/>
        <v>21003.324228556859</v>
      </c>
      <c r="AL161" s="7">
        <f t="shared" si="170"/>
        <v>23277.736111965427</v>
      </c>
      <c r="AM161" s="7">
        <f t="shared" ref="AM161:AN161" si="171">SUM(AM159:AM160)</f>
        <v>25571.833857699814</v>
      </c>
      <c r="AN161" s="7">
        <f t="shared" si="171"/>
        <v>27970.624515081414</v>
      </c>
      <c r="AO161" s="55"/>
      <c r="AP161" s="64">
        <f>(AM161/AC161)^(1/10)-1</f>
        <v>0.14608786599926771</v>
      </c>
      <c r="AQ161" s="64">
        <f>(AC161/Q161)^(1/12)-1</f>
        <v>0.21467414454756262</v>
      </c>
    </row>
    <row r="162" spans="1:48">
      <c r="D162" s="61" t="s">
        <v>184</v>
      </c>
      <c r="I162" s="66"/>
      <c r="J162" s="66"/>
      <c r="K162" s="136"/>
      <c r="L162" s="66">
        <f t="shared" ref="L162:AN162" si="172">+L10</f>
        <v>-111.26599999999999</v>
      </c>
      <c r="M162" s="66">
        <f t="shared" si="172"/>
        <v>-140.733</v>
      </c>
      <c r="N162" s="66">
        <f t="shared" si="172"/>
        <v>-157.744</v>
      </c>
      <c r="O162" s="66">
        <f t="shared" si="172"/>
        <v>-210.60699999999997</v>
      </c>
      <c r="P162" s="66">
        <f t="shared" si="172"/>
        <v>-277.41300000000001</v>
      </c>
      <c r="Q162" s="66">
        <f t="shared" si="172"/>
        <v>-454.27299999999997</v>
      </c>
      <c r="R162" s="66">
        <f t="shared" si="172"/>
        <v>-539.03499999999997</v>
      </c>
      <c r="S162" s="66">
        <f t="shared" si="172"/>
        <v>-626.5</v>
      </c>
      <c r="T162" s="66">
        <f t="shared" si="172"/>
        <v>-861.4</v>
      </c>
      <c r="U162" s="66">
        <f t="shared" si="172"/>
        <v>-1170.3</v>
      </c>
      <c r="V162" s="66">
        <f t="shared" si="172"/>
        <v>-1237</v>
      </c>
      <c r="W162" s="66">
        <f t="shared" si="172"/>
        <v>-1407.4</v>
      </c>
      <c r="X162" s="66">
        <f t="shared" si="172"/>
        <v>-1642.5</v>
      </c>
      <c r="Y162" s="66">
        <f t="shared" si="172"/>
        <v>-2019.2</v>
      </c>
      <c r="Z162" s="66">
        <f t="shared" si="172"/>
        <v>-2259</v>
      </c>
      <c r="AA162" s="66">
        <f t="shared" si="172"/>
        <v>-2382</v>
      </c>
      <c r="AB162" s="66">
        <f t="shared" si="172"/>
        <v>-3097</v>
      </c>
      <c r="AC162" s="66">
        <f t="shared" si="172"/>
        <v>-4228.1157513591761</v>
      </c>
      <c r="AD162" s="66">
        <f t="shared" si="172"/>
        <v>-4928.5532675081586</v>
      </c>
      <c r="AE162" s="66">
        <f t="shared" si="172"/>
        <v>-5816.5381598139666</v>
      </c>
      <c r="AF162" s="66">
        <f t="shared" si="172"/>
        <v>-6836.2754526264544</v>
      </c>
      <c r="AG162" s="66">
        <f t="shared" si="172"/>
        <v>-7906.9814775500936</v>
      </c>
      <c r="AH162" s="66">
        <f t="shared" si="172"/>
        <v>-9073.7873477221801</v>
      </c>
      <c r="AI162" s="66">
        <f t="shared" si="172"/>
        <v>-10329.559167286283</v>
      </c>
      <c r="AJ162" s="66">
        <f t="shared" si="172"/>
        <v>-11612.33660531669</v>
      </c>
      <c r="AK162" s="66">
        <f t="shared" si="172"/>
        <v>-12945.80093412876</v>
      </c>
      <c r="AL162" s="66">
        <f t="shared" si="172"/>
        <v>-14310.48948611688</v>
      </c>
      <c r="AM162" s="66">
        <f t="shared" si="172"/>
        <v>-15683.528627259475</v>
      </c>
      <c r="AN162" s="66">
        <f t="shared" si="172"/>
        <v>-17116.916721007681</v>
      </c>
      <c r="AO162" s="6"/>
    </row>
    <row r="163" spans="1:48">
      <c r="D163" s="61" t="s">
        <v>96</v>
      </c>
      <c r="I163" s="66"/>
      <c r="J163" s="66"/>
      <c r="K163" s="136"/>
      <c r="L163" s="66">
        <f t="shared" ref="L163:AN163" si="173">+L11</f>
        <v>-30.608000000000001</v>
      </c>
      <c r="M163" s="66">
        <f t="shared" si="173"/>
        <v>-39.183</v>
      </c>
      <c r="N163" s="66">
        <f t="shared" si="173"/>
        <v>-44.127000000000002</v>
      </c>
      <c r="O163" s="66">
        <f t="shared" si="173"/>
        <v>-55.585000000000001</v>
      </c>
      <c r="P163" s="66">
        <f t="shared" si="173"/>
        <v>-72.400999999999996</v>
      </c>
      <c r="Q163" s="66">
        <f t="shared" si="173"/>
        <v>-63.274000000000001</v>
      </c>
      <c r="R163" s="66">
        <f t="shared" si="173"/>
        <v>-65.628</v>
      </c>
      <c r="S163" s="66">
        <f t="shared" si="173"/>
        <v>-78.87</v>
      </c>
      <c r="T163" s="66">
        <f t="shared" si="173"/>
        <v>-105.6</v>
      </c>
      <c r="U163" s="66">
        <f t="shared" si="173"/>
        <v>-134.4</v>
      </c>
      <c r="V163" s="66">
        <f t="shared" si="173"/>
        <v>-138.6</v>
      </c>
      <c r="W163" s="66">
        <f t="shared" si="173"/>
        <v>-165.3</v>
      </c>
      <c r="X163" s="66">
        <f t="shared" si="173"/>
        <v>-193.1</v>
      </c>
      <c r="Y163" s="66">
        <f t="shared" si="173"/>
        <v>-257.2</v>
      </c>
      <c r="Z163" s="66">
        <f t="shared" si="173"/>
        <v>-297</v>
      </c>
      <c r="AA163" s="66">
        <f t="shared" si="173"/>
        <v>-355</v>
      </c>
      <c r="AB163" s="66">
        <f t="shared" si="173"/>
        <v>-497</v>
      </c>
      <c r="AC163" s="66">
        <f t="shared" si="173"/>
        <v>-642.34909062444547</v>
      </c>
      <c r="AD163" s="66">
        <f t="shared" si="173"/>
        <v>-758.05366629835009</v>
      </c>
      <c r="AE163" s="66">
        <f t="shared" si="173"/>
        <v>-894.4802043966364</v>
      </c>
      <c r="AF163" s="66">
        <f t="shared" si="173"/>
        <v>-1051.7799290035846</v>
      </c>
      <c r="AG163" s="66">
        <f t="shared" si="173"/>
        <v>-1217.483150233779</v>
      </c>
      <c r="AH163" s="66">
        <f t="shared" si="173"/>
        <v>-1398.486836772443</v>
      </c>
      <c r="AI163" s="66">
        <f t="shared" si="173"/>
        <v>-1593.7462893210063</v>
      </c>
      <c r="AJ163" s="66">
        <f t="shared" si="173"/>
        <v>-1793.7948763147842</v>
      </c>
      <c r="AK163" s="66">
        <f t="shared" si="173"/>
        <v>-2002.2445636202908</v>
      </c>
      <c r="AL163" s="66">
        <f t="shared" si="173"/>
        <v>-2216.0943269133404</v>
      </c>
      <c r="AM163" s="66">
        <f t="shared" si="173"/>
        <v>-2431.7950377103602</v>
      </c>
      <c r="AN163" s="66">
        <f t="shared" si="173"/>
        <v>-2657.3394160231619</v>
      </c>
      <c r="AO163" s="6"/>
    </row>
    <row r="164" spans="1:48">
      <c r="D164" s="61" t="s">
        <v>121</v>
      </c>
      <c r="I164" s="66"/>
      <c r="J164" s="66"/>
      <c r="K164" s="136"/>
      <c r="L164" s="136">
        <v>0</v>
      </c>
      <c r="M164" s="136">
        <v>0</v>
      </c>
      <c r="N164" s="136">
        <v>0</v>
      </c>
      <c r="O164" s="136">
        <v>0</v>
      </c>
      <c r="P164" s="136">
        <v>0</v>
      </c>
      <c r="Q164" s="136">
        <v>0</v>
      </c>
      <c r="R164" s="136">
        <v>0</v>
      </c>
      <c r="S164" s="136">
        <v>0</v>
      </c>
      <c r="T164" s="136">
        <v>0</v>
      </c>
      <c r="U164" s="136">
        <v>0</v>
      </c>
      <c r="V164" s="136">
        <v>0</v>
      </c>
      <c r="W164" s="136">
        <v>0</v>
      </c>
      <c r="X164" s="136">
        <v>0</v>
      </c>
      <c r="Y164" s="136">
        <v>0</v>
      </c>
      <c r="Z164" s="136">
        <v>0</v>
      </c>
      <c r="AA164" s="136">
        <v>0</v>
      </c>
      <c r="AB164" s="136">
        <v>0</v>
      </c>
      <c r="AC164" s="136">
        <v>0</v>
      </c>
      <c r="AD164" s="136">
        <v>0</v>
      </c>
      <c r="AE164" s="136">
        <v>0</v>
      </c>
      <c r="AF164" s="136">
        <v>0</v>
      </c>
      <c r="AG164" s="136">
        <v>0</v>
      </c>
      <c r="AH164" s="136">
        <v>0</v>
      </c>
      <c r="AI164" s="136">
        <v>0</v>
      </c>
      <c r="AJ164" s="136">
        <v>0</v>
      </c>
      <c r="AK164" s="136">
        <v>0</v>
      </c>
      <c r="AL164" s="136">
        <v>0</v>
      </c>
      <c r="AM164" s="136">
        <v>0</v>
      </c>
      <c r="AN164" s="136">
        <v>0</v>
      </c>
      <c r="AO164" s="6"/>
    </row>
    <row r="165" spans="1:48" s="3" customFormat="1">
      <c r="A165" s="99" t="s">
        <v>93</v>
      </c>
      <c r="D165" s="2" t="s">
        <v>93</v>
      </c>
      <c r="E165" s="2"/>
      <c r="F165" s="2"/>
      <c r="G165" s="7"/>
      <c r="H165" s="7"/>
      <c r="I165" s="7"/>
      <c r="J165" s="7"/>
      <c r="K165" s="7"/>
      <c r="L165" s="7">
        <f t="shared" ref="L165:Z165" si="174">SUM(L161:L164)</f>
        <v>23.488000000000003</v>
      </c>
      <c r="M165" s="7">
        <f t="shared" si="174"/>
        <v>30.842999999999982</v>
      </c>
      <c r="N165" s="7">
        <f t="shared" si="174"/>
        <v>41.152000000000022</v>
      </c>
      <c r="O165" s="7">
        <f t="shared" si="174"/>
        <v>64.34</v>
      </c>
      <c r="P165" s="7">
        <f t="shared" si="174"/>
        <v>88.125999999999991</v>
      </c>
      <c r="Q165" s="7">
        <f t="shared" si="174"/>
        <v>116.41800000000006</v>
      </c>
      <c r="R165" s="7">
        <f t="shared" si="174"/>
        <v>168.67799999999994</v>
      </c>
      <c r="S165" s="7">
        <f t="shared" si="174"/>
        <v>185.92999999999995</v>
      </c>
      <c r="T165" s="7">
        <f t="shared" si="174"/>
        <v>243.79999999999998</v>
      </c>
      <c r="U165" s="7">
        <f t="shared" si="174"/>
        <v>364.6</v>
      </c>
      <c r="V165" s="7">
        <f t="shared" si="174"/>
        <v>462.70900000000017</v>
      </c>
      <c r="W165" s="7">
        <f t="shared" si="174"/>
        <v>552.38600000000019</v>
      </c>
      <c r="X165" s="7">
        <f t="shared" si="174"/>
        <v>643.80000000000007</v>
      </c>
      <c r="Y165" s="7">
        <f t="shared" si="174"/>
        <v>783.69999999999982</v>
      </c>
      <c r="Z165" s="7">
        <f t="shared" si="174"/>
        <v>933.5</v>
      </c>
      <c r="AA165" s="7">
        <f t="shared" ref="AA165:AB165" si="175">SUM(AA161:AA164)</f>
        <v>1232</v>
      </c>
      <c r="AB165" s="7">
        <f t="shared" si="175"/>
        <v>1513</v>
      </c>
      <c r="AC165" s="7">
        <f t="shared" ref="AC165:AL165" si="176">SUM(AC161:AC164)</f>
        <v>1669.6101580163781</v>
      </c>
      <c r="AD165" s="7">
        <f t="shared" si="176"/>
        <v>2084.0509661934916</v>
      </c>
      <c r="AE165" s="7">
        <f t="shared" si="176"/>
        <v>2510.6121002893969</v>
      </c>
      <c r="AF165" s="7">
        <f t="shared" si="176"/>
        <v>3006.5456646174616</v>
      </c>
      <c r="AG165" s="7">
        <f t="shared" si="176"/>
        <v>3532.4828886281903</v>
      </c>
      <c r="AH165" s="7">
        <f t="shared" si="176"/>
        <v>4109.748811379879</v>
      </c>
      <c r="AI165" s="7">
        <f t="shared" si="176"/>
        <v>4735.4110664689688</v>
      </c>
      <c r="AJ165" s="7">
        <f t="shared" si="176"/>
        <v>5380.2136930334264</v>
      </c>
      <c r="AK165" s="7">
        <f t="shared" si="176"/>
        <v>6055.2787308078086</v>
      </c>
      <c r="AL165" s="7">
        <f t="shared" si="176"/>
        <v>6751.152298935207</v>
      </c>
      <c r="AM165" s="7">
        <f t="shared" ref="AM165:AN165" si="177">SUM(AM161:AM164)</f>
        <v>7456.5101927299784</v>
      </c>
      <c r="AN165" s="7">
        <f t="shared" si="177"/>
        <v>8196.3683780505708</v>
      </c>
      <c r="AO165" s="55"/>
      <c r="AP165" s="64">
        <f>(AM165/AC165)^(1/10)-1</f>
        <v>0.16142736311034001</v>
      </c>
      <c r="AQ165" s="64">
        <f>(AC165/Q165)^(1/12)-1</f>
        <v>0.24848380169952233</v>
      </c>
      <c r="AR165" s="64"/>
    </row>
    <row r="166" spans="1:48">
      <c r="A166" s="99" t="s">
        <v>7</v>
      </c>
      <c r="D166" s="61" t="s">
        <v>7</v>
      </c>
      <c r="I166" s="66"/>
      <c r="J166" s="66"/>
      <c r="K166" s="66"/>
      <c r="L166" s="66">
        <f t="shared" ref="L166:AN166" si="178">+L13</f>
        <v>-14.717000000000001</v>
      </c>
      <c r="M166" s="66">
        <f t="shared" si="178"/>
        <v>-20.033000000000001</v>
      </c>
      <c r="N166" s="66">
        <f t="shared" si="178"/>
        <v>-25.481000000000002</v>
      </c>
      <c r="O166" s="66">
        <f t="shared" si="178"/>
        <v>-46.277000000000001</v>
      </c>
      <c r="P166" s="66">
        <f t="shared" si="178"/>
        <v>-64.399000000000001</v>
      </c>
      <c r="Q166" s="66">
        <f t="shared" si="178"/>
        <v>-74.679000000000002</v>
      </c>
      <c r="R166" s="66">
        <f t="shared" si="178"/>
        <v>-84.518000000000001</v>
      </c>
      <c r="S166" s="66">
        <f t="shared" si="178"/>
        <v>-92.699999999999989</v>
      </c>
      <c r="T166" s="66">
        <f t="shared" si="178"/>
        <v>-129</v>
      </c>
      <c r="U166" s="66">
        <f t="shared" si="178"/>
        <v>-189.7</v>
      </c>
      <c r="V166" s="66">
        <f t="shared" si="178"/>
        <v>-197.5</v>
      </c>
      <c r="W166" s="66">
        <f t="shared" si="178"/>
        <v>-213</v>
      </c>
      <c r="X166" s="66">
        <f t="shared" si="178"/>
        <v>-253.1</v>
      </c>
      <c r="Y166" s="66">
        <f t="shared" si="178"/>
        <v>-305.8</v>
      </c>
      <c r="Z166" s="66">
        <f t="shared" si="178"/>
        <v>-423</v>
      </c>
      <c r="AA166" s="66">
        <f t="shared" si="178"/>
        <v>-508</v>
      </c>
      <c r="AB166" s="66">
        <f t="shared" si="178"/>
        <v>-639</v>
      </c>
      <c r="AC166" s="66">
        <f t="shared" si="178"/>
        <v>-837.49434389140276</v>
      </c>
      <c r="AD166" s="66">
        <f t="shared" si="178"/>
        <v>-1107.5574908653848</v>
      </c>
      <c r="AE166" s="66">
        <f t="shared" si="178"/>
        <v>-1327.2401494615387</v>
      </c>
      <c r="AF166" s="66">
        <f t="shared" si="178"/>
        <v>-1547.0755484077795</v>
      </c>
      <c r="AG166" s="66">
        <f t="shared" si="178"/>
        <v>-1760.5227013193016</v>
      </c>
      <c r="AH166" s="66">
        <f t="shared" si="178"/>
        <v>-1959.1946955562244</v>
      </c>
      <c r="AI166" s="66">
        <f t="shared" si="178"/>
        <v>-2177.5828372290775</v>
      </c>
      <c r="AJ166" s="66">
        <f t="shared" si="178"/>
        <v>-2397.2607715428981</v>
      </c>
      <c r="AK166" s="66">
        <f t="shared" si="178"/>
        <v>-2581.3568221497826</v>
      </c>
      <c r="AL166" s="66">
        <f t="shared" si="178"/>
        <v>-2753.3406320551412</v>
      </c>
      <c r="AM166" s="66">
        <f t="shared" si="178"/>
        <v>-2902.0525914774935</v>
      </c>
      <c r="AN166" s="66">
        <f t="shared" si="178"/>
        <v>-3017.6865317572638</v>
      </c>
      <c r="AO166" s="6"/>
    </row>
    <row r="167" spans="1:48">
      <c r="D167" s="61" t="s">
        <v>97</v>
      </c>
      <c r="I167" s="66"/>
      <c r="J167" s="66"/>
      <c r="K167" s="66"/>
      <c r="L167" s="66">
        <f t="shared" ref="L167:AN167" si="179">+L14</f>
        <v>0</v>
      </c>
      <c r="M167" s="66">
        <f t="shared" si="179"/>
        <v>0</v>
      </c>
      <c r="N167" s="66">
        <f t="shared" si="179"/>
        <v>0</v>
      </c>
      <c r="O167" s="66">
        <f t="shared" si="179"/>
        <v>0</v>
      </c>
      <c r="P167" s="66">
        <f t="shared" si="179"/>
        <v>0</v>
      </c>
      <c r="Q167" s="66">
        <f t="shared" si="179"/>
        <v>-0.48899999999999999</v>
      </c>
      <c r="R167" s="66">
        <f t="shared" si="179"/>
        <v>-0.48899999999999999</v>
      </c>
      <c r="S167" s="66">
        <f t="shared" si="179"/>
        <v>0</v>
      </c>
      <c r="T167" s="66">
        <f t="shared" si="179"/>
        <v>0</v>
      </c>
      <c r="U167" s="66">
        <f t="shared" si="179"/>
        <v>0</v>
      </c>
      <c r="V167" s="66">
        <f t="shared" si="179"/>
        <v>0</v>
      </c>
      <c r="W167" s="66">
        <f t="shared" si="179"/>
        <v>0</v>
      </c>
      <c r="X167" s="66">
        <f t="shared" si="179"/>
        <v>0</v>
      </c>
      <c r="Y167" s="66">
        <f t="shared" si="179"/>
        <v>0</v>
      </c>
      <c r="Z167" s="66">
        <f t="shared" si="179"/>
        <v>0</v>
      </c>
      <c r="AA167" s="66">
        <f t="shared" si="179"/>
        <v>-12</v>
      </c>
      <c r="AB167" s="66">
        <f t="shared" si="179"/>
        <v>-12</v>
      </c>
      <c r="AC167" s="66">
        <f t="shared" si="179"/>
        <v>0</v>
      </c>
      <c r="AD167" s="66">
        <f t="shared" si="179"/>
        <v>0</v>
      </c>
      <c r="AE167" s="66">
        <f t="shared" si="179"/>
        <v>0</v>
      </c>
      <c r="AF167" s="66">
        <f t="shared" si="179"/>
        <v>0</v>
      </c>
      <c r="AG167" s="66">
        <f t="shared" si="179"/>
        <v>0</v>
      </c>
      <c r="AH167" s="66">
        <f t="shared" si="179"/>
        <v>0</v>
      </c>
      <c r="AI167" s="66">
        <f t="shared" si="179"/>
        <v>0</v>
      </c>
      <c r="AJ167" s="66">
        <f t="shared" si="179"/>
        <v>0</v>
      </c>
      <c r="AK167" s="66">
        <f t="shared" si="179"/>
        <v>0</v>
      </c>
      <c r="AL167" s="66">
        <f t="shared" si="179"/>
        <v>0</v>
      </c>
      <c r="AM167" s="66">
        <f t="shared" si="179"/>
        <v>0</v>
      </c>
      <c r="AN167" s="66">
        <f t="shared" si="179"/>
        <v>0</v>
      </c>
      <c r="AO167" s="6"/>
    </row>
    <row r="168" spans="1:48">
      <c r="D168" s="61" t="s">
        <v>214</v>
      </c>
      <c r="I168" s="66"/>
      <c r="J168" s="66"/>
      <c r="K168" s="66"/>
      <c r="L168" s="66">
        <f t="shared" ref="L168:AN168" si="180">+L15</f>
        <v>0</v>
      </c>
      <c r="M168" s="66">
        <f t="shared" si="180"/>
        <v>0</v>
      </c>
      <c r="N168" s="66">
        <f t="shared" si="180"/>
        <v>0</v>
      </c>
      <c r="O168" s="66">
        <f t="shared" si="180"/>
        <v>0</v>
      </c>
      <c r="P168" s="66">
        <f t="shared" si="180"/>
        <v>0</v>
      </c>
      <c r="Q168" s="66">
        <f t="shared" si="180"/>
        <v>0</v>
      </c>
      <c r="R168" s="66">
        <f t="shared" si="180"/>
        <v>0</v>
      </c>
      <c r="S168" s="66">
        <f t="shared" si="180"/>
        <v>0</v>
      </c>
      <c r="T168" s="66">
        <f t="shared" si="180"/>
        <v>0</v>
      </c>
      <c r="U168" s="66">
        <f t="shared" si="180"/>
        <v>0</v>
      </c>
      <c r="V168" s="66">
        <f t="shared" si="180"/>
        <v>0</v>
      </c>
      <c r="W168" s="66">
        <f t="shared" si="180"/>
        <v>0</v>
      </c>
      <c r="X168" s="66">
        <f t="shared" si="180"/>
        <v>9.9</v>
      </c>
      <c r="Y168" s="66">
        <f t="shared" si="180"/>
        <v>68.5</v>
      </c>
      <c r="Z168" s="66">
        <f t="shared" si="180"/>
        <v>45</v>
      </c>
      <c r="AA168" s="66">
        <f t="shared" si="180"/>
        <v>2</v>
      </c>
      <c r="AB168" s="66">
        <f t="shared" si="180"/>
        <v>2</v>
      </c>
      <c r="AC168" s="66">
        <f t="shared" si="180"/>
        <v>0</v>
      </c>
      <c r="AD168" s="66">
        <f t="shared" si="180"/>
        <v>0</v>
      </c>
      <c r="AE168" s="66">
        <f t="shared" si="180"/>
        <v>0</v>
      </c>
      <c r="AF168" s="66">
        <f t="shared" si="180"/>
        <v>0</v>
      </c>
      <c r="AG168" s="66">
        <f t="shared" si="180"/>
        <v>0</v>
      </c>
      <c r="AH168" s="66">
        <f t="shared" si="180"/>
        <v>0</v>
      </c>
      <c r="AI168" s="66">
        <f t="shared" si="180"/>
        <v>0</v>
      </c>
      <c r="AJ168" s="66">
        <f t="shared" si="180"/>
        <v>0</v>
      </c>
      <c r="AK168" s="66">
        <f t="shared" si="180"/>
        <v>0</v>
      </c>
      <c r="AL168" s="66">
        <f t="shared" si="180"/>
        <v>0</v>
      </c>
      <c r="AM168" s="66">
        <f t="shared" si="180"/>
        <v>0</v>
      </c>
      <c r="AN168" s="66">
        <f t="shared" si="180"/>
        <v>0</v>
      </c>
      <c r="AO168" s="6"/>
    </row>
    <row r="169" spans="1:48">
      <c r="D169" s="61" t="s">
        <v>98</v>
      </c>
      <c r="I169" s="66"/>
      <c r="J169" s="66"/>
      <c r="K169" s="66"/>
      <c r="L169" s="66">
        <f t="shared" ref="L169:AN169" si="181">+L16</f>
        <v>-1.552</v>
      </c>
      <c r="M169" s="66">
        <f t="shared" si="181"/>
        <v>0.59499999999999997</v>
      </c>
      <c r="N169" s="66">
        <f t="shared" si="181"/>
        <v>-2.4660000000000002</v>
      </c>
      <c r="O169" s="66">
        <f t="shared" si="181"/>
        <v>0.45500000000000002</v>
      </c>
      <c r="P169" s="66">
        <f t="shared" si="181"/>
        <v>-2.5680000000000001</v>
      </c>
      <c r="Q169" s="66">
        <f t="shared" si="181"/>
        <v>-4.5259999999999998</v>
      </c>
      <c r="R169" s="66">
        <f t="shared" si="181"/>
        <v>-3.3919999999999999</v>
      </c>
      <c r="S169" s="66">
        <f t="shared" si="181"/>
        <v>-0.82199999999999995</v>
      </c>
      <c r="T169" s="66">
        <f t="shared" si="181"/>
        <v>0.76800000000000002</v>
      </c>
      <c r="U169" s="66">
        <f t="shared" si="181"/>
        <v>-10.528</v>
      </c>
      <c r="V169" s="66">
        <f t="shared" si="181"/>
        <v>15.743</v>
      </c>
      <c r="W169" s="66">
        <f t="shared" si="181"/>
        <v>-25.99</v>
      </c>
      <c r="X169" s="66">
        <f t="shared" si="181"/>
        <v>-8.6</v>
      </c>
      <c r="Y169" s="66">
        <f t="shared" si="181"/>
        <v>3.1</v>
      </c>
      <c r="Z169" s="66">
        <f t="shared" si="181"/>
        <v>-11</v>
      </c>
      <c r="AA169" s="66">
        <f t="shared" si="181"/>
        <v>-2</v>
      </c>
      <c r="AB169" s="66">
        <f t="shared" si="181"/>
        <v>-1</v>
      </c>
      <c r="AC169" s="66">
        <f t="shared" si="181"/>
        <v>98</v>
      </c>
      <c r="AD169" s="66">
        <f t="shared" si="181"/>
        <v>0</v>
      </c>
      <c r="AE169" s="66">
        <f t="shared" si="181"/>
        <v>0</v>
      </c>
      <c r="AF169" s="66">
        <f t="shared" si="181"/>
        <v>0</v>
      </c>
      <c r="AG169" s="66">
        <f t="shared" si="181"/>
        <v>0</v>
      </c>
      <c r="AH169" s="66">
        <f t="shared" si="181"/>
        <v>0</v>
      </c>
      <c r="AI169" s="66">
        <f t="shared" si="181"/>
        <v>0</v>
      </c>
      <c r="AJ169" s="66">
        <f t="shared" si="181"/>
        <v>0</v>
      </c>
      <c r="AK169" s="66">
        <f t="shared" si="181"/>
        <v>0</v>
      </c>
      <c r="AL169" s="66">
        <f t="shared" si="181"/>
        <v>0</v>
      </c>
      <c r="AM169" s="66">
        <f t="shared" si="181"/>
        <v>0</v>
      </c>
      <c r="AN169" s="66">
        <f t="shared" si="181"/>
        <v>0</v>
      </c>
      <c r="AO169" s="6"/>
    </row>
    <row r="170" spans="1:48">
      <c r="D170" s="61" t="s">
        <v>121</v>
      </c>
      <c r="I170" s="66"/>
      <c r="J170" s="66"/>
      <c r="K170" s="66"/>
      <c r="L170" s="66">
        <f t="shared" ref="L170:AN170" si="182">+L17</f>
        <v>-3.9789999999999996</v>
      </c>
      <c r="M170" s="66">
        <f t="shared" si="182"/>
        <v>-11.777000000000001</v>
      </c>
      <c r="N170" s="66">
        <f t="shared" si="182"/>
        <v>1.355</v>
      </c>
      <c r="O170" s="66">
        <f t="shared" si="182"/>
        <v>-0.41299999999999998</v>
      </c>
      <c r="P170" s="66">
        <f t="shared" si="182"/>
        <v>-0.996</v>
      </c>
      <c r="Q170" s="66">
        <f t="shared" si="182"/>
        <v>1.7450000000000001</v>
      </c>
      <c r="R170" s="66">
        <f t="shared" si="182"/>
        <v>0</v>
      </c>
      <c r="S170" s="66">
        <f t="shared" si="182"/>
        <v>-0.83899999999999997</v>
      </c>
      <c r="T170" s="66">
        <f t="shared" si="182"/>
        <v>8.891</v>
      </c>
      <c r="U170" s="66">
        <f t="shared" si="182"/>
        <v>3.0760000000000001</v>
      </c>
      <c r="V170" s="66">
        <f t="shared" si="182"/>
        <v>-21.173999999999999</v>
      </c>
      <c r="W170" s="66">
        <f t="shared" si="182"/>
        <v>-16.318000000000001</v>
      </c>
      <c r="X170" s="66">
        <f t="shared" si="182"/>
        <v>-49.9</v>
      </c>
      <c r="Y170" s="66">
        <f t="shared" si="182"/>
        <v>-55.2</v>
      </c>
      <c r="Z170" s="66">
        <f t="shared" si="182"/>
        <v>-52</v>
      </c>
      <c r="AA170" s="66">
        <f t="shared" si="182"/>
        <v>-68</v>
      </c>
      <c r="AB170" s="66">
        <f t="shared" si="182"/>
        <v>-132</v>
      </c>
      <c r="AC170" s="66">
        <f t="shared" ca="1" si="182"/>
        <v>0</v>
      </c>
      <c r="AD170" s="66">
        <f t="shared" ca="1" si="182"/>
        <v>0</v>
      </c>
      <c r="AE170" s="66">
        <f t="shared" ca="1" si="182"/>
        <v>1.0083505098957601</v>
      </c>
      <c r="AF170" s="66">
        <f t="shared" ca="1" si="182"/>
        <v>22.005897543711129</v>
      </c>
      <c r="AG170" s="66">
        <f t="shared" ca="1" si="182"/>
        <v>85.482789736937647</v>
      </c>
      <c r="AH170" s="66">
        <f t="shared" ca="1" si="182"/>
        <v>177.24059194519245</v>
      </c>
      <c r="AI170" s="66">
        <f t="shared" ca="1" si="182"/>
        <v>299.54230461187797</v>
      </c>
      <c r="AJ170" s="66">
        <f t="shared" ca="1" si="182"/>
        <v>465.84902784193605</v>
      </c>
      <c r="AK170" s="66">
        <f t="shared" ca="1" si="182"/>
        <v>670.4032304829226</v>
      </c>
      <c r="AL170" s="66">
        <f t="shared" ca="1" si="182"/>
        <v>913.2171838017797</v>
      </c>
      <c r="AM170" s="66">
        <f t="shared" ca="1" si="182"/>
        <v>1193.1253772670234</v>
      </c>
      <c r="AN170" s="66">
        <f t="shared" ca="1" si="182"/>
        <v>1498.7911370140819</v>
      </c>
      <c r="AO170" s="6"/>
    </row>
    <row r="171" spans="1:48" s="3" customFormat="1">
      <c r="A171" s="99" t="s">
        <v>4</v>
      </c>
      <c r="D171" s="2" t="s">
        <v>4</v>
      </c>
      <c r="E171" s="2"/>
      <c r="F171" s="2"/>
      <c r="G171" s="7"/>
      <c r="H171" s="7"/>
      <c r="I171" s="7"/>
      <c r="J171" s="7"/>
      <c r="K171" s="7"/>
      <c r="L171" s="7">
        <f t="shared" ref="L171" si="183">SUM(L165:L170)</f>
        <v>3.2400000000000033</v>
      </c>
      <c r="M171" s="7">
        <f t="shared" ref="M171" si="184">SUM(M165:M170)</f>
        <v>-0.37200000000001943</v>
      </c>
      <c r="N171" s="7">
        <f t="shared" ref="N171" si="185">SUM(N165:N170)</f>
        <v>14.56000000000002</v>
      </c>
      <c r="O171" s="7">
        <f t="shared" ref="O171" si="186">SUM(O165:O170)</f>
        <v>18.105</v>
      </c>
      <c r="P171" s="7">
        <f t="shared" ref="P171" si="187">SUM(P165:P170)</f>
        <v>20.16299999999999</v>
      </c>
      <c r="Q171" s="7">
        <f t="shared" ref="Q171" si="188">SUM(Q165:Q170)</f>
        <v>38.469000000000058</v>
      </c>
      <c r="R171" s="7">
        <f t="shared" ref="R171" si="189">SUM(R165:R170)</f>
        <v>80.27899999999994</v>
      </c>
      <c r="S171" s="7">
        <f t="shared" ref="S171" si="190">SUM(S165:S170)</f>
        <v>91.56899999999996</v>
      </c>
      <c r="T171" s="7">
        <f t="shared" ref="T171" si="191">SUM(T165:T170)</f>
        <v>124.45899999999999</v>
      </c>
      <c r="U171" s="7">
        <f t="shared" ref="U171" si="192">SUM(U165:U170)</f>
        <v>167.44800000000004</v>
      </c>
      <c r="V171" s="7">
        <f t="shared" ref="V171" si="193">SUM(V165:V170)</f>
        <v>259.77800000000019</v>
      </c>
      <c r="W171" s="7">
        <f t="shared" ref="W171" si="194">SUM(W165:W170)</f>
        <v>297.0780000000002</v>
      </c>
      <c r="X171" s="7">
        <f t="shared" ref="X171" si="195">SUM(X165:X170)</f>
        <v>342.1</v>
      </c>
      <c r="Y171" s="7">
        <f t="shared" ref="Y171:Z171" si="196">SUM(Y165:Y170)</f>
        <v>494.2999999999999</v>
      </c>
      <c r="Z171" s="7">
        <f t="shared" si="196"/>
        <v>492.5</v>
      </c>
      <c r="AA171" s="7">
        <f t="shared" ref="AA171:AB171" si="197">SUM(AA165:AA170)</f>
        <v>644</v>
      </c>
      <c r="AB171" s="7">
        <f t="shared" si="197"/>
        <v>731</v>
      </c>
      <c r="AC171" s="7">
        <f t="shared" ref="AC171:AL171" ca="1" si="198">SUM(AC165:AC170)</f>
        <v>930.11581412497537</v>
      </c>
      <c r="AD171" s="7">
        <f t="shared" ca="1" si="198"/>
        <v>976.4934753281068</v>
      </c>
      <c r="AE171" s="7">
        <f t="shared" ca="1" si="198"/>
        <v>1184.380301337754</v>
      </c>
      <c r="AF171" s="7">
        <f t="shared" ca="1" si="198"/>
        <v>1481.4760137533933</v>
      </c>
      <c r="AG171" s="7">
        <f t="shared" ca="1" si="198"/>
        <v>1857.4429770458262</v>
      </c>
      <c r="AH171" s="7">
        <f t="shared" ca="1" si="198"/>
        <v>2327.7947077688473</v>
      </c>
      <c r="AI171" s="7">
        <f t="shared" ca="1" si="198"/>
        <v>2857.3705338517693</v>
      </c>
      <c r="AJ171" s="7">
        <f t="shared" ca="1" si="198"/>
        <v>3448.8019493324646</v>
      </c>
      <c r="AK171" s="7">
        <f t="shared" ca="1" si="198"/>
        <v>4144.3251391409485</v>
      </c>
      <c r="AL171" s="7">
        <f t="shared" ca="1" si="198"/>
        <v>4911.0288506818451</v>
      </c>
      <c r="AM171" s="7">
        <f t="shared" ref="AM171:AN171" ca="1" si="199">SUM(AM165:AM170)</f>
        <v>5747.5829785195083</v>
      </c>
      <c r="AN171" s="7">
        <f t="shared" ca="1" si="199"/>
        <v>6677.4729833073889</v>
      </c>
      <c r="AO171" s="55"/>
      <c r="AP171" s="64">
        <f ca="1">(AM171/AC171)^(1/10)-1</f>
        <v>0.19976122570341026</v>
      </c>
      <c r="AQ171" s="64">
        <f ca="1">(AC171/Q171)^(1/12)-1</f>
        <v>0.30402377925583446</v>
      </c>
      <c r="AR171" s="64"/>
    </row>
    <row r="172" spans="1:48">
      <c r="D172" s="61" t="s">
        <v>99</v>
      </c>
      <c r="I172" s="66"/>
      <c r="J172" s="66"/>
      <c r="K172" s="66"/>
      <c r="L172" s="66">
        <f t="shared" ref="L172:AN172" si="200">+L19</f>
        <v>0</v>
      </c>
      <c r="M172" s="66">
        <f t="shared" si="200"/>
        <v>0</v>
      </c>
      <c r="N172" s="66">
        <f t="shared" si="200"/>
        <v>0</v>
      </c>
      <c r="O172" s="66">
        <f t="shared" si="200"/>
        <v>0</v>
      </c>
      <c r="P172" s="66">
        <f t="shared" si="200"/>
        <v>0</v>
      </c>
      <c r="Q172" s="66">
        <f t="shared" si="200"/>
        <v>1.2410000000000001</v>
      </c>
      <c r="R172" s="66">
        <f t="shared" si="200"/>
        <v>7.2670000000000003</v>
      </c>
      <c r="S172" s="66">
        <f t="shared" si="200"/>
        <v>23.178000000000001</v>
      </c>
      <c r="T172" s="66">
        <f t="shared" si="200"/>
        <v>1.0409999999999999</v>
      </c>
      <c r="U172" s="66">
        <f t="shared" si="200"/>
        <v>4.109</v>
      </c>
      <c r="V172" s="66">
        <f t="shared" si="200"/>
        <v>4.7720000000000002</v>
      </c>
      <c r="W172" s="66">
        <f t="shared" si="200"/>
        <v>10.834</v>
      </c>
      <c r="X172" s="66">
        <f t="shared" si="200"/>
        <v>3.5</v>
      </c>
      <c r="Y172" s="66">
        <f t="shared" si="200"/>
        <v>17</v>
      </c>
      <c r="Z172" s="66">
        <f t="shared" si="200"/>
        <v>4</v>
      </c>
      <c r="AA172" s="66">
        <f t="shared" si="200"/>
        <v>4</v>
      </c>
      <c r="AB172" s="66">
        <f t="shared" si="200"/>
        <v>7</v>
      </c>
      <c r="AC172" s="66">
        <f t="shared" si="200"/>
        <v>27.728632258357472</v>
      </c>
      <c r="AD172" s="66">
        <f t="shared" si="200"/>
        <v>5</v>
      </c>
      <c r="AE172" s="66">
        <f t="shared" si="200"/>
        <v>5</v>
      </c>
      <c r="AF172" s="66">
        <f t="shared" si="200"/>
        <v>5</v>
      </c>
      <c r="AG172" s="66">
        <f t="shared" si="200"/>
        <v>5</v>
      </c>
      <c r="AH172" s="66">
        <f t="shared" si="200"/>
        <v>5</v>
      </c>
      <c r="AI172" s="66">
        <f t="shared" si="200"/>
        <v>5</v>
      </c>
      <c r="AJ172" s="66">
        <f t="shared" si="200"/>
        <v>5</v>
      </c>
      <c r="AK172" s="66">
        <f t="shared" si="200"/>
        <v>5</v>
      </c>
      <c r="AL172" s="66">
        <f t="shared" si="200"/>
        <v>5</v>
      </c>
      <c r="AM172" s="66">
        <f t="shared" si="200"/>
        <v>5</v>
      </c>
      <c r="AN172" s="66">
        <f t="shared" si="200"/>
        <v>5</v>
      </c>
      <c r="AO172" s="6"/>
      <c r="AP172" s="6"/>
      <c r="AQ172" s="6"/>
      <c r="AR172" s="6"/>
      <c r="AS172" s="6"/>
      <c r="AT172" s="6"/>
      <c r="AU172" s="6"/>
      <c r="AV172" s="6"/>
    </row>
    <row r="173" spans="1:48">
      <c r="D173" s="61" t="s">
        <v>100</v>
      </c>
      <c r="I173" s="66"/>
      <c r="J173" s="66"/>
      <c r="K173" s="66"/>
      <c r="L173" s="66">
        <f t="shared" ref="L173:AN173" si="201">+L20</f>
        <v>0.754</v>
      </c>
      <c r="M173" s="66">
        <f t="shared" si="201"/>
        <v>0.28599999999999998</v>
      </c>
      <c r="N173" s="66">
        <f t="shared" si="201"/>
        <v>0.50800000000000001</v>
      </c>
      <c r="O173" s="66">
        <f t="shared" si="201"/>
        <v>-1.115</v>
      </c>
      <c r="P173" s="66">
        <f t="shared" si="201"/>
        <v>-2.702</v>
      </c>
      <c r="Q173" s="66">
        <f t="shared" si="201"/>
        <v>-5.7830000000000004</v>
      </c>
      <c r="R173" s="66">
        <f t="shared" si="201"/>
        <v>-5.5750000000000002</v>
      </c>
      <c r="S173" s="66">
        <f t="shared" si="201"/>
        <v>-4.0010000000000003</v>
      </c>
      <c r="T173" s="66">
        <f t="shared" si="201"/>
        <v>-7.1239999999999997</v>
      </c>
      <c r="U173" s="66">
        <f t="shared" si="201"/>
        <v>-16.68</v>
      </c>
      <c r="V173" s="66">
        <f t="shared" si="201"/>
        <v>-20.11</v>
      </c>
      <c r="W173" s="66">
        <f t="shared" si="201"/>
        <v>-21.573</v>
      </c>
      <c r="X173" s="66">
        <f t="shared" si="201"/>
        <v>-24.8</v>
      </c>
      <c r="Y173" s="66">
        <f t="shared" si="201"/>
        <v>-25.9</v>
      </c>
      <c r="Z173" s="66">
        <f t="shared" si="201"/>
        <v>-42</v>
      </c>
      <c r="AA173" s="66">
        <f t="shared" si="201"/>
        <v>-46</v>
      </c>
      <c r="AB173" s="66">
        <f t="shared" si="201"/>
        <v>-363</v>
      </c>
      <c r="AC173" s="66">
        <f t="shared" si="201"/>
        <v>-118.86304896480456</v>
      </c>
      <c r="AD173" s="66">
        <f t="shared" si="201"/>
        <v>-149.67060360983098</v>
      </c>
      <c r="AE173" s="66">
        <f t="shared" ca="1" si="201"/>
        <v>-167.13922194379043</v>
      </c>
      <c r="AF173" s="66">
        <f t="shared" ca="1" si="201"/>
        <v>-198.82554522765938</v>
      </c>
      <c r="AG173" s="66">
        <f t="shared" ca="1" si="201"/>
        <v>-233.01390020421778</v>
      </c>
      <c r="AH173" s="66">
        <f t="shared" ca="1" si="201"/>
        <v>-268.92845692992637</v>
      </c>
      <c r="AI173" s="66">
        <f t="shared" ca="1" si="201"/>
        <v>-307.05170342282719</v>
      </c>
      <c r="AJ173" s="66">
        <f t="shared" ca="1" si="201"/>
        <v>-346.06665066578023</v>
      </c>
      <c r="AK173" s="66">
        <f t="shared" ca="1" si="201"/>
        <v>-385.24665382267278</v>
      </c>
      <c r="AL173" s="66">
        <f t="shared" si="201"/>
        <v>-428.7223530027469</v>
      </c>
      <c r="AM173" s="66">
        <f t="shared" si="201"/>
        <v>-476.4397866244683</v>
      </c>
      <c r="AN173" s="66">
        <f t="shared" si="201"/>
        <v>-525.67299413301453</v>
      </c>
      <c r="AO173" s="6"/>
      <c r="AP173" s="6"/>
      <c r="AQ173" s="6"/>
      <c r="AR173" s="6"/>
      <c r="AS173" s="6"/>
      <c r="AT173" s="6"/>
      <c r="AU173" s="6"/>
      <c r="AV173" s="6"/>
    </row>
    <row r="174" spans="1:48" s="3" customFormat="1">
      <c r="A174" s="99" t="s">
        <v>101</v>
      </c>
      <c r="D174" s="2" t="s">
        <v>101</v>
      </c>
      <c r="E174" s="2"/>
      <c r="F174" s="2"/>
      <c r="G174" s="7"/>
      <c r="H174" s="7"/>
      <c r="I174" s="7"/>
      <c r="J174" s="7"/>
      <c r="K174" s="7"/>
      <c r="L174" s="7">
        <f t="shared" ref="L174" si="202">SUM(L171:L173)</f>
        <v>3.9940000000000033</v>
      </c>
      <c r="M174" s="7">
        <f t="shared" ref="M174" si="203">SUM(M171:M173)</f>
        <v>-8.600000000001945E-2</v>
      </c>
      <c r="N174" s="7">
        <f t="shared" ref="N174" si="204">SUM(N171:N173)</f>
        <v>15.068000000000019</v>
      </c>
      <c r="O174" s="7">
        <f t="shared" ref="O174" si="205">SUM(O171:O173)</f>
        <v>16.990000000000002</v>
      </c>
      <c r="P174" s="7">
        <f t="shared" ref="P174" si="206">SUM(P171:P173)</f>
        <v>17.460999999999991</v>
      </c>
      <c r="Q174" s="7">
        <f t="shared" ref="Q174" si="207">SUM(Q171:Q173)</f>
        <v>33.927000000000056</v>
      </c>
      <c r="R174" s="7">
        <f t="shared" ref="R174" si="208">SUM(R171:R173)</f>
        <v>81.970999999999933</v>
      </c>
      <c r="S174" s="7">
        <f t="shared" ref="S174" si="209">SUM(S171:S173)</f>
        <v>110.74599999999995</v>
      </c>
      <c r="T174" s="7">
        <f t="shared" ref="T174" si="210">SUM(T171:T173)</f>
        <v>118.37599999999999</v>
      </c>
      <c r="U174" s="7">
        <f t="shared" ref="U174" si="211">SUM(U171:U173)</f>
        <v>154.87700000000004</v>
      </c>
      <c r="V174" s="7">
        <f t="shared" ref="V174" si="212">SUM(V171:V173)</f>
        <v>244.44000000000017</v>
      </c>
      <c r="W174" s="7">
        <f t="shared" ref="W174" si="213">SUM(W171:W173)</f>
        <v>286.33900000000023</v>
      </c>
      <c r="X174" s="7">
        <f t="shared" ref="X174" si="214">SUM(X171:X173)</f>
        <v>320.8</v>
      </c>
      <c r="Y174" s="7">
        <f t="shared" ref="Y174:Z174" si="215">SUM(Y171:Y173)</f>
        <v>485.39999999999992</v>
      </c>
      <c r="Z174" s="7">
        <f t="shared" si="215"/>
        <v>454.5</v>
      </c>
      <c r="AA174" s="7">
        <f t="shared" ref="AA174:AB174" si="216">SUM(AA171:AA173)</f>
        <v>602</v>
      </c>
      <c r="AB174" s="7">
        <f t="shared" si="216"/>
        <v>375</v>
      </c>
      <c r="AC174" s="7">
        <f t="shared" ref="AC174:AL174" ca="1" si="217">SUM(AC171:AC173)</f>
        <v>838.98139741852833</v>
      </c>
      <c r="AD174" s="7">
        <f t="shared" ca="1" si="217"/>
        <v>831.82287171827579</v>
      </c>
      <c r="AE174" s="7">
        <f t="shared" ca="1" si="217"/>
        <v>1022.2410793939636</v>
      </c>
      <c r="AF174" s="7">
        <f t="shared" ca="1" si="217"/>
        <v>1287.6504685257339</v>
      </c>
      <c r="AG174" s="7">
        <f t="shared" ca="1" si="217"/>
        <v>1629.4290768416083</v>
      </c>
      <c r="AH174" s="7">
        <f t="shared" ca="1" si="217"/>
        <v>2063.8662508389207</v>
      </c>
      <c r="AI174" s="7">
        <f t="shared" ca="1" si="217"/>
        <v>2555.318830428942</v>
      </c>
      <c r="AJ174" s="7">
        <f t="shared" ca="1" si="217"/>
        <v>3107.7352986666842</v>
      </c>
      <c r="AK174" s="7">
        <f t="shared" ca="1" si="217"/>
        <v>3764.0784853182759</v>
      </c>
      <c r="AL174" s="7">
        <f t="shared" ca="1" si="217"/>
        <v>4487.3064976790984</v>
      </c>
      <c r="AM174" s="7">
        <f t="shared" ref="AM174:AN174" ca="1" si="218">SUM(AM171:AM173)</f>
        <v>5276.1431918950402</v>
      </c>
      <c r="AN174" s="7">
        <f t="shared" ca="1" si="218"/>
        <v>6156.7999891743748</v>
      </c>
      <c r="AO174" s="55"/>
      <c r="AP174" s="64">
        <f ca="1">(AM174/AC174)^(1/10)-1</f>
        <v>0.20186703714806442</v>
      </c>
      <c r="AQ174" s="64">
        <f ca="1">(AC174/Q174)^(1/12)-1</f>
        <v>0.30647340260860112</v>
      </c>
      <c r="AR174" s="6"/>
      <c r="AS174" s="6"/>
      <c r="AT174"/>
      <c r="AU174" s="56"/>
      <c r="AV174" s="56"/>
    </row>
    <row r="175" spans="1:48">
      <c r="D175" s="61" t="s">
        <v>102</v>
      </c>
      <c r="G175" s="67"/>
      <c r="H175" s="67"/>
      <c r="I175" s="63"/>
      <c r="J175" s="63"/>
      <c r="K175" s="63"/>
      <c r="L175" s="63">
        <f t="shared" ref="L175:AN175" si="219">+L22</f>
        <v>-3.335</v>
      </c>
      <c r="M175" s="63">
        <f t="shared" si="219"/>
        <v>-1.421</v>
      </c>
      <c r="N175" s="63">
        <f t="shared" si="219"/>
        <v>-4.2729999999999997</v>
      </c>
      <c r="O175" s="63">
        <f t="shared" si="219"/>
        <v>-5.181</v>
      </c>
      <c r="P175" s="63">
        <f t="shared" si="219"/>
        <v>-15.635</v>
      </c>
      <c r="Q175" s="63">
        <f t="shared" si="219"/>
        <v>-16.960999999999999</v>
      </c>
      <c r="R175" s="63">
        <f t="shared" si="219"/>
        <v>-18.614999999999998</v>
      </c>
      <c r="S175" s="63">
        <f t="shared" si="219"/>
        <v>-23.626000000000001</v>
      </c>
      <c r="T175" s="63">
        <f t="shared" si="219"/>
        <v>-22.527999999999999</v>
      </c>
      <c r="U175" s="63">
        <f t="shared" si="219"/>
        <v>-51.542000000000002</v>
      </c>
      <c r="V175" s="63">
        <f t="shared" si="219"/>
        <v>-63.45</v>
      </c>
      <c r="W175" s="63">
        <f t="shared" si="219"/>
        <v>-84.942999999999998</v>
      </c>
      <c r="X175" s="63">
        <f t="shared" si="219"/>
        <v>-106.5</v>
      </c>
      <c r="Y175" s="63">
        <f t="shared" si="219"/>
        <v>-126.6</v>
      </c>
      <c r="Z175" s="63">
        <f t="shared" si="219"/>
        <v>-164</v>
      </c>
      <c r="AA175" s="63">
        <f t="shared" si="219"/>
        <v>-221</v>
      </c>
      <c r="AB175" s="63">
        <f t="shared" si="219"/>
        <v>-257</v>
      </c>
      <c r="AC175" s="63">
        <f t="shared" ca="1" si="219"/>
        <v>-377.54162883833777</v>
      </c>
      <c r="AD175" s="63">
        <f t="shared" ca="1" si="219"/>
        <v>-207.95571792956895</v>
      </c>
      <c r="AE175" s="63">
        <f t="shared" ca="1" si="219"/>
        <v>-255.56026984849089</v>
      </c>
      <c r="AF175" s="63">
        <f t="shared" ca="1" si="219"/>
        <v>-321.91261713143348</v>
      </c>
      <c r="AG175" s="63">
        <f t="shared" ca="1" si="219"/>
        <v>-407.35726921040208</v>
      </c>
      <c r="AH175" s="63">
        <f t="shared" ca="1" si="219"/>
        <v>-515.96656270973017</v>
      </c>
      <c r="AI175" s="63">
        <f t="shared" ca="1" si="219"/>
        <v>-638.82970760723549</v>
      </c>
      <c r="AJ175" s="63">
        <f t="shared" ca="1" si="219"/>
        <v>-776.93382466667106</v>
      </c>
      <c r="AK175" s="63">
        <f t="shared" ca="1" si="219"/>
        <v>-941.01962132956896</v>
      </c>
      <c r="AL175" s="63">
        <f t="shared" ca="1" si="219"/>
        <v>-1121.8266244197746</v>
      </c>
      <c r="AM175" s="63">
        <f t="shared" ca="1" si="219"/>
        <v>-1319.0357979737601</v>
      </c>
      <c r="AN175" s="63">
        <f t="shared" ca="1" si="219"/>
        <v>-1539.1999972935937</v>
      </c>
      <c r="AO175" s="6"/>
    </row>
    <row r="176" spans="1:48">
      <c r="A176" s="99" t="s">
        <v>103</v>
      </c>
      <c r="D176" s="68" t="s">
        <v>103</v>
      </c>
      <c r="G176" s="69"/>
      <c r="H176" s="69"/>
      <c r="I176" s="69"/>
      <c r="J176" s="69"/>
      <c r="K176" s="69"/>
      <c r="L176" s="69">
        <f t="shared" ref="L176" si="220">+L175/L$174</f>
        <v>-0.83500250375563279</v>
      </c>
      <c r="M176" s="69">
        <f t="shared" ref="M176:W176" si="221">+M175/M$174</f>
        <v>16.523255813949753</v>
      </c>
      <c r="N176" s="69">
        <f t="shared" si="221"/>
        <v>-0.28358109901778566</v>
      </c>
      <c r="O176" s="69">
        <f t="shared" si="221"/>
        <v>-0.30494408475573864</v>
      </c>
      <c r="P176" s="69">
        <f t="shared" si="221"/>
        <v>-0.89542408796747075</v>
      </c>
      <c r="Q176" s="69">
        <f t="shared" si="221"/>
        <v>-0.49992631237657237</v>
      </c>
      <c r="R176" s="69">
        <f t="shared" si="221"/>
        <v>-0.22709250832611549</v>
      </c>
      <c r="S176" s="69">
        <f t="shared" si="221"/>
        <v>-0.21333501887201353</v>
      </c>
      <c r="T176" s="69">
        <f t="shared" si="221"/>
        <v>-0.19030884638778131</v>
      </c>
      <c r="U176" s="69">
        <f t="shared" si="221"/>
        <v>-0.33279311970144043</v>
      </c>
      <c r="V176" s="69">
        <f t="shared" si="221"/>
        <v>-0.2595729013254785</v>
      </c>
      <c r="W176" s="69">
        <f t="shared" si="221"/>
        <v>-0.29665187068474758</v>
      </c>
      <c r="X176" s="69">
        <f t="shared" ref="X176" si="222">+X175/X$174</f>
        <v>-0.33198254364089774</v>
      </c>
      <c r="Y176" s="69">
        <f>+Y175/Y$174</f>
        <v>-0.26081582200247222</v>
      </c>
      <c r="Z176" s="69">
        <f>+Z175/Z$174</f>
        <v>-0.36083608360836084</v>
      </c>
      <c r="AA176" s="69">
        <f>+AA175/AA$174</f>
        <v>-0.36710963455149503</v>
      </c>
      <c r="AB176" s="69">
        <f t="shared" ref="AB176" si="223">+AB175/AB$174</f>
        <v>-0.68533333333333335</v>
      </c>
      <c r="AC176" s="69">
        <f t="shared" ref="AC176:AL176" ca="1" si="224">+AC175/AC$174</f>
        <v>-0.45</v>
      </c>
      <c r="AD176" s="69">
        <f t="shared" ca="1" si="224"/>
        <v>-0.25</v>
      </c>
      <c r="AE176" s="69">
        <f t="shared" ca="1" si="224"/>
        <v>-0.25</v>
      </c>
      <c r="AF176" s="69">
        <f t="shared" ca="1" si="224"/>
        <v>-0.25</v>
      </c>
      <c r="AG176" s="69">
        <f t="shared" ca="1" si="224"/>
        <v>-0.25</v>
      </c>
      <c r="AH176" s="69">
        <f t="shared" ca="1" si="224"/>
        <v>-0.25</v>
      </c>
      <c r="AI176" s="69">
        <f t="shared" ca="1" si="224"/>
        <v>-0.25</v>
      </c>
      <c r="AJ176" s="69">
        <f t="shared" ca="1" si="224"/>
        <v>-0.25</v>
      </c>
      <c r="AK176" s="69">
        <f t="shared" ca="1" si="224"/>
        <v>-0.25</v>
      </c>
      <c r="AL176" s="69">
        <f t="shared" ca="1" si="224"/>
        <v>-0.25</v>
      </c>
      <c r="AM176" s="69">
        <f t="shared" ref="AM176:AN176" ca="1" si="225">+AM175/AM$174</f>
        <v>-0.25</v>
      </c>
      <c r="AN176" s="69">
        <f t="shared" ca="1" si="225"/>
        <v>-0.25</v>
      </c>
      <c r="AO176" s="6"/>
    </row>
    <row r="177" spans="1:43" s="61" customFormat="1">
      <c r="A177" s="100"/>
      <c r="D177" s="61" t="s">
        <v>104</v>
      </c>
      <c r="G177" s="67"/>
      <c r="H177" s="67"/>
      <c r="I177" s="63"/>
      <c r="J177" s="63"/>
      <c r="K177" s="63"/>
      <c r="L177" s="63">
        <f t="shared" ref="L177:AN177" si="226">+L24</f>
        <v>-0.13800000000000001</v>
      </c>
      <c r="M177" s="63">
        <f t="shared" si="226"/>
        <v>0.27100000000000002</v>
      </c>
      <c r="N177" s="63">
        <f t="shared" si="226"/>
        <v>0.315</v>
      </c>
      <c r="O177" s="63">
        <f t="shared" si="226"/>
        <v>3.1850000000000001</v>
      </c>
      <c r="P177" s="63">
        <f t="shared" si="226"/>
        <v>8.3979999999999997</v>
      </c>
      <c r="Q177" s="63">
        <f t="shared" si="226"/>
        <v>12.564</v>
      </c>
      <c r="R177" s="63">
        <f t="shared" si="226"/>
        <v>93.817999999999998</v>
      </c>
      <c r="S177" s="63">
        <f t="shared" si="226"/>
        <v>5.5759999999999996</v>
      </c>
      <c r="T177" s="63">
        <f t="shared" si="226"/>
        <v>-2.5870000000000002</v>
      </c>
      <c r="U177" s="63">
        <f t="shared" si="226"/>
        <v>-0.23100000000000001</v>
      </c>
      <c r="V177" s="63">
        <f t="shared" si="226"/>
        <v>-3.601</v>
      </c>
      <c r="W177" s="63">
        <f t="shared" si="226"/>
        <v>5.3280000000000003</v>
      </c>
      <c r="X177" s="63">
        <f t="shared" si="226"/>
        <v>7.6</v>
      </c>
      <c r="Y177" s="63">
        <f t="shared" si="226"/>
        <v>20.5</v>
      </c>
      <c r="Z177" s="63">
        <f t="shared" si="226"/>
        <v>41</v>
      </c>
      <c r="AA177" s="63">
        <f t="shared" si="226"/>
        <v>55</v>
      </c>
      <c r="AB177" s="63">
        <f t="shared" si="226"/>
        <v>51</v>
      </c>
      <c r="AC177" s="63">
        <f t="shared" ca="1" si="226"/>
        <v>209.74534935463208</v>
      </c>
      <c r="AD177" s="63">
        <f t="shared" ca="1" si="226"/>
        <v>0</v>
      </c>
      <c r="AE177" s="63">
        <f t="shared" ca="1" si="226"/>
        <v>0</v>
      </c>
      <c r="AF177" s="63">
        <f t="shared" ca="1" si="226"/>
        <v>0</v>
      </c>
      <c r="AG177" s="63">
        <f t="shared" ca="1" si="226"/>
        <v>0</v>
      </c>
      <c r="AH177" s="63">
        <f t="shared" ca="1" si="226"/>
        <v>0</v>
      </c>
      <c r="AI177" s="63">
        <f t="shared" ca="1" si="226"/>
        <v>0</v>
      </c>
      <c r="AJ177" s="63">
        <f t="shared" ca="1" si="226"/>
        <v>0</v>
      </c>
      <c r="AK177" s="63">
        <f t="shared" ca="1" si="226"/>
        <v>0</v>
      </c>
      <c r="AL177" s="63">
        <f t="shared" ca="1" si="226"/>
        <v>0</v>
      </c>
      <c r="AM177" s="63">
        <f t="shared" ca="1" si="226"/>
        <v>0</v>
      </c>
      <c r="AN177" s="63">
        <f t="shared" ca="1" si="226"/>
        <v>0</v>
      </c>
      <c r="AO177" s="71"/>
    </row>
    <row r="178" spans="1:43" s="61" customFormat="1">
      <c r="A178" s="99" t="s">
        <v>105</v>
      </c>
      <c r="D178" s="68" t="s">
        <v>105</v>
      </c>
      <c r="G178" s="69"/>
      <c r="H178" s="69"/>
      <c r="I178" s="69"/>
      <c r="J178" s="69"/>
      <c r="K178" s="69"/>
      <c r="L178" s="69">
        <f t="shared" ref="L178" si="227">+L177/L$174</f>
        <v>-3.455182774161239E-2</v>
      </c>
      <c r="M178" s="69">
        <f t="shared" ref="M178:W178" si="228">+M177/M$174</f>
        <v>-3.1511627906969619</v>
      </c>
      <c r="N178" s="69">
        <f t="shared" si="228"/>
        <v>2.0905229625696815E-2</v>
      </c>
      <c r="O178" s="69">
        <f t="shared" si="228"/>
        <v>0.18746321365509122</v>
      </c>
      <c r="P178" s="69">
        <f t="shared" si="228"/>
        <v>0.48095756256800892</v>
      </c>
      <c r="Q178" s="69">
        <f t="shared" si="228"/>
        <v>0.37032452029357088</v>
      </c>
      <c r="R178" s="69">
        <f t="shared" si="228"/>
        <v>1.1445267228654046</v>
      </c>
      <c r="S178" s="69">
        <f t="shared" si="228"/>
        <v>5.0349448287071337E-2</v>
      </c>
      <c r="T178" s="69">
        <f t="shared" si="228"/>
        <v>-2.1854092045684941E-2</v>
      </c>
      <c r="U178" s="69">
        <f t="shared" si="228"/>
        <v>-1.4915061629551189E-3</v>
      </c>
      <c r="V178" s="69">
        <f t="shared" si="228"/>
        <v>-1.4731631484208793E-2</v>
      </c>
      <c r="W178" s="69">
        <f t="shared" si="228"/>
        <v>1.8607315105521764E-2</v>
      </c>
      <c r="X178" s="69">
        <f t="shared" ref="X178" si="229">+X177/X$174</f>
        <v>2.369077306733167E-2</v>
      </c>
      <c r="Y178" s="69">
        <f>+Y177/Y$174</f>
        <v>4.2233209723939028E-2</v>
      </c>
      <c r="Z178" s="69">
        <f>+Z177/Z$174</f>
        <v>9.0209020902090209E-2</v>
      </c>
      <c r="AA178" s="69">
        <f>+AA177/AA$174</f>
        <v>9.1362126245847178E-2</v>
      </c>
      <c r="AB178" s="69">
        <f t="shared" ref="AB178" si="230">+AB177/AB$174</f>
        <v>0.13600000000000001</v>
      </c>
      <c r="AC178" s="69">
        <f t="shared" ref="AC178:AL178" ca="1" si="231">+AC177/AC$174</f>
        <v>0.25</v>
      </c>
      <c r="AD178" s="69">
        <f t="shared" ca="1" si="231"/>
        <v>0</v>
      </c>
      <c r="AE178" s="69">
        <f t="shared" ca="1" si="231"/>
        <v>0</v>
      </c>
      <c r="AF178" s="69">
        <f t="shared" ca="1" si="231"/>
        <v>0</v>
      </c>
      <c r="AG178" s="69">
        <f t="shared" ca="1" si="231"/>
        <v>0</v>
      </c>
      <c r="AH178" s="69">
        <f t="shared" ca="1" si="231"/>
        <v>0</v>
      </c>
      <c r="AI178" s="69">
        <f t="shared" ca="1" si="231"/>
        <v>0</v>
      </c>
      <c r="AJ178" s="69">
        <f t="shared" ca="1" si="231"/>
        <v>0</v>
      </c>
      <c r="AK178" s="69">
        <f t="shared" ca="1" si="231"/>
        <v>0</v>
      </c>
      <c r="AL178" s="69">
        <f t="shared" ca="1" si="231"/>
        <v>0</v>
      </c>
      <c r="AM178" s="69">
        <f t="shared" ref="AM178:AN178" ca="1" si="232">+AM177/AM$174</f>
        <v>0</v>
      </c>
      <c r="AN178" s="69">
        <f t="shared" ca="1" si="232"/>
        <v>0</v>
      </c>
      <c r="AO178" s="71"/>
    </row>
    <row r="179" spans="1:43" s="3" customFormat="1">
      <c r="A179" s="99" t="s">
        <v>106</v>
      </c>
      <c r="D179" s="2" t="s">
        <v>106</v>
      </c>
      <c r="E179" s="2"/>
      <c r="F179" s="2"/>
      <c r="G179" s="7"/>
      <c r="H179" s="7"/>
      <c r="I179" s="7"/>
      <c r="J179" s="7"/>
      <c r="K179" s="7"/>
      <c r="L179" s="7">
        <f t="shared" ref="L179" si="233">+L174+L175+L177</f>
        <v>0.52100000000000335</v>
      </c>
      <c r="M179" s="7">
        <f t="shared" ref="M179:Z179" si="234">+M174+M175+M177</f>
        <v>-1.2360000000000193</v>
      </c>
      <c r="N179" s="7">
        <f t="shared" si="234"/>
        <v>11.110000000000019</v>
      </c>
      <c r="O179" s="7">
        <f t="shared" si="234"/>
        <v>14.994000000000002</v>
      </c>
      <c r="P179" s="7">
        <f t="shared" si="234"/>
        <v>10.223999999999991</v>
      </c>
      <c r="Q179" s="7">
        <f t="shared" si="234"/>
        <v>29.530000000000058</v>
      </c>
      <c r="R179" s="7">
        <f t="shared" si="234"/>
        <v>157.17399999999992</v>
      </c>
      <c r="S179" s="7">
        <f t="shared" si="234"/>
        <v>92.695999999999941</v>
      </c>
      <c r="T179" s="7">
        <f t="shared" si="234"/>
        <v>93.260999999999981</v>
      </c>
      <c r="U179" s="7">
        <f t="shared" si="234"/>
        <v>103.10400000000004</v>
      </c>
      <c r="V179" s="7">
        <f t="shared" si="234"/>
        <v>177.38900000000018</v>
      </c>
      <c r="W179" s="7">
        <f t="shared" si="234"/>
        <v>206.72400000000025</v>
      </c>
      <c r="X179" s="7">
        <f t="shared" ref="X179" si="235">+X174+X175+X177</f>
        <v>221.9</v>
      </c>
      <c r="Y179" s="7">
        <f t="shared" si="234"/>
        <v>379.29999999999995</v>
      </c>
      <c r="Z179" s="7">
        <f t="shared" si="234"/>
        <v>331.5</v>
      </c>
      <c r="AA179" s="7">
        <f t="shared" ref="AA179:AB179" si="236">+AA174+AA175+AA177</f>
        <v>436</v>
      </c>
      <c r="AB179" s="7">
        <f t="shared" si="236"/>
        <v>169</v>
      </c>
      <c r="AC179" s="7">
        <f t="shared" ref="AC179:AK179" ca="1" si="237">+AC174+AC175+AC177</f>
        <v>671.18511793482264</v>
      </c>
      <c r="AD179" s="7">
        <f t="shared" ca="1" si="237"/>
        <v>623.8671537887069</v>
      </c>
      <c r="AE179" s="7">
        <f t="shared" ca="1" si="237"/>
        <v>766.6808095454727</v>
      </c>
      <c r="AF179" s="7">
        <f t="shared" ca="1" si="237"/>
        <v>965.73785139430038</v>
      </c>
      <c r="AG179" s="7">
        <f t="shared" ca="1" si="237"/>
        <v>1222.0718076312062</v>
      </c>
      <c r="AH179" s="7">
        <f t="shared" ca="1" si="237"/>
        <v>1547.8996881291905</v>
      </c>
      <c r="AI179" s="7">
        <f t="shared" ca="1" si="237"/>
        <v>1916.4891228217066</v>
      </c>
      <c r="AJ179" s="7">
        <f t="shared" ca="1" si="237"/>
        <v>2330.8014740000131</v>
      </c>
      <c r="AK179" s="7">
        <f t="shared" ca="1" si="237"/>
        <v>2823.0588639887069</v>
      </c>
      <c r="AL179" s="7">
        <f t="shared" ref="AL179" ca="1" si="238">+AL174+AL175+AL177</f>
        <v>3365.4798732593235</v>
      </c>
      <c r="AM179" s="7">
        <f t="shared" ref="AM179:AN179" ca="1" si="239">+AM174+AM175+AM177</f>
        <v>3957.1073939212802</v>
      </c>
      <c r="AN179" s="7">
        <f t="shared" ca="1" si="239"/>
        <v>4617.5999918807811</v>
      </c>
      <c r="AO179" s="55"/>
      <c r="AP179" s="64">
        <f ca="1">(AM179/AC179)^(1/10)-1</f>
        <v>0.19413534147696687</v>
      </c>
      <c r="AQ179" s="64">
        <f ca="1">(AC179/Q179)^(1/12)-1</f>
        <v>0.29732336325228403</v>
      </c>
    </row>
    <row r="180" spans="1:43">
      <c r="D180" s="61" t="s">
        <v>107</v>
      </c>
      <c r="G180" s="6"/>
      <c r="H180" s="6"/>
      <c r="I180" s="63"/>
      <c r="J180" s="63"/>
      <c r="K180" s="63"/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  <c r="W180" s="67">
        <v>0</v>
      </c>
      <c r="X180" s="67">
        <v>0</v>
      </c>
      <c r="Y180" s="67">
        <v>0</v>
      </c>
      <c r="Z180" s="67">
        <v>0</v>
      </c>
      <c r="AA180" s="67">
        <v>0</v>
      </c>
      <c r="AB180" s="67">
        <v>0</v>
      </c>
      <c r="AC180" s="67">
        <v>0</v>
      </c>
      <c r="AD180" s="67">
        <v>0</v>
      </c>
      <c r="AE180" s="67">
        <v>0</v>
      </c>
      <c r="AF180" s="67">
        <v>0</v>
      </c>
      <c r="AG180" s="67">
        <v>0</v>
      </c>
      <c r="AH180" s="67">
        <v>0</v>
      </c>
      <c r="AI180" s="67">
        <v>0</v>
      </c>
      <c r="AJ180" s="67">
        <v>0</v>
      </c>
      <c r="AK180" s="67">
        <v>0</v>
      </c>
      <c r="AL180" s="67">
        <v>0</v>
      </c>
      <c r="AM180" s="67">
        <v>0</v>
      </c>
      <c r="AN180" s="67">
        <v>0</v>
      </c>
      <c r="AO180" s="6"/>
    </row>
    <row r="181" spans="1:43">
      <c r="D181" s="61" t="s">
        <v>108</v>
      </c>
      <c r="G181" s="6"/>
      <c r="H181" s="6"/>
      <c r="I181" s="63"/>
      <c r="J181" s="63"/>
      <c r="K181" s="63"/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  <c r="W181" s="67">
        <v>0</v>
      </c>
      <c r="X181" s="67">
        <v>0</v>
      </c>
      <c r="Y181" s="67">
        <v>0</v>
      </c>
      <c r="Z181" s="67">
        <v>0</v>
      </c>
      <c r="AA181" s="67">
        <v>0</v>
      </c>
      <c r="AB181" s="67">
        <v>142</v>
      </c>
      <c r="AC181" s="67">
        <v>-58.215683706094254</v>
      </c>
      <c r="AD181" s="67">
        <v>-106.3941022292565</v>
      </c>
      <c r="AE181" s="67">
        <v>-135.32752033590435</v>
      </c>
      <c r="AF181" s="67">
        <v>-167.27454097262958</v>
      </c>
      <c r="AG181" s="67">
        <v>-198.54733076931461</v>
      </c>
      <c r="AH181" s="67">
        <v>-232.58293783728104</v>
      </c>
      <c r="AI181" s="67">
        <v>-280.01536392806372</v>
      </c>
      <c r="AJ181" s="67">
        <v>-330.88476116157511</v>
      </c>
      <c r="AK181" s="67">
        <v>-385.54599470541189</v>
      </c>
      <c r="AL181" s="67">
        <v>-452.0175804832827</v>
      </c>
      <c r="AM181" s="67">
        <v>-452.0175804832827</v>
      </c>
      <c r="AN181" s="67">
        <v>-452.0175804832827</v>
      </c>
      <c r="AO181" s="6"/>
    </row>
    <row r="182" spans="1:43">
      <c r="D182" s="61" t="s">
        <v>109</v>
      </c>
      <c r="G182" s="6"/>
      <c r="H182" s="6"/>
      <c r="I182" s="63"/>
      <c r="J182" s="63"/>
      <c r="K182" s="63"/>
      <c r="L182" s="67">
        <v>0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0</v>
      </c>
      <c r="T182" s="67">
        <v>0</v>
      </c>
      <c r="U182" s="67">
        <v>0</v>
      </c>
      <c r="V182" s="67">
        <v>0</v>
      </c>
      <c r="W182" s="67">
        <v>0</v>
      </c>
      <c r="X182" s="67">
        <v>0</v>
      </c>
      <c r="Y182" s="67">
        <v>0</v>
      </c>
      <c r="Z182" s="67">
        <v>0</v>
      </c>
      <c r="AA182" s="67">
        <v>0</v>
      </c>
      <c r="AB182" s="67">
        <v>0</v>
      </c>
      <c r="AC182" s="67">
        <v>0</v>
      </c>
      <c r="AD182" s="67">
        <v>0</v>
      </c>
      <c r="AE182" s="67">
        <v>0</v>
      </c>
      <c r="AF182" s="67">
        <v>0</v>
      </c>
      <c r="AG182" s="67">
        <v>0</v>
      </c>
      <c r="AH182" s="67">
        <v>0</v>
      </c>
      <c r="AI182" s="67">
        <v>0</v>
      </c>
      <c r="AJ182" s="67">
        <v>0</v>
      </c>
      <c r="AK182" s="67">
        <v>0</v>
      </c>
      <c r="AL182" s="67">
        <v>0</v>
      </c>
      <c r="AM182" s="67">
        <v>0</v>
      </c>
      <c r="AN182" s="67">
        <v>0</v>
      </c>
      <c r="AO182" s="6"/>
    </row>
    <row r="183" spans="1:43" s="3" customFormat="1">
      <c r="A183" s="99" t="s">
        <v>110</v>
      </c>
      <c r="D183" s="2" t="s">
        <v>110</v>
      </c>
      <c r="E183" s="2"/>
      <c r="F183" s="2"/>
      <c r="G183" s="7"/>
      <c r="H183" s="7"/>
      <c r="I183" s="7"/>
      <c r="J183" s="7"/>
      <c r="K183" s="7"/>
      <c r="L183" s="7">
        <f t="shared" ref="L183" si="240">SUM(L179:L182)</f>
        <v>0.52100000000000335</v>
      </c>
      <c r="M183" s="7">
        <f t="shared" ref="M183:Z183" si="241">SUM(M179:M182)</f>
        <v>-1.2360000000000193</v>
      </c>
      <c r="N183" s="7">
        <f t="shared" si="241"/>
        <v>11.110000000000019</v>
      </c>
      <c r="O183" s="7">
        <f t="shared" si="241"/>
        <v>14.994000000000002</v>
      </c>
      <c r="P183" s="7">
        <f t="shared" si="241"/>
        <v>10.223999999999991</v>
      </c>
      <c r="Q183" s="7">
        <f t="shared" si="241"/>
        <v>29.530000000000058</v>
      </c>
      <c r="R183" s="7">
        <f t="shared" si="241"/>
        <v>157.17399999999992</v>
      </c>
      <c r="S183" s="7">
        <f t="shared" si="241"/>
        <v>92.695999999999941</v>
      </c>
      <c r="T183" s="7">
        <f t="shared" si="241"/>
        <v>93.260999999999981</v>
      </c>
      <c r="U183" s="7">
        <f t="shared" si="241"/>
        <v>103.10400000000004</v>
      </c>
      <c r="V183" s="7">
        <f t="shared" ref="V183" si="242">SUM(V179:V182)</f>
        <v>177.38900000000018</v>
      </c>
      <c r="W183" s="7">
        <f t="shared" ref="W183" si="243">SUM(W179:W182)</f>
        <v>206.72400000000025</v>
      </c>
      <c r="X183" s="7">
        <f t="shared" ref="X183" si="244">SUM(X179:X182)</f>
        <v>221.9</v>
      </c>
      <c r="Y183" s="7">
        <f t="shared" si="241"/>
        <v>379.29999999999995</v>
      </c>
      <c r="Z183" s="7">
        <f t="shared" si="241"/>
        <v>331.5</v>
      </c>
      <c r="AA183" s="7">
        <f t="shared" ref="AA183:AB183" si="245">SUM(AA179:AA182)</f>
        <v>436</v>
      </c>
      <c r="AB183" s="7">
        <f t="shared" si="245"/>
        <v>311</v>
      </c>
      <c r="AC183" s="7">
        <f t="shared" ref="AC183:AL183" ca="1" si="246">SUM(AC179:AC182)</f>
        <v>612.96943422872835</v>
      </c>
      <c r="AD183" s="7">
        <f t="shared" ca="1" si="246"/>
        <v>517.47305155945037</v>
      </c>
      <c r="AE183" s="7">
        <f t="shared" ca="1" si="246"/>
        <v>631.3532892095684</v>
      </c>
      <c r="AF183" s="7">
        <f t="shared" ca="1" si="246"/>
        <v>798.46331042167083</v>
      </c>
      <c r="AG183" s="7">
        <f t="shared" ca="1" si="246"/>
        <v>1023.5244768618916</v>
      </c>
      <c r="AH183" s="7">
        <f t="shared" ca="1" si="246"/>
        <v>1315.3167502919096</v>
      </c>
      <c r="AI183" s="7">
        <f t="shared" ca="1" si="246"/>
        <v>1636.4737588936428</v>
      </c>
      <c r="AJ183" s="7">
        <f t="shared" ca="1" si="246"/>
        <v>1999.9167128384379</v>
      </c>
      <c r="AK183" s="7">
        <f t="shared" ca="1" si="246"/>
        <v>2437.512869283295</v>
      </c>
      <c r="AL183" s="7">
        <f t="shared" ca="1" si="246"/>
        <v>2913.4622927760411</v>
      </c>
      <c r="AM183" s="7">
        <f t="shared" ref="AM183:AN183" ca="1" si="247">SUM(AM179:AM182)</f>
        <v>3505.0898134379977</v>
      </c>
      <c r="AN183" s="7">
        <f t="shared" ca="1" si="247"/>
        <v>4165.5824113974986</v>
      </c>
      <c r="AO183" s="55"/>
      <c r="AP183" s="64">
        <f ca="1">(AM183/AC183)^(1/10)-1</f>
        <v>0.19049077151447169</v>
      </c>
      <c r="AQ183" s="64">
        <f ca="1">(AC183/Q183)^(1/12)-1</f>
        <v>0.28755151537250834</v>
      </c>
    </row>
    <row r="184" spans="1:43">
      <c r="G184" s="6"/>
      <c r="H184" s="6"/>
      <c r="I184" s="6"/>
      <c r="J184" s="6"/>
      <c r="K184" s="6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>
        <f t="shared" ref="AC184:AN184" ca="1" si="248">+AC175/(AC174+AC32*0.66)</f>
        <v>-0.25934095462415901</v>
      </c>
      <c r="AD184" s="47">
        <f t="shared" ca="1" si="248"/>
        <v>-0.13285823062800955</v>
      </c>
      <c r="AE184" s="47">
        <f t="shared" ca="1" si="248"/>
        <v>-0.13498981863531392</v>
      </c>
      <c r="AF184" s="47">
        <f t="shared" ca="1" si="248"/>
        <v>-0.13892611602834865</v>
      </c>
      <c r="AG184" s="47">
        <f t="shared" ca="1" si="248"/>
        <v>-0.14414839674429361</v>
      </c>
      <c r="AH184" s="47">
        <f t="shared" ca="1" si="248"/>
        <v>-0.14986624474352239</v>
      </c>
      <c r="AI184" s="47">
        <f t="shared" ca="1" si="248"/>
        <v>-0.1546383160356167</v>
      </c>
      <c r="AJ184" s="47">
        <f t="shared" ca="1" si="248"/>
        <v>-0.15903868333871335</v>
      </c>
      <c r="AK184" s="47">
        <f t="shared" ca="1" si="248"/>
        <v>-0.1636086723377308</v>
      </c>
      <c r="AL184" s="47">
        <f t="shared" ca="1" si="248"/>
        <v>-0.16767611210019059</v>
      </c>
      <c r="AM184" s="47">
        <f t="shared" ca="1" si="248"/>
        <v>-0.17137676270546248</v>
      </c>
      <c r="AN184" s="47">
        <f t="shared" ca="1" si="248"/>
        <v>-0.17481556971362702</v>
      </c>
      <c r="AO184" s="6"/>
    </row>
    <row r="185" spans="1:43">
      <c r="G185" s="6"/>
      <c r="H185" s="6"/>
      <c r="I185" s="6"/>
      <c r="J185" s="6"/>
      <c r="K185" s="6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6"/>
    </row>
    <row r="186" spans="1:43">
      <c r="A186" s="99" t="s">
        <v>185</v>
      </c>
      <c r="D186" t="s">
        <v>112</v>
      </c>
      <c r="G186" s="6"/>
      <c r="H186" s="6"/>
      <c r="I186" s="74"/>
      <c r="J186" s="74"/>
      <c r="K186" s="74"/>
      <c r="L186" s="63">
        <f t="shared" ref="L186:X186" si="249">+L274</f>
        <v>20.391999999999999</v>
      </c>
      <c r="M186" s="63">
        <f t="shared" si="249"/>
        <v>20.81</v>
      </c>
      <c r="N186" s="63">
        <f t="shared" si="249"/>
        <v>21.19153</v>
      </c>
      <c r="O186" s="63">
        <f t="shared" si="249"/>
        <v>21.19153</v>
      </c>
      <c r="P186" s="63">
        <f t="shared" si="249"/>
        <v>21.19153</v>
      </c>
      <c r="Q186" s="63">
        <f t="shared" si="249"/>
        <v>21.19153</v>
      </c>
      <c r="R186" s="63">
        <f t="shared" si="249"/>
        <v>21.19153</v>
      </c>
      <c r="S186" s="63">
        <f t="shared" si="249"/>
        <v>21.19153</v>
      </c>
      <c r="T186" s="63">
        <f t="shared" si="249"/>
        <v>21.19153</v>
      </c>
      <c r="U186" s="63">
        <f t="shared" si="249"/>
        <v>21.19153</v>
      </c>
      <c r="V186" s="63">
        <f t="shared" si="249"/>
        <v>21.19153</v>
      </c>
      <c r="W186" s="63">
        <f t="shared" si="249"/>
        <v>21.19153</v>
      </c>
      <c r="X186" s="63">
        <f t="shared" si="249"/>
        <v>21.19153</v>
      </c>
      <c r="Y186" s="63">
        <f>+Y274</f>
        <v>21.19153</v>
      </c>
      <c r="Z186" s="63">
        <f t="shared" ref="Z186:AL186" si="250">+Z274</f>
        <v>21.19153</v>
      </c>
      <c r="AA186" s="63">
        <f t="shared" si="250"/>
        <v>21.19153</v>
      </c>
      <c r="AB186" s="63">
        <f t="shared" si="250"/>
        <v>21.19153</v>
      </c>
      <c r="AC186" s="63">
        <f t="shared" ca="1" si="250"/>
        <v>21.19153</v>
      </c>
      <c r="AD186" s="63">
        <f t="shared" ca="1" si="250"/>
        <v>21.19153</v>
      </c>
      <c r="AE186" s="63">
        <f t="shared" ca="1" si="250"/>
        <v>21.19153</v>
      </c>
      <c r="AF186" s="63">
        <f t="shared" ca="1" si="250"/>
        <v>21.19153</v>
      </c>
      <c r="AG186" s="63">
        <f t="shared" ca="1" si="250"/>
        <v>21.19153</v>
      </c>
      <c r="AH186" s="63">
        <f t="shared" ca="1" si="250"/>
        <v>21.19153</v>
      </c>
      <c r="AI186" s="63">
        <f t="shared" ca="1" si="250"/>
        <v>21.19153</v>
      </c>
      <c r="AJ186" s="63">
        <f t="shared" ca="1" si="250"/>
        <v>21.19153</v>
      </c>
      <c r="AK186" s="63">
        <f t="shared" ca="1" si="250"/>
        <v>21.19153</v>
      </c>
      <c r="AL186" s="63">
        <f t="shared" ca="1" si="250"/>
        <v>21.19153</v>
      </c>
      <c r="AM186" s="63">
        <f t="shared" ref="AM186:AN186" ca="1" si="251">+AM274</f>
        <v>21.19153</v>
      </c>
      <c r="AN186" s="63">
        <f t="shared" ca="1" si="251"/>
        <v>21.19153</v>
      </c>
      <c r="AO186" s="6"/>
      <c r="AP186" s="64"/>
      <c r="AQ186" s="1"/>
    </row>
    <row r="187" spans="1:43">
      <c r="A187" s="99" t="s">
        <v>25</v>
      </c>
      <c r="D187" s="3" t="s">
        <v>113</v>
      </c>
      <c r="G187" s="75"/>
      <c r="H187" s="75"/>
      <c r="I187" s="76"/>
      <c r="J187" s="76"/>
      <c r="K187" s="76"/>
      <c r="L187" s="76">
        <f t="shared" ref="L187" si="252">+L183/L186</f>
        <v>2.5549234994115506E-2</v>
      </c>
      <c r="M187" s="76">
        <f t="shared" ref="M187" si="253">+M183/M186</f>
        <v>-5.939452186448916E-2</v>
      </c>
      <c r="N187" s="76">
        <f t="shared" ref="N187" si="254">+N183/N186</f>
        <v>0.52426606290343447</v>
      </c>
      <c r="O187" s="76">
        <f t="shared" ref="O187" si="255">+O183/O186</f>
        <v>0.70754683592926049</v>
      </c>
      <c r="P187" s="76">
        <f t="shared" ref="P187" si="256">+P183/P186</f>
        <v>0.48245690613183623</v>
      </c>
      <c r="Q187" s="76">
        <f t="shared" ref="Q187" si="257">+Q183/Q186</f>
        <v>1.3934812635048086</v>
      </c>
      <c r="R187" s="76">
        <f t="shared" ref="R187" si="258">+R183/R186</f>
        <v>7.4168311584864295</v>
      </c>
      <c r="S187" s="76">
        <f t="shared" ref="S187" si="259">+S183/S186</f>
        <v>4.3742004470654052</v>
      </c>
      <c r="T187" s="76">
        <f t="shared" ref="T187" si="260">+T183/T186</f>
        <v>4.4008620425235918</v>
      </c>
      <c r="U187" s="76">
        <f t="shared" ref="U187" si="261">+U183/U186</f>
        <v>4.8653400674703544</v>
      </c>
      <c r="V187" s="76">
        <f t="shared" ref="V187" si="262">+V183/V186</f>
        <v>8.3707500119151454</v>
      </c>
      <c r="W187" s="76">
        <f t="shared" ref="W187" si="263">+W183/W186</f>
        <v>9.7550294858370421</v>
      </c>
      <c r="X187" s="76">
        <f t="shared" ref="X187" si="264">+X183/X186</f>
        <v>10.471164658710343</v>
      </c>
      <c r="Y187" s="76">
        <f t="shared" ref="Y187:Z187" si="265">+Y183/Y186</f>
        <v>17.89866045538005</v>
      </c>
      <c r="Z187" s="76">
        <f t="shared" si="265"/>
        <v>15.643042290953037</v>
      </c>
      <c r="AA187" s="76">
        <f>+AA183/AA186</f>
        <v>20.574257734104144</v>
      </c>
      <c r="AB187" s="76">
        <f t="shared" ref="AB187:AL187" si="266">+AB183/AB186</f>
        <v>14.675674668133919</v>
      </c>
      <c r="AC187" s="76">
        <f t="shared" ca="1" si="266"/>
        <v>28.925208997591412</v>
      </c>
      <c r="AD187" s="76">
        <f t="shared" ca="1" si="266"/>
        <v>24.418862232196087</v>
      </c>
      <c r="AE187" s="76">
        <f t="shared" ca="1" si="266"/>
        <v>29.792718563009295</v>
      </c>
      <c r="AF187" s="76">
        <f t="shared" ca="1" si="266"/>
        <v>37.678417293214359</v>
      </c>
      <c r="AG187" s="76">
        <f t="shared" ca="1" si="266"/>
        <v>48.298753174588697</v>
      </c>
      <c r="AH187" s="76">
        <f t="shared" ca="1" si="266"/>
        <v>62.068040877270754</v>
      </c>
      <c r="AI187" s="76">
        <f t="shared" ca="1" si="266"/>
        <v>77.223011216917456</v>
      </c>
      <c r="AJ187" s="76">
        <f t="shared" ca="1" si="266"/>
        <v>94.37339884559718</v>
      </c>
      <c r="AK187" s="76">
        <f t="shared" ca="1" si="266"/>
        <v>115.02297707071151</v>
      </c>
      <c r="AL187" s="76">
        <f t="shared" ca="1" si="266"/>
        <v>137.48239474809233</v>
      </c>
      <c r="AM187" s="76">
        <f t="shared" ref="AM187:AN187" ca="1" si="267">+AM183/AM186</f>
        <v>165.40050734600086</v>
      </c>
      <c r="AN187" s="76">
        <f t="shared" ca="1" si="267"/>
        <v>196.56827097418159</v>
      </c>
      <c r="AO187" s="47"/>
      <c r="AP187" s="64">
        <f ca="1">(AM187/AC187)^(1/10)-1</f>
        <v>0.19049077151447169</v>
      </c>
      <c r="AQ187" s="64">
        <f ca="1">(AC187/Q187)^(1/12)-1</f>
        <v>0.28755151537250834</v>
      </c>
    </row>
    <row r="188" spans="1:43">
      <c r="A188" s="99" t="s">
        <v>186</v>
      </c>
      <c r="D188" t="s">
        <v>114</v>
      </c>
      <c r="G188" s="75"/>
      <c r="H188" s="75"/>
      <c r="I188" s="77"/>
      <c r="J188" s="77"/>
      <c r="K188" s="77"/>
      <c r="L188" s="77" t="str">
        <f>IFERROR(L187/K187-1,"na")</f>
        <v>na</v>
      </c>
      <c r="M188" s="77">
        <f t="shared" ref="M188:AA190" si="268">IFERROR(M187/L187-1,"na")</f>
        <v>-3.3247084258361901</v>
      </c>
      <c r="N188" s="77">
        <f t="shared" si="268"/>
        <v>-9.8268420461329296</v>
      </c>
      <c r="O188" s="77">
        <f t="shared" si="268"/>
        <v>0.34959495949594754</v>
      </c>
      <c r="P188" s="77">
        <f t="shared" si="268"/>
        <v>-0.31812725090036076</v>
      </c>
      <c r="Q188" s="77">
        <f t="shared" si="268"/>
        <v>1.8883020344288028</v>
      </c>
      <c r="R188" s="77">
        <f t="shared" si="268"/>
        <v>4.3225194717236581</v>
      </c>
      <c r="S188" s="77">
        <f t="shared" si="268"/>
        <v>-0.41023324468423539</v>
      </c>
      <c r="T188" s="77">
        <f t="shared" si="268"/>
        <v>6.0951928885824014E-3</v>
      </c>
      <c r="U188" s="77">
        <f t="shared" si="268"/>
        <v>0.1055425097307563</v>
      </c>
      <c r="V188" s="77">
        <f t="shared" si="268"/>
        <v>0.72048611111111205</v>
      </c>
      <c r="W188" s="77">
        <f t="shared" si="268"/>
        <v>0.16537102075100529</v>
      </c>
      <c r="X188" s="77">
        <f t="shared" si="268"/>
        <v>7.3411892184747307E-2</v>
      </c>
      <c r="Y188" s="77">
        <f t="shared" si="268"/>
        <v>0.70932852636322674</v>
      </c>
      <c r="Z188" s="77">
        <f t="shared" si="268"/>
        <v>-0.12602161877142093</v>
      </c>
      <c r="AA188" s="77">
        <f t="shared" si="268"/>
        <v>0.31523378582202111</v>
      </c>
      <c r="AB188" s="77">
        <f t="shared" ref="AB188" si="269">IFERROR(AB187/AA187-1,"na")</f>
        <v>-0.28669724770642202</v>
      </c>
      <c r="AC188" s="77">
        <f t="shared" ref="AC188" ca="1" si="270">IFERROR(AC187/AB187-1,"na")</f>
        <v>0.97096281102485005</v>
      </c>
      <c r="AD188" s="77">
        <f t="shared" ref="AD188" ca="1" si="271">IFERROR(AD187/AC187-1,"na")</f>
        <v>-0.1557930580819854</v>
      </c>
      <c r="AE188" s="77">
        <f t="shared" ref="AE188" ca="1" si="272">IFERROR(AE187/AD187-1,"na")</f>
        <v>0.22006989022313328</v>
      </c>
      <c r="AF188" s="77">
        <f t="shared" ref="AF188" ca="1" si="273">IFERROR(AF187/AE187-1,"na")</f>
        <v>0.26468543693075275</v>
      </c>
      <c r="AG188" s="77">
        <f t="shared" ref="AG188" ca="1" si="274">IFERROR(AG187/AF187-1,"na")</f>
        <v>0.28186788735648394</v>
      </c>
      <c r="AH188" s="77">
        <f t="shared" ref="AH188" ca="1" si="275">IFERROR(AH187/AG187-1,"na")</f>
        <v>0.28508577960406756</v>
      </c>
      <c r="AI188" s="77">
        <f t="shared" ref="AI188" ca="1" si="276">IFERROR(AI187/AH187-1,"na")</f>
        <v>0.24416704837861958</v>
      </c>
      <c r="AJ188" s="77">
        <f t="shared" ref="AJ188" ca="1" si="277">IFERROR(AJ187/AI187-1,"na")</f>
        <v>0.22208908145921336</v>
      </c>
      <c r="AK188" s="77">
        <f t="shared" ref="AK188:AL188" ca="1" si="278">IFERROR(AK187/AJ187-1,"na")</f>
        <v>0.21880719013732652</v>
      </c>
      <c r="AL188" s="77">
        <f t="shared" ca="1" si="278"/>
        <v>0.19526027102892396</v>
      </c>
      <c r="AM188" s="77">
        <f t="shared" ref="AM188" ca="1" si="279">IFERROR(AM187/AL187-1,"na")</f>
        <v>0.20306681920301584</v>
      </c>
      <c r="AN188" s="77">
        <f t="shared" ref="AN188" ca="1" si="280">IFERROR(AN187/AM187-1,"na")</f>
        <v>0.18843813799785369</v>
      </c>
      <c r="AO188" s="47"/>
      <c r="AP188" s="48"/>
    </row>
    <row r="189" spans="1:43">
      <c r="A189" s="99" t="s">
        <v>115</v>
      </c>
      <c r="D189" t="s">
        <v>115</v>
      </c>
      <c r="G189" s="51"/>
      <c r="H189" s="51"/>
      <c r="I189" s="75"/>
      <c r="J189" s="75"/>
      <c r="K189" s="75"/>
      <c r="L189" s="75">
        <f t="shared" ref="L189:Z189" si="281">+L279</f>
        <v>0</v>
      </c>
      <c r="M189" s="75">
        <f t="shared" si="281"/>
        <v>0</v>
      </c>
      <c r="N189" s="75">
        <f t="shared" si="281"/>
        <v>0</v>
      </c>
      <c r="O189" s="75">
        <f t="shared" si="281"/>
        <v>0</v>
      </c>
      <c r="P189" s="75">
        <f t="shared" si="281"/>
        <v>0</v>
      </c>
      <c r="Q189" s="75">
        <f t="shared" si="281"/>
        <v>0</v>
      </c>
      <c r="R189" s="75">
        <f t="shared" si="281"/>
        <v>0</v>
      </c>
      <c r="S189" s="75">
        <f t="shared" si="281"/>
        <v>0</v>
      </c>
      <c r="T189" s="75">
        <f t="shared" si="281"/>
        <v>0</v>
      </c>
      <c r="U189" s="75">
        <f t="shared" si="281"/>
        <v>0</v>
      </c>
      <c r="V189" s="75">
        <f t="shared" si="281"/>
        <v>0</v>
      </c>
      <c r="W189" s="75">
        <f t="shared" si="281"/>
        <v>0</v>
      </c>
      <c r="X189" s="75">
        <f t="shared" si="281"/>
        <v>0</v>
      </c>
      <c r="Y189" s="75">
        <f t="shared" si="281"/>
        <v>0</v>
      </c>
      <c r="Z189" s="75">
        <f t="shared" si="281"/>
        <v>0</v>
      </c>
      <c r="AA189" s="75">
        <f>+AA279</f>
        <v>0</v>
      </c>
      <c r="AB189" s="75">
        <f t="shared" ref="AB189:AK189" si="282">+AB279</f>
        <v>0</v>
      </c>
      <c r="AC189" s="75">
        <f t="shared" si="282"/>
        <v>0</v>
      </c>
      <c r="AD189" s="75">
        <f t="shared" si="282"/>
        <v>0</v>
      </c>
      <c r="AE189" s="75">
        <f t="shared" si="282"/>
        <v>0</v>
      </c>
      <c r="AF189" s="75">
        <f t="shared" si="282"/>
        <v>0</v>
      </c>
      <c r="AG189" s="75">
        <f t="shared" si="282"/>
        <v>0</v>
      </c>
      <c r="AH189" s="75">
        <f t="shared" si="282"/>
        <v>0</v>
      </c>
      <c r="AI189" s="75">
        <f t="shared" si="282"/>
        <v>0</v>
      </c>
      <c r="AJ189" s="75">
        <f t="shared" si="282"/>
        <v>0</v>
      </c>
      <c r="AK189" s="75">
        <f t="shared" si="282"/>
        <v>0</v>
      </c>
      <c r="AL189" s="75">
        <f t="shared" ref="AL189" si="283">+AL279</f>
        <v>0</v>
      </c>
      <c r="AM189" s="75">
        <f t="shared" ref="AM189:AN189" si="284">+AM279</f>
        <v>0</v>
      </c>
      <c r="AN189" s="75">
        <f t="shared" si="284"/>
        <v>0</v>
      </c>
      <c r="AO189" s="6"/>
      <c r="AP189" s="48"/>
    </row>
    <row r="190" spans="1:43">
      <c r="A190" s="99" t="s">
        <v>187</v>
      </c>
      <c r="D190" t="s">
        <v>116</v>
      </c>
      <c r="G190" s="77"/>
      <c r="H190" s="77"/>
      <c r="I190" s="77"/>
      <c r="J190" s="77"/>
      <c r="K190" s="77"/>
      <c r="L190" s="77" t="str">
        <f t="shared" ref="L190" si="285">IFERROR(L189/K189-1,"na")</f>
        <v>na</v>
      </c>
      <c r="M190" s="77" t="str">
        <f t="shared" ref="M190" si="286">IFERROR(M189/L189-1,"na")</f>
        <v>na</v>
      </c>
      <c r="N190" s="77" t="str">
        <f t="shared" ref="N190" si="287">IFERROR(N189/M189-1,"na")</f>
        <v>na</v>
      </c>
      <c r="O190" s="77" t="str">
        <f t="shared" ref="O190" si="288">IFERROR(O189/N189-1,"na")</f>
        <v>na</v>
      </c>
      <c r="P190" s="77" t="str">
        <f t="shared" ref="P190" si="289">IFERROR(P189/O189-1,"na")</f>
        <v>na</v>
      </c>
      <c r="Q190" s="77" t="str">
        <f t="shared" ref="Q190" si="290">IFERROR(Q189/P189-1,"na")</f>
        <v>na</v>
      </c>
      <c r="R190" s="77" t="str">
        <f t="shared" ref="R190" si="291">IFERROR(R189/Q189-1,"na")</f>
        <v>na</v>
      </c>
      <c r="S190" s="77" t="str">
        <f t="shared" ref="S190" si="292">IFERROR(S189/R189-1,"na")</f>
        <v>na</v>
      </c>
      <c r="T190" s="77" t="str">
        <f t="shared" ref="T190" si="293">IFERROR(T189/S189-1,"na")</f>
        <v>na</v>
      </c>
      <c r="U190" s="77" t="str">
        <f t="shared" ref="U190" si="294">IFERROR(U189/T189-1,"na")</f>
        <v>na</v>
      </c>
      <c r="V190" s="77" t="str">
        <f t="shared" ref="V190" si="295">IFERROR(V189/U189-1,"na")</f>
        <v>na</v>
      </c>
      <c r="W190" s="77" t="str">
        <f t="shared" ref="W190" si="296">IFERROR(W189/V189-1,"na")</f>
        <v>na</v>
      </c>
      <c r="X190" s="77" t="str">
        <f t="shared" ref="X190" si="297">IFERROR(X189/W189-1,"na")</f>
        <v>na</v>
      </c>
      <c r="Y190" s="77" t="str">
        <f t="shared" ref="Y190" si="298">IFERROR(Y189/X189-1,"na")</f>
        <v>na</v>
      </c>
      <c r="Z190" s="77" t="str">
        <f t="shared" ref="Z190" si="299">IFERROR(Z189/Y189-1,"na")</f>
        <v>na</v>
      </c>
      <c r="AA190" s="77" t="str">
        <f t="shared" si="268"/>
        <v>na</v>
      </c>
      <c r="AB190" s="77" t="str">
        <f t="shared" ref="AB190" si="300">IFERROR(AB189/AA189-1,"na")</f>
        <v>na</v>
      </c>
      <c r="AC190" s="77" t="str">
        <f t="shared" ref="AC190" si="301">IFERROR(AC189/AB189-1,"na")</f>
        <v>na</v>
      </c>
      <c r="AD190" s="77" t="str">
        <f t="shared" ref="AD190" si="302">IFERROR(AD189/AC189-1,"na")</f>
        <v>na</v>
      </c>
      <c r="AE190" s="77" t="str">
        <f t="shared" ref="AE190" si="303">IFERROR(AE189/AD189-1,"na")</f>
        <v>na</v>
      </c>
      <c r="AF190" s="77" t="str">
        <f t="shared" ref="AF190" si="304">IFERROR(AF189/AE189-1,"na")</f>
        <v>na</v>
      </c>
      <c r="AG190" s="77" t="str">
        <f t="shared" ref="AG190" si="305">IFERROR(AG189/AF189-1,"na")</f>
        <v>na</v>
      </c>
      <c r="AH190" s="77" t="str">
        <f t="shared" ref="AH190" si="306">IFERROR(AH189/AG189-1,"na")</f>
        <v>na</v>
      </c>
      <c r="AI190" s="77" t="str">
        <f t="shared" ref="AI190" si="307">IFERROR(AI189/AH189-1,"na")</f>
        <v>na</v>
      </c>
      <c r="AJ190" s="77" t="str">
        <f t="shared" ref="AJ190" si="308">IFERROR(AJ189/AI189-1,"na")</f>
        <v>na</v>
      </c>
      <c r="AK190" s="77" t="str">
        <f t="shared" ref="AK190:AL190" si="309">IFERROR(AK189/AJ189-1,"na")</f>
        <v>na</v>
      </c>
      <c r="AL190" s="77" t="str">
        <f t="shared" si="309"/>
        <v>na</v>
      </c>
      <c r="AM190" s="77" t="str">
        <f t="shared" ref="AM190" si="310">IFERROR(AM189/AL189-1,"na")</f>
        <v>na</v>
      </c>
      <c r="AN190" s="77" t="str">
        <f t="shared" ref="AN190" si="311">IFERROR(AN189/AM189-1,"na")</f>
        <v>na</v>
      </c>
      <c r="AO190" s="6"/>
    </row>
    <row r="191" spans="1:43">
      <c r="A191" s="99" t="s">
        <v>188</v>
      </c>
      <c r="D191" t="s">
        <v>117</v>
      </c>
      <c r="G191" s="62"/>
      <c r="H191" s="62"/>
      <c r="I191" s="62"/>
      <c r="J191" s="62"/>
      <c r="K191" s="62"/>
      <c r="L191" s="62">
        <f t="shared" ref="L191:Z191" si="312">+L189/L187</f>
        <v>0</v>
      </c>
      <c r="M191" s="62">
        <f t="shared" si="312"/>
        <v>0</v>
      </c>
      <c r="N191" s="62">
        <f t="shared" si="312"/>
        <v>0</v>
      </c>
      <c r="O191" s="62">
        <f t="shared" si="312"/>
        <v>0</v>
      </c>
      <c r="P191" s="62">
        <f t="shared" si="312"/>
        <v>0</v>
      </c>
      <c r="Q191" s="62">
        <f t="shared" si="312"/>
        <v>0</v>
      </c>
      <c r="R191" s="62">
        <f t="shared" si="312"/>
        <v>0</v>
      </c>
      <c r="S191" s="62">
        <f t="shared" si="312"/>
        <v>0</v>
      </c>
      <c r="T191" s="62">
        <f t="shared" si="312"/>
        <v>0</v>
      </c>
      <c r="U191" s="62">
        <f t="shared" si="312"/>
        <v>0</v>
      </c>
      <c r="V191" s="62">
        <f t="shared" si="312"/>
        <v>0</v>
      </c>
      <c r="W191" s="62">
        <f t="shared" si="312"/>
        <v>0</v>
      </c>
      <c r="X191" s="62">
        <f t="shared" si="312"/>
        <v>0</v>
      </c>
      <c r="Y191" s="62">
        <f t="shared" si="312"/>
        <v>0</v>
      </c>
      <c r="Z191" s="62">
        <f t="shared" si="312"/>
        <v>0</v>
      </c>
      <c r="AA191" s="62">
        <f>+AA189/AA187</f>
        <v>0</v>
      </c>
      <c r="AB191" s="62">
        <f t="shared" ref="AB191:AK191" si="313">+AB189/AB187</f>
        <v>0</v>
      </c>
      <c r="AC191" s="62">
        <f t="shared" ca="1" si="313"/>
        <v>0</v>
      </c>
      <c r="AD191" s="62">
        <f t="shared" ca="1" si="313"/>
        <v>0</v>
      </c>
      <c r="AE191" s="62">
        <f t="shared" ca="1" si="313"/>
        <v>0</v>
      </c>
      <c r="AF191" s="62">
        <f t="shared" ca="1" si="313"/>
        <v>0</v>
      </c>
      <c r="AG191" s="62">
        <f t="shared" ca="1" si="313"/>
        <v>0</v>
      </c>
      <c r="AH191" s="62">
        <f t="shared" ca="1" si="313"/>
        <v>0</v>
      </c>
      <c r="AI191" s="62">
        <f t="shared" ca="1" si="313"/>
        <v>0</v>
      </c>
      <c r="AJ191" s="62">
        <f t="shared" ca="1" si="313"/>
        <v>0</v>
      </c>
      <c r="AK191" s="62">
        <f t="shared" ca="1" si="313"/>
        <v>0</v>
      </c>
      <c r="AL191" s="62">
        <f t="shared" ref="AL191" ca="1" si="314">+AL189/AL187</f>
        <v>0</v>
      </c>
      <c r="AM191" s="62">
        <f t="shared" ref="AM191:AN191" ca="1" si="315">+AM189/AM187</f>
        <v>0</v>
      </c>
      <c r="AN191" s="62">
        <f t="shared" ca="1" si="315"/>
        <v>0</v>
      </c>
      <c r="AO191" s="65"/>
    </row>
    <row r="192" spans="1:43">
      <c r="G192" s="6"/>
      <c r="H192" s="6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6"/>
    </row>
    <row r="193" spans="1:44">
      <c r="C193" s="94"/>
      <c r="D193" s="95" t="s">
        <v>118</v>
      </c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14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</row>
    <row r="194" spans="1:44" ht="5.15" customHeight="1"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6"/>
      <c r="AP194" s="1"/>
    </row>
    <row r="195" spans="1:44">
      <c r="D195" t="s">
        <v>106</v>
      </c>
      <c r="G195" s="6"/>
      <c r="H195" s="6"/>
      <c r="I195" s="6"/>
      <c r="J195" s="6"/>
      <c r="K195" s="6"/>
      <c r="L195" s="6">
        <f t="shared" ref="L195:Z195" si="316">+L179</f>
        <v>0.52100000000000335</v>
      </c>
      <c r="M195" s="6">
        <f t="shared" si="316"/>
        <v>-1.2360000000000193</v>
      </c>
      <c r="N195" s="6">
        <f t="shared" si="316"/>
        <v>11.110000000000019</v>
      </c>
      <c r="O195" s="6">
        <f t="shared" si="316"/>
        <v>14.994000000000002</v>
      </c>
      <c r="P195" s="6">
        <f t="shared" si="316"/>
        <v>10.223999999999991</v>
      </c>
      <c r="Q195" s="6">
        <f t="shared" si="316"/>
        <v>29.530000000000058</v>
      </c>
      <c r="R195" s="6">
        <f t="shared" si="316"/>
        <v>157.17399999999992</v>
      </c>
      <c r="S195" s="6">
        <f t="shared" si="316"/>
        <v>92.695999999999941</v>
      </c>
      <c r="T195" s="6">
        <f t="shared" si="316"/>
        <v>93.260999999999981</v>
      </c>
      <c r="U195" s="6">
        <f t="shared" si="316"/>
        <v>103.10400000000004</v>
      </c>
      <c r="V195" s="6">
        <f t="shared" si="316"/>
        <v>177.38900000000018</v>
      </c>
      <c r="W195" s="6">
        <f t="shared" si="316"/>
        <v>206.72400000000025</v>
      </c>
      <c r="X195" s="6">
        <f t="shared" si="316"/>
        <v>221.9</v>
      </c>
      <c r="Y195" s="6">
        <f t="shared" si="316"/>
        <v>379.29999999999995</v>
      </c>
      <c r="Z195" s="6">
        <f t="shared" si="316"/>
        <v>331.5</v>
      </c>
      <c r="AA195" s="6">
        <f t="shared" ref="AA195:AB195" si="317">+AA179</f>
        <v>436</v>
      </c>
      <c r="AB195" s="6">
        <f t="shared" si="317"/>
        <v>169</v>
      </c>
      <c r="AC195" s="6">
        <f t="shared" ref="AC195:AL195" ca="1" si="318">+AC179</f>
        <v>671.18511793482264</v>
      </c>
      <c r="AD195" s="6">
        <f t="shared" ca="1" si="318"/>
        <v>623.8671537887069</v>
      </c>
      <c r="AE195" s="6">
        <f t="shared" ca="1" si="318"/>
        <v>766.6808095454727</v>
      </c>
      <c r="AF195" s="6">
        <f t="shared" ca="1" si="318"/>
        <v>965.73785139430038</v>
      </c>
      <c r="AG195" s="6">
        <f t="shared" ca="1" si="318"/>
        <v>1222.0718076312062</v>
      </c>
      <c r="AH195" s="6">
        <f t="shared" ca="1" si="318"/>
        <v>1547.8996881291905</v>
      </c>
      <c r="AI195" s="6">
        <f t="shared" ca="1" si="318"/>
        <v>1916.4891228217066</v>
      </c>
      <c r="AJ195" s="6">
        <f t="shared" ca="1" si="318"/>
        <v>2330.8014740000131</v>
      </c>
      <c r="AK195" s="6">
        <f t="shared" ca="1" si="318"/>
        <v>2823.0588639887069</v>
      </c>
      <c r="AL195" s="6">
        <f t="shared" ca="1" si="318"/>
        <v>3365.4798732593235</v>
      </c>
      <c r="AM195" s="6">
        <f t="shared" ref="AM195:AN195" ca="1" si="319">+AM179</f>
        <v>3957.1073939212802</v>
      </c>
      <c r="AN195" s="6">
        <f t="shared" ca="1" si="319"/>
        <v>4617.5999918807811</v>
      </c>
      <c r="AO195" s="6"/>
    </row>
    <row r="196" spans="1:44">
      <c r="D196" s="61" t="s">
        <v>7</v>
      </c>
      <c r="G196" s="6"/>
      <c r="H196" s="6"/>
      <c r="I196" s="63"/>
      <c r="J196" s="63"/>
      <c r="K196" s="63"/>
      <c r="L196" s="63">
        <f t="shared" ref="L196:Y196" si="320">-SUM(L166)</f>
        <v>14.717000000000001</v>
      </c>
      <c r="M196" s="63">
        <f t="shared" si="320"/>
        <v>20.033000000000001</v>
      </c>
      <c r="N196" s="63">
        <f t="shared" si="320"/>
        <v>25.481000000000002</v>
      </c>
      <c r="O196" s="63">
        <f t="shared" si="320"/>
        <v>46.277000000000001</v>
      </c>
      <c r="P196" s="63">
        <f t="shared" si="320"/>
        <v>64.399000000000001</v>
      </c>
      <c r="Q196" s="63">
        <f t="shared" si="320"/>
        <v>74.679000000000002</v>
      </c>
      <c r="R196" s="63">
        <f t="shared" si="320"/>
        <v>84.518000000000001</v>
      </c>
      <c r="S196" s="63">
        <f t="shared" si="320"/>
        <v>92.699999999999989</v>
      </c>
      <c r="T196" s="63">
        <f t="shared" si="320"/>
        <v>129</v>
      </c>
      <c r="U196" s="63">
        <f t="shared" si="320"/>
        <v>189.7</v>
      </c>
      <c r="V196" s="63">
        <f t="shared" si="320"/>
        <v>197.5</v>
      </c>
      <c r="W196" s="63">
        <f t="shared" si="320"/>
        <v>213</v>
      </c>
      <c r="X196" s="63">
        <f t="shared" si="320"/>
        <v>253.1</v>
      </c>
      <c r="Y196" s="63">
        <f t="shared" si="320"/>
        <v>305.8</v>
      </c>
      <c r="Z196" s="63">
        <f>-SUM(Z166)</f>
        <v>423</v>
      </c>
      <c r="AA196" s="63">
        <f>-SUM(AA166)</f>
        <v>508</v>
      </c>
      <c r="AB196" s="63">
        <f t="shared" ref="AB196:AB197" si="321">-SUM(AB166)</f>
        <v>639</v>
      </c>
      <c r="AC196" s="63">
        <f t="shared" ref="AC196:AD196" si="322">-SUM(AC166)</f>
        <v>837.49434389140276</v>
      </c>
      <c r="AD196" s="63">
        <f t="shared" si="322"/>
        <v>1107.5574908653848</v>
      </c>
      <c r="AE196" s="63">
        <f t="shared" ref="AE196:AL196" si="323">-SUM(AE166)</f>
        <v>1327.2401494615387</v>
      </c>
      <c r="AF196" s="63">
        <f t="shared" si="323"/>
        <v>1547.0755484077795</v>
      </c>
      <c r="AG196" s="63">
        <f t="shared" si="323"/>
        <v>1760.5227013193016</v>
      </c>
      <c r="AH196" s="63">
        <f t="shared" si="323"/>
        <v>1959.1946955562244</v>
      </c>
      <c r="AI196" s="63">
        <f t="shared" si="323"/>
        <v>2177.5828372290775</v>
      </c>
      <c r="AJ196" s="63">
        <f t="shared" si="323"/>
        <v>2397.2607715428981</v>
      </c>
      <c r="AK196" s="63">
        <f t="shared" si="323"/>
        <v>2581.3568221497826</v>
      </c>
      <c r="AL196" s="63">
        <f t="shared" si="323"/>
        <v>2753.3406320551412</v>
      </c>
      <c r="AM196" s="63">
        <f t="shared" ref="AM196:AN196" si="324">-SUM(AM166)</f>
        <v>2902.0525914774935</v>
      </c>
      <c r="AN196" s="63">
        <f t="shared" si="324"/>
        <v>3017.6865317572638</v>
      </c>
      <c r="AO196" s="6"/>
    </row>
    <row r="197" spans="1:44">
      <c r="D197" s="61" t="s">
        <v>226</v>
      </c>
      <c r="G197" s="6"/>
      <c r="H197" s="6"/>
      <c r="I197" s="63"/>
      <c r="J197" s="63"/>
      <c r="K197" s="63"/>
      <c r="L197" s="63">
        <f t="shared" ref="L197:Y197" si="325">-SUM(L167)</f>
        <v>0</v>
      </c>
      <c r="M197" s="63">
        <f t="shared" si="325"/>
        <v>0</v>
      </c>
      <c r="N197" s="63">
        <f t="shared" si="325"/>
        <v>0</v>
      </c>
      <c r="O197" s="63">
        <f t="shared" si="325"/>
        <v>0</v>
      </c>
      <c r="P197" s="63">
        <f t="shared" si="325"/>
        <v>0</v>
      </c>
      <c r="Q197" s="63">
        <f t="shared" si="325"/>
        <v>0.48899999999999999</v>
      </c>
      <c r="R197" s="63">
        <f t="shared" si="325"/>
        <v>0.48899999999999999</v>
      </c>
      <c r="S197" s="63">
        <f t="shared" si="325"/>
        <v>0</v>
      </c>
      <c r="T197" s="63">
        <f t="shared" si="325"/>
        <v>0</v>
      </c>
      <c r="U197" s="63">
        <f t="shared" si="325"/>
        <v>0</v>
      </c>
      <c r="V197" s="63">
        <f t="shared" si="325"/>
        <v>0</v>
      </c>
      <c r="W197" s="63">
        <f t="shared" si="325"/>
        <v>0</v>
      </c>
      <c r="X197" s="63">
        <f t="shared" si="325"/>
        <v>0</v>
      </c>
      <c r="Y197" s="63">
        <f t="shared" si="325"/>
        <v>0</v>
      </c>
      <c r="Z197" s="63">
        <f>-SUM(Z167)</f>
        <v>0</v>
      </c>
      <c r="AA197" s="63">
        <f>-SUM(AA167)</f>
        <v>12</v>
      </c>
      <c r="AB197" s="63">
        <f t="shared" si="321"/>
        <v>12</v>
      </c>
      <c r="AC197" s="63">
        <f t="shared" ref="AC197:AD197" si="326">-SUM(AC167)</f>
        <v>0</v>
      </c>
      <c r="AD197" s="63">
        <f t="shared" si="326"/>
        <v>0</v>
      </c>
      <c r="AE197" s="63">
        <f t="shared" ref="AE197:AL197" si="327">-SUM(AE167)</f>
        <v>0</v>
      </c>
      <c r="AF197" s="63">
        <f t="shared" si="327"/>
        <v>0</v>
      </c>
      <c r="AG197" s="63">
        <f t="shared" si="327"/>
        <v>0</v>
      </c>
      <c r="AH197" s="63">
        <f t="shared" si="327"/>
        <v>0</v>
      </c>
      <c r="AI197" s="63">
        <f t="shared" si="327"/>
        <v>0</v>
      </c>
      <c r="AJ197" s="63">
        <f t="shared" si="327"/>
        <v>0</v>
      </c>
      <c r="AK197" s="63">
        <f t="shared" si="327"/>
        <v>0</v>
      </c>
      <c r="AL197" s="63">
        <f t="shared" si="327"/>
        <v>0</v>
      </c>
      <c r="AM197" s="63">
        <f t="shared" ref="AM197:AN197" si="328">-SUM(AM167)</f>
        <v>0</v>
      </c>
      <c r="AN197" s="63">
        <f t="shared" si="328"/>
        <v>0</v>
      </c>
      <c r="AO197" s="6"/>
    </row>
    <row r="198" spans="1:44">
      <c r="A198" s="99" t="s">
        <v>119</v>
      </c>
      <c r="D198" s="61" t="s">
        <v>119</v>
      </c>
      <c r="G198" s="6"/>
      <c r="H198" s="6"/>
      <c r="I198" s="67"/>
      <c r="J198" s="67"/>
      <c r="K198" s="67"/>
      <c r="L198" s="67">
        <v>0.13800000000000001</v>
      </c>
      <c r="M198" s="67">
        <v>-0.27100000000000002</v>
      </c>
      <c r="N198" s="67">
        <v>-0.315</v>
      </c>
      <c r="O198" s="67">
        <v>-3.1850000000000001</v>
      </c>
      <c r="P198" s="67">
        <v>-8.3979999999999997</v>
      </c>
      <c r="Q198" s="67">
        <f>4.397-19.695</f>
        <v>-15.298</v>
      </c>
      <c r="R198" s="67">
        <f>-75.203-15.249</f>
        <v>-90.451999999999998</v>
      </c>
      <c r="S198" s="67">
        <f>18.05-23.77</f>
        <v>-5.7199999999999989</v>
      </c>
      <c r="T198" s="67">
        <f>25.115-23.988</f>
        <v>1.1269999999999989</v>
      </c>
      <c r="U198" s="67">
        <f>51.773-21.367</f>
        <v>30.406000000000002</v>
      </c>
      <c r="V198" s="67">
        <f>67.051-69.701</f>
        <v>-2.6499999999999915</v>
      </c>
      <c r="W198" s="67">
        <f>79.615-45.019</f>
        <v>34.595999999999997</v>
      </c>
      <c r="X198" s="67">
        <f>98.9-100.8</f>
        <v>-1.8999999999999915</v>
      </c>
      <c r="Y198" s="67">
        <f>106.1-135.3</f>
        <v>-29.200000000000017</v>
      </c>
      <c r="Z198" s="67">
        <f>123-140</f>
        <v>-17</v>
      </c>
      <c r="AA198" s="67">
        <f>167-162</f>
        <v>5</v>
      </c>
      <c r="AB198" s="67">
        <f>206-257</f>
        <v>-51</v>
      </c>
      <c r="AC198" s="253">
        <f t="shared" ref="AC198:AJ198" ca="1" si="329">-AC177</f>
        <v>-209.74534935463208</v>
      </c>
      <c r="AD198" s="63">
        <f t="shared" ca="1" si="329"/>
        <v>0</v>
      </c>
      <c r="AE198" s="63">
        <f t="shared" ca="1" si="329"/>
        <v>0</v>
      </c>
      <c r="AF198" s="63">
        <f t="shared" ca="1" si="329"/>
        <v>0</v>
      </c>
      <c r="AG198" s="63">
        <f t="shared" ca="1" si="329"/>
        <v>0</v>
      </c>
      <c r="AH198" s="63">
        <f t="shared" ca="1" si="329"/>
        <v>0</v>
      </c>
      <c r="AI198" s="63">
        <f t="shared" ca="1" si="329"/>
        <v>0</v>
      </c>
      <c r="AJ198" s="63">
        <f t="shared" ca="1" si="329"/>
        <v>0</v>
      </c>
      <c r="AK198" s="63">
        <f ca="1">-AK177</f>
        <v>0</v>
      </c>
      <c r="AL198" s="63">
        <f t="shared" ref="AL198" ca="1" si="330">-AL177</f>
        <v>0</v>
      </c>
      <c r="AM198" s="63">
        <f t="shared" ref="AM198:AN198" ca="1" si="331">-AM177</f>
        <v>0</v>
      </c>
      <c r="AN198" s="63">
        <f t="shared" ca="1" si="331"/>
        <v>0</v>
      </c>
      <c r="AO198" s="6"/>
    </row>
    <row r="199" spans="1:44">
      <c r="D199" s="61" t="s">
        <v>120</v>
      </c>
      <c r="G199" s="6"/>
      <c r="H199" s="6"/>
      <c r="I199" s="67"/>
      <c r="J199" s="67"/>
      <c r="K199" s="67"/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  <c r="W199" s="67">
        <v>0</v>
      </c>
      <c r="X199" s="67">
        <v>0</v>
      </c>
      <c r="Y199" s="67">
        <v>0</v>
      </c>
      <c r="Z199" s="67">
        <v>0</v>
      </c>
      <c r="AA199" s="67">
        <v>0</v>
      </c>
      <c r="AB199" s="67">
        <v>0</v>
      </c>
      <c r="AC199" s="67">
        <v>0</v>
      </c>
      <c r="AD199" s="67">
        <v>0</v>
      </c>
      <c r="AE199" s="67">
        <v>0</v>
      </c>
      <c r="AF199" s="67">
        <v>0</v>
      </c>
      <c r="AG199" s="67">
        <v>0</v>
      </c>
      <c r="AH199" s="67">
        <v>0</v>
      </c>
      <c r="AI199" s="67">
        <v>0</v>
      </c>
      <c r="AJ199" s="67">
        <v>0</v>
      </c>
      <c r="AK199" s="67">
        <v>0</v>
      </c>
      <c r="AL199" s="67">
        <v>0</v>
      </c>
      <c r="AM199" s="67">
        <v>0</v>
      </c>
      <c r="AN199" s="67">
        <v>0</v>
      </c>
      <c r="AO199" s="6"/>
    </row>
    <row r="200" spans="1:44">
      <c r="A200" s="99"/>
      <c r="B200" s="3"/>
      <c r="D200" s="61" t="s">
        <v>121</v>
      </c>
      <c r="G200" s="67"/>
      <c r="H200" s="67"/>
      <c r="I200" s="63"/>
      <c r="J200" s="63"/>
      <c r="K200" s="63"/>
      <c r="L200" s="67">
        <f>4.528+0.232-0.658+1.621</f>
        <v>5.722999999999999</v>
      </c>
      <c r="M200" s="67">
        <f>10.093+0.4-0.286-0.66</f>
        <v>9.5470000000000006</v>
      </c>
      <c r="N200" s="67">
        <f>-0.161-1.369+2.3</f>
        <v>0.7699999999999998</v>
      </c>
      <c r="O200" s="67">
        <f>-0.153+0.413-0.423</f>
        <v>-0.16299999999999998</v>
      </c>
      <c r="P200" s="67">
        <f>-0.167+1.486+2.568</f>
        <v>3.887</v>
      </c>
      <c r="Q200" s="67">
        <f>-1.745+4.526</f>
        <v>2.7809999999999997</v>
      </c>
      <c r="R200" s="67">
        <v>3.3919999999999999</v>
      </c>
      <c r="S200" s="67">
        <f>0.839+0.822</f>
        <v>1.661</v>
      </c>
      <c r="T200" s="67">
        <f>-0.78-8.111-0.768</f>
        <v>-9.6590000000000007</v>
      </c>
      <c r="U200" s="67">
        <f>-0.83-2.246+10.528</f>
        <v>7.452</v>
      </c>
      <c r="V200" s="67">
        <f>22.244-1.07-15.743</f>
        <v>5.4309999999999992</v>
      </c>
      <c r="W200" s="67">
        <f>21.635-5.317+25.99</f>
        <v>42.308</v>
      </c>
      <c r="X200" s="67">
        <f>49.9-9.9+8.6</f>
        <v>48.6</v>
      </c>
      <c r="Y200" s="67">
        <f>55.2-68.5-3.1</f>
        <v>-16.399999999999999</v>
      </c>
      <c r="Z200" s="67">
        <f>52-45+11</f>
        <v>18</v>
      </c>
      <c r="AA200" s="67">
        <f>65-2+2+3</f>
        <v>68</v>
      </c>
      <c r="AB200" s="67">
        <f>132-2+1+295+60-48</f>
        <v>438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0</v>
      </c>
      <c r="AJ200" s="67">
        <v>0</v>
      </c>
      <c r="AK200" s="67">
        <v>0</v>
      </c>
      <c r="AL200" s="67">
        <v>0</v>
      </c>
      <c r="AM200" s="67">
        <v>0</v>
      </c>
      <c r="AN200" s="67">
        <v>0</v>
      </c>
      <c r="AO200" s="6"/>
    </row>
    <row r="201" spans="1:44" s="3" customFormat="1">
      <c r="A201" s="99"/>
      <c r="D201" s="2" t="s">
        <v>211</v>
      </c>
      <c r="E201" s="2"/>
      <c r="F201" s="2"/>
      <c r="G201" s="7"/>
      <c r="H201" s="7"/>
      <c r="I201" s="7"/>
      <c r="J201" s="7"/>
      <c r="K201" s="7"/>
      <c r="L201" s="7">
        <f t="shared" ref="L201:T201" si="332">SUM(L195:L200)</f>
        <v>21.099000000000004</v>
      </c>
      <c r="M201" s="7">
        <f t="shared" si="332"/>
        <v>28.072999999999983</v>
      </c>
      <c r="N201" s="7">
        <f t="shared" si="332"/>
        <v>37.046000000000028</v>
      </c>
      <c r="O201" s="7">
        <f t="shared" si="332"/>
        <v>57.923000000000002</v>
      </c>
      <c r="P201" s="7">
        <f t="shared" si="332"/>
        <v>70.111999999999995</v>
      </c>
      <c r="Q201" s="7">
        <f t="shared" si="332"/>
        <v>92.181000000000068</v>
      </c>
      <c r="R201" s="7">
        <f t="shared" si="332"/>
        <v>155.12099999999992</v>
      </c>
      <c r="S201" s="7">
        <f t="shared" si="332"/>
        <v>181.33699999999993</v>
      </c>
      <c r="T201" s="7">
        <f t="shared" si="332"/>
        <v>213.72899999999998</v>
      </c>
      <c r="U201" s="7">
        <f>SUM(U195:U200)</f>
        <v>330.66200000000003</v>
      </c>
      <c r="V201" s="7">
        <f t="shared" ref="V201:AL201" si="333">SUM(V195:V200)</f>
        <v>377.67000000000019</v>
      </c>
      <c r="W201" s="7">
        <f t="shared" si="333"/>
        <v>496.62800000000027</v>
      </c>
      <c r="X201" s="7">
        <f t="shared" si="333"/>
        <v>521.70000000000005</v>
      </c>
      <c r="Y201" s="7">
        <f t="shared" si="333"/>
        <v>639.49999999999989</v>
      </c>
      <c r="Z201" s="7">
        <f t="shared" si="333"/>
        <v>755.5</v>
      </c>
      <c r="AA201" s="7">
        <f t="shared" ref="AA201" si="334">SUM(AA195:AA200)</f>
        <v>1029</v>
      </c>
      <c r="AB201" s="7">
        <f t="shared" ref="AB201" si="335">SUM(AB195:AB200)</f>
        <v>1207</v>
      </c>
      <c r="AC201" s="7">
        <f t="shared" ca="1" si="333"/>
        <v>1298.9341124715934</v>
      </c>
      <c r="AD201" s="7">
        <f t="shared" ca="1" si="333"/>
        <v>1731.4246446540917</v>
      </c>
      <c r="AE201" s="7">
        <f t="shared" ca="1" si="333"/>
        <v>2093.9209590070113</v>
      </c>
      <c r="AF201" s="7">
        <f t="shared" ca="1" si="333"/>
        <v>2512.8133998020799</v>
      </c>
      <c r="AG201" s="7">
        <f t="shared" ca="1" si="333"/>
        <v>2982.5945089505076</v>
      </c>
      <c r="AH201" s="7">
        <f t="shared" ca="1" si="333"/>
        <v>3507.0943836854149</v>
      </c>
      <c r="AI201" s="7">
        <f t="shared" ca="1" si="333"/>
        <v>4094.0719600507841</v>
      </c>
      <c r="AJ201" s="7">
        <f t="shared" ca="1" si="333"/>
        <v>4728.0622455429111</v>
      </c>
      <c r="AK201" s="7">
        <f t="shared" ca="1" si="333"/>
        <v>5404.415686138489</v>
      </c>
      <c r="AL201" s="7">
        <f t="shared" ca="1" si="333"/>
        <v>6118.8205053144648</v>
      </c>
      <c r="AM201" s="7">
        <f t="shared" ref="AM201:AN201" ca="1" si="336">SUM(AM195:AM200)</f>
        <v>6859.1599853987736</v>
      </c>
      <c r="AN201" s="7">
        <f t="shared" ca="1" si="336"/>
        <v>7635.2865236380449</v>
      </c>
      <c r="AO201" s="55"/>
    </row>
    <row r="202" spans="1:44">
      <c r="A202" s="99" t="s">
        <v>122</v>
      </c>
      <c r="D202" s="61" t="s">
        <v>122</v>
      </c>
      <c r="G202" s="67"/>
      <c r="H202" s="67"/>
      <c r="I202" s="67"/>
      <c r="J202" s="67"/>
      <c r="K202" s="67"/>
      <c r="L202" s="67">
        <v>3.4670000000000001</v>
      </c>
      <c r="M202" s="67">
        <v>0.55600000000000005</v>
      </c>
      <c r="N202" s="67">
        <v>-2.6579999999999999</v>
      </c>
      <c r="O202" s="67">
        <v>4.8449999999999998</v>
      </c>
      <c r="P202" s="67">
        <v>11.414999999999999</v>
      </c>
      <c r="Q202" s="67">
        <v>10.55</v>
      </c>
      <c r="R202" s="67">
        <v>-15.896000000000001</v>
      </c>
      <c r="S202" s="67">
        <v>-17.39</v>
      </c>
      <c r="T202" s="67">
        <v>0.51900000000000002</v>
      </c>
      <c r="U202" s="67">
        <v>-1.7130000000000001</v>
      </c>
      <c r="V202" s="67">
        <v>3.08</v>
      </c>
      <c r="W202" s="67">
        <v>-16.495999999999999</v>
      </c>
      <c r="X202" s="67">
        <v>-15.1</v>
      </c>
      <c r="Y202" s="67">
        <v>13.6</v>
      </c>
      <c r="Z202" s="67">
        <v>-28</v>
      </c>
      <c r="AA202" s="67">
        <v>117</v>
      </c>
      <c r="AB202" s="67">
        <v>45</v>
      </c>
      <c r="AC202" s="63">
        <f t="shared" ref="AC202:AL202" si="337">-AC262</f>
        <v>-2.763559721950628</v>
      </c>
      <c r="AD202" s="63">
        <f t="shared" si="337"/>
        <v>-43.308759194903359</v>
      </c>
      <c r="AE202" s="63">
        <f t="shared" si="337"/>
        <v>-18.915389897697423</v>
      </c>
      <c r="AF202" s="63">
        <f t="shared" si="337"/>
        <v>10.262295310581976</v>
      </c>
      <c r="AG202" s="63">
        <f t="shared" si="337"/>
        <v>15.322439201903023</v>
      </c>
      <c r="AH202" s="63">
        <f t="shared" si="337"/>
        <v>19.089260893716869</v>
      </c>
      <c r="AI202" s="63">
        <f t="shared" si="337"/>
        <v>24.268121060020064</v>
      </c>
      <c r="AJ202" s="63">
        <f t="shared" si="337"/>
        <v>36.632494025688686</v>
      </c>
      <c r="AK202" s="63">
        <f t="shared" si="337"/>
        <v>48.140410767201615</v>
      </c>
      <c r="AL202" s="63">
        <f t="shared" si="337"/>
        <v>63.061251565048337</v>
      </c>
      <c r="AM202" s="63">
        <f t="shared" ref="AM202:AN202" si="338">-AM262</f>
        <v>80.684308251811672</v>
      </c>
      <c r="AN202" s="63">
        <f t="shared" si="338"/>
        <v>99.370032852190207</v>
      </c>
      <c r="AO202" s="6"/>
    </row>
    <row r="203" spans="1:44" s="3" customFormat="1">
      <c r="A203" s="99" t="s">
        <v>123</v>
      </c>
      <c r="D203" s="2" t="s">
        <v>123</v>
      </c>
      <c r="E203" s="2"/>
      <c r="F203" s="2"/>
      <c r="G203" s="7"/>
      <c r="H203" s="7"/>
      <c r="I203" s="7"/>
      <c r="J203" s="7"/>
      <c r="K203" s="7"/>
      <c r="L203" s="135">
        <f t="shared" ref="L203:Y203" si="339">SUM(L201:L202)</f>
        <v>24.566000000000003</v>
      </c>
      <c r="M203" s="135">
        <f t="shared" si="339"/>
        <v>28.628999999999984</v>
      </c>
      <c r="N203" s="135">
        <f t="shared" si="339"/>
        <v>34.388000000000027</v>
      </c>
      <c r="O203" s="135">
        <f t="shared" si="339"/>
        <v>62.768000000000001</v>
      </c>
      <c r="P203" s="135">
        <f t="shared" si="339"/>
        <v>81.526999999999987</v>
      </c>
      <c r="Q203" s="135">
        <f t="shared" si="339"/>
        <v>102.73100000000007</v>
      </c>
      <c r="R203" s="135">
        <f t="shared" si="339"/>
        <v>139.22499999999991</v>
      </c>
      <c r="S203" s="135">
        <f t="shared" si="339"/>
        <v>163.94699999999995</v>
      </c>
      <c r="T203" s="135">
        <f t="shared" si="339"/>
        <v>214.24799999999999</v>
      </c>
      <c r="U203" s="135">
        <f t="shared" si="339"/>
        <v>328.94900000000001</v>
      </c>
      <c r="V203" s="135">
        <f t="shared" si="339"/>
        <v>380.75000000000017</v>
      </c>
      <c r="W203" s="135">
        <f t="shared" si="339"/>
        <v>480.13200000000029</v>
      </c>
      <c r="X203" s="135">
        <f t="shared" si="339"/>
        <v>506.6</v>
      </c>
      <c r="Y203" s="135">
        <f t="shared" si="339"/>
        <v>653.09999999999991</v>
      </c>
      <c r="Z203" s="135">
        <f>SUM(Z201:Z202)</f>
        <v>727.5</v>
      </c>
      <c r="AA203" s="135">
        <f>SUM(AA201:AA202)</f>
        <v>1146</v>
      </c>
      <c r="AB203" s="135">
        <f>SUM(AB201:AB202)</f>
        <v>1252</v>
      </c>
      <c r="AC203" s="135">
        <f t="shared" ref="AC203:AL203" ca="1" si="340">SUM(AC201:AC202)</f>
        <v>1296.1705527496429</v>
      </c>
      <c r="AD203" s="135">
        <f t="shared" ca="1" si="340"/>
        <v>1688.1158854591883</v>
      </c>
      <c r="AE203" s="135">
        <f t="shared" ca="1" si="340"/>
        <v>2075.0055691093139</v>
      </c>
      <c r="AF203" s="135">
        <f t="shared" ca="1" si="340"/>
        <v>2523.0756951126618</v>
      </c>
      <c r="AG203" s="135">
        <f t="shared" ca="1" si="340"/>
        <v>2997.9169481524104</v>
      </c>
      <c r="AH203" s="135">
        <f t="shared" ca="1" si="340"/>
        <v>3526.1836445791319</v>
      </c>
      <c r="AI203" s="135">
        <f t="shared" ca="1" si="340"/>
        <v>4118.340081110804</v>
      </c>
      <c r="AJ203" s="135">
        <f t="shared" ca="1" si="340"/>
        <v>4764.6947395686002</v>
      </c>
      <c r="AK203" s="135">
        <f t="shared" ca="1" si="340"/>
        <v>5452.5560969056905</v>
      </c>
      <c r="AL203" s="135">
        <f t="shared" ca="1" si="340"/>
        <v>6181.881756879513</v>
      </c>
      <c r="AM203" s="135">
        <f t="shared" ref="AM203:AN203" ca="1" si="341">SUM(AM201:AM202)</f>
        <v>6939.8442936505853</v>
      </c>
      <c r="AN203" s="135">
        <f t="shared" ca="1" si="341"/>
        <v>7734.6565564902348</v>
      </c>
      <c r="AO203" s="55"/>
      <c r="AP203" s="64">
        <f ca="1">(AM203/AC203)^(1/10)-1</f>
        <v>0.18268409833034016</v>
      </c>
      <c r="AQ203" s="64">
        <f ca="1">(AC203/Q203)^(1/12)-1</f>
        <v>0.23522683940699873</v>
      </c>
      <c r="AR203" s="64"/>
    </row>
    <row r="204" spans="1:44">
      <c r="D204" t="s">
        <v>216</v>
      </c>
      <c r="G204" s="6"/>
      <c r="H204" s="6"/>
      <c r="I204" s="6"/>
      <c r="J204" s="6"/>
      <c r="K204" s="6"/>
      <c r="L204" s="137">
        <f>+L203/L186</f>
        <v>1.2046881129854847</v>
      </c>
      <c r="M204" s="137">
        <f t="shared" ref="M204:AL204" si="342">+M203/M186</f>
        <v>1.3757328207592496</v>
      </c>
      <c r="N204" s="137">
        <f t="shared" si="342"/>
        <v>1.6227237957806739</v>
      </c>
      <c r="O204" s="137">
        <f t="shared" si="342"/>
        <v>2.9619380950785525</v>
      </c>
      <c r="P204" s="137">
        <f t="shared" si="342"/>
        <v>3.8471502529548354</v>
      </c>
      <c r="Q204" s="137">
        <f t="shared" si="342"/>
        <v>4.8477386956015005</v>
      </c>
      <c r="R204" s="137">
        <f t="shared" si="342"/>
        <v>6.5698418188776317</v>
      </c>
      <c r="S204" s="137">
        <f t="shared" si="342"/>
        <v>7.7364399833329607</v>
      </c>
      <c r="T204" s="137">
        <f t="shared" si="342"/>
        <v>10.11007699774391</v>
      </c>
      <c r="U204" s="137">
        <f t="shared" si="342"/>
        <v>15.522664007742717</v>
      </c>
      <c r="V204" s="137">
        <f t="shared" si="342"/>
        <v>17.967084018945314</v>
      </c>
      <c r="W204" s="137">
        <f t="shared" si="342"/>
        <v>22.656787877043342</v>
      </c>
      <c r="X204" s="137">
        <f t="shared" si="342"/>
        <v>23.905777449764127</v>
      </c>
      <c r="Y204" s="137">
        <f t="shared" si="342"/>
        <v>30.818916803081226</v>
      </c>
      <c r="Z204" s="137">
        <f t="shared" si="342"/>
        <v>34.329753443946707</v>
      </c>
      <c r="AA204" s="137">
        <f t="shared" ref="AA204:AB204" si="343">+AA203/AA186</f>
        <v>54.078209548815025</v>
      </c>
      <c r="AB204" s="137">
        <f t="shared" si="343"/>
        <v>59.08020798875777</v>
      </c>
      <c r="AC204" s="137">
        <f t="shared" ca="1" si="342"/>
        <v>61.164557384466477</v>
      </c>
      <c r="AD204" s="137">
        <f t="shared" ca="1" si="342"/>
        <v>79.659934202919203</v>
      </c>
      <c r="AE204" s="137">
        <f t="shared" ca="1" si="342"/>
        <v>97.916741693936871</v>
      </c>
      <c r="AF204" s="137">
        <f t="shared" ca="1" si="342"/>
        <v>119.06057255482081</v>
      </c>
      <c r="AG204" s="137">
        <f t="shared" ca="1" si="342"/>
        <v>141.46769714845556</v>
      </c>
      <c r="AH204" s="137">
        <f t="shared" ca="1" si="342"/>
        <v>166.39589706732511</v>
      </c>
      <c r="AI204" s="137">
        <f t="shared" ca="1" si="342"/>
        <v>194.33896849877306</v>
      </c>
      <c r="AJ204" s="137">
        <f t="shared" ca="1" si="342"/>
        <v>224.83958164269404</v>
      </c>
      <c r="AK204" s="137">
        <f t="shared" ca="1" si="342"/>
        <v>257.29884047568487</v>
      </c>
      <c r="AL204" s="137">
        <f t="shared" ca="1" si="342"/>
        <v>291.71474437567804</v>
      </c>
      <c r="AM204" s="137">
        <f t="shared" ref="AM204:AN204" ca="1" si="344">+AM203/AM186</f>
        <v>327.48198424797948</v>
      </c>
      <c r="AN204" s="137">
        <f t="shared" ca="1" si="344"/>
        <v>364.98811348167095</v>
      </c>
      <c r="AO204" s="6"/>
      <c r="AP204" s="64">
        <f ca="1">(AM204/AC204)^(1/10)-1</f>
        <v>0.18268409833034016</v>
      </c>
      <c r="AQ204" s="64">
        <f ca="1">(AC204/Q204)^(1/12)-1</f>
        <v>0.23522683940699873</v>
      </c>
      <c r="AR204" s="64"/>
    </row>
    <row r="205" spans="1:44">
      <c r="G205" s="6"/>
      <c r="H205" s="6"/>
      <c r="I205" s="6"/>
      <c r="J205" s="6"/>
      <c r="K205" s="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63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6"/>
    </row>
    <row r="206" spans="1:44">
      <c r="A206" s="99" t="s">
        <v>124</v>
      </c>
      <c r="D206" t="s">
        <v>124</v>
      </c>
      <c r="G206" s="67"/>
      <c r="H206" s="67"/>
      <c r="I206" s="67"/>
      <c r="J206" s="67"/>
      <c r="K206" s="67"/>
      <c r="L206" s="67">
        <v>-3.4630000000000001</v>
      </c>
      <c r="M206" s="67">
        <v>-2.2549999999999999</v>
      </c>
      <c r="N206" s="67">
        <v>-2.9969999999999999</v>
      </c>
      <c r="O206" s="67">
        <v>-2.7709999999999999</v>
      </c>
      <c r="P206" s="67">
        <v>-3.5059999999999998</v>
      </c>
      <c r="Q206" s="67">
        <v>-7.0919999999999996</v>
      </c>
      <c r="R206" s="67">
        <v>-7.35</v>
      </c>
      <c r="S206" s="67">
        <v>-6.1</v>
      </c>
      <c r="T206" s="67">
        <v>-11.1</v>
      </c>
      <c r="U206" s="67">
        <v>-13.868</v>
      </c>
      <c r="V206" s="67">
        <v>-12.894</v>
      </c>
      <c r="W206" s="67">
        <v>-19.097999999999999</v>
      </c>
      <c r="X206" s="67">
        <v>-19.7</v>
      </c>
      <c r="Y206" s="67">
        <v>-25.3</v>
      </c>
      <c r="Z206" s="67">
        <v>-34</v>
      </c>
      <c r="AA206" s="67">
        <v>-25</v>
      </c>
      <c r="AB206" s="67">
        <v>-29</v>
      </c>
      <c r="AC206" s="63">
        <f t="shared" ref="AC206:AL206" si="345">-AC362</f>
        <v>-38.513657352941543</v>
      </c>
      <c r="AD206" s="63">
        <f t="shared" si="345"/>
        <v>-52.564223250000339</v>
      </c>
      <c r="AE206" s="63">
        <f t="shared" si="345"/>
        <v>-60.930053553000356</v>
      </c>
      <c r="AF206" s="63">
        <f t="shared" si="345"/>
        <v>-78.791774612155137</v>
      </c>
      <c r="AG206" s="63">
        <f t="shared" si="345"/>
        <v>-97.915253520634792</v>
      </c>
      <c r="AH206" s="63">
        <f t="shared" si="345"/>
        <v>-125.65725018726275</v>
      </c>
      <c r="AI206" s="63">
        <f t="shared" si="345"/>
        <v>-138.00853468474139</v>
      </c>
      <c r="AJ206" s="63">
        <f t="shared" si="345"/>
        <v>-159.28852906723029</v>
      </c>
      <c r="AK206" s="63">
        <f t="shared" si="345"/>
        <v>-180.80359242660558</v>
      </c>
      <c r="AL206" s="63">
        <f t="shared" si="345"/>
        <v>-203.65902160237641</v>
      </c>
      <c r="AM206" s="63">
        <f t="shared" ref="AM206:AN206" si="346">-AM362</f>
        <v>-227.50649092829875</v>
      </c>
      <c r="AN206" s="63">
        <f t="shared" si="346"/>
        <v>-251.24632048248836</v>
      </c>
      <c r="AO206" s="6"/>
    </row>
    <row r="207" spans="1:44">
      <c r="A207" s="99" t="s">
        <v>125</v>
      </c>
      <c r="D207" t="s">
        <v>125</v>
      </c>
      <c r="G207" s="67"/>
      <c r="H207" s="67"/>
      <c r="I207" s="67"/>
      <c r="J207" s="67"/>
      <c r="K207" s="67"/>
      <c r="L207" s="67">
        <v>-28.908999999999999</v>
      </c>
      <c r="M207" s="67">
        <v>-19.331</v>
      </c>
      <c r="N207" s="67">
        <f>-48.096-4.194-4</f>
        <v>-56.29</v>
      </c>
      <c r="O207" s="67">
        <f>-62.134-8.736-0.085</f>
        <v>-70.954999999999998</v>
      </c>
      <c r="P207" s="67">
        <f>-37.905-4.166</f>
        <v>-42.070999999999998</v>
      </c>
      <c r="Q207" s="67">
        <f>-90.629+7.697</f>
        <v>-82.932000000000002</v>
      </c>
      <c r="R207" s="67">
        <f>-40.511-5.345</f>
        <v>-45.856000000000002</v>
      </c>
      <c r="S207" s="67">
        <f>-121.154-17.445-0.211</f>
        <v>-138.81</v>
      </c>
      <c r="T207" s="67">
        <f>-501.095-21.771+5.69</f>
        <v>-517.17599999999993</v>
      </c>
      <c r="U207" s="67">
        <f>-98.688-22.952+0.153</f>
        <v>-121.48699999999999</v>
      </c>
      <c r="V207" s="67">
        <f>-210.299-38.473</f>
        <v>-248.77199999999999</v>
      </c>
      <c r="W207" s="67">
        <f>-152.31-25.791</f>
        <v>-178.101</v>
      </c>
      <c r="X207" s="67">
        <f>-269.2+44.1-30.9</f>
        <v>-256</v>
      </c>
      <c r="Y207" s="67">
        <f>-523.1+118.2-79.8</f>
        <v>-484.70000000000005</v>
      </c>
      <c r="Z207" s="67">
        <f>-549+118-74</f>
        <v>-505</v>
      </c>
      <c r="AA207" s="67">
        <f>-477+97-105</f>
        <v>-485</v>
      </c>
      <c r="AB207" s="67">
        <f>-1224+153-145+33</f>
        <v>-1183</v>
      </c>
      <c r="AC207" s="63">
        <f t="shared" ref="AC207:AN207" si="347">-AC79</f>
        <v>-1718.675</v>
      </c>
      <c r="AD207" s="63">
        <f t="shared" si="347"/>
        <v>-1700.4195000000004</v>
      </c>
      <c r="AE207" s="63">
        <f t="shared" si="347"/>
        <v>-1853.3019091500009</v>
      </c>
      <c r="AF207" s="63">
        <f t="shared" si="347"/>
        <v>-1988.1835281462006</v>
      </c>
      <c r="AG207" s="63">
        <f t="shared" si="347"/>
        <v>-2089.5844806702726</v>
      </c>
      <c r="AH207" s="63">
        <f t="shared" si="347"/>
        <v>-2287.110416215658</v>
      </c>
      <c r="AI207" s="63">
        <f t="shared" si="347"/>
        <v>-2467.2782909019647</v>
      </c>
      <c r="AJ207" s="63">
        <f t="shared" si="347"/>
        <v>-2492.5604597652837</v>
      </c>
      <c r="AK207" s="63">
        <f t="shared" si="347"/>
        <v>-2569.9720198941568</v>
      </c>
      <c r="AL207" s="63">
        <f t="shared" si="347"/>
        <v>-2593.1229175682024</v>
      </c>
      <c r="AM207" s="63">
        <f t="shared" si="347"/>
        <v>-2557.6412553021919</v>
      </c>
      <c r="AN207" s="63">
        <f t="shared" si="347"/>
        <v>-2622.3915621071169</v>
      </c>
      <c r="AO207" s="6"/>
    </row>
    <row r="208" spans="1:44">
      <c r="A208" s="99" t="s">
        <v>443</v>
      </c>
      <c r="D208" t="s">
        <v>448</v>
      </c>
      <c r="G208" s="67"/>
      <c r="H208" s="67"/>
      <c r="I208" s="67"/>
      <c r="J208" s="67"/>
      <c r="K208" s="67"/>
      <c r="L208" s="67">
        <v>0</v>
      </c>
      <c r="M208" s="67">
        <v>0</v>
      </c>
      <c r="N208" s="67">
        <v>0</v>
      </c>
      <c r="O208" s="67">
        <v>0</v>
      </c>
      <c r="P208" s="67">
        <v>0</v>
      </c>
      <c r="Q208" s="67">
        <v>0</v>
      </c>
      <c r="R208" s="67">
        <v>0</v>
      </c>
      <c r="S208" s="67">
        <v>0</v>
      </c>
      <c r="T208" s="67">
        <v>0</v>
      </c>
      <c r="U208" s="67">
        <v>0</v>
      </c>
      <c r="V208" s="67">
        <v>0</v>
      </c>
      <c r="W208" s="67">
        <v>0</v>
      </c>
      <c r="X208" s="67">
        <v>0</v>
      </c>
      <c r="Y208" s="67">
        <v>0</v>
      </c>
      <c r="Z208" s="67">
        <v>0</v>
      </c>
      <c r="AA208" s="67">
        <v>0</v>
      </c>
      <c r="AB208" s="67">
        <v>0</v>
      </c>
      <c r="AC208" s="63">
        <f t="shared" ref="AC208:AN208" ca="1" si="348">-AC145-AC154</f>
        <v>0</v>
      </c>
      <c r="AD208" s="63">
        <f t="shared" ca="1" si="348"/>
        <v>0</v>
      </c>
      <c r="AE208" s="63">
        <f t="shared" ca="1" si="348"/>
        <v>-7.8318231320721035</v>
      </c>
      <c r="AF208" s="63">
        <f t="shared" ca="1" si="348"/>
        <v>-162.19512080432133</v>
      </c>
      <c r="AG208" s="63">
        <f t="shared" ca="1" si="348"/>
        <v>-493.1052240791023</v>
      </c>
      <c r="AH208" s="63">
        <f t="shared" ca="1" si="348"/>
        <v>-725.82049409748151</v>
      </c>
      <c r="AI208" s="63">
        <f t="shared" ca="1" si="348"/>
        <v>-986.09851175175481</v>
      </c>
      <c r="AJ208" s="63">
        <f t="shared" ca="1" si="348"/>
        <v>-1355.8605361655182</v>
      </c>
      <c r="AK208" s="63">
        <f t="shared" ca="1" si="348"/>
        <v>-1692.4373798093864</v>
      </c>
      <c r="AL208" s="63">
        <f t="shared" ca="1" si="348"/>
        <v>-2051.2151827827361</v>
      </c>
      <c r="AM208" s="63">
        <f t="shared" ca="1" si="348"/>
        <v>-2417.0418372844488</v>
      </c>
      <c r="AN208" s="63">
        <f t="shared" ca="1" si="348"/>
        <v>-2707.8096174268194</v>
      </c>
      <c r="AO208" s="6"/>
    </row>
    <row r="209" spans="1:48">
      <c r="D209" t="s">
        <v>191</v>
      </c>
      <c r="G209" s="67"/>
      <c r="H209" s="67"/>
      <c r="I209" s="67"/>
      <c r="J209" s="67"/>
      <c r="K209" s="67"/>
      <c r="L209" s="67">
        <f>-0.932+2.111</f>
        <v>1.1790000000000003</v>
      </c>
      <c r="M209" s="67">
        <f>-2.85+0.748</f>
        <v>-2.1020000000000003</v>
      </c>
      <c r="N209" s="67">
        <v>3.343</v>
      </c>
      <c r="O209" s="67">
        <v>-12.379</v>
      </c>
      <c r="P209" s="67">
        <v>-7.032</v>
      </c>
      <c r="Q209" s="67">
        <v>-20.035</v>
      </c>
      <c r="R209" s="67">
        <f>-5.944+14.268</f>
        <v>8.3240000000000016</v>
      </c>
      <c r="S209" s="67">
        <v>34.976999999999997</v>
      </c>
      <c r="T209" s="67">
        <v>0</v>
      </c>
      <c r="U209" s="67">
        <v>0</v>
      </c>
      <c r="V209" s="67">
        <v>0</v>
      </c>
      <c r="W209" s="67">
        <f>-27.707+28.491</f>
        <v>0.78399999999999892</v>
      </c>
      <c r="X209" s="67">
        <v>2.8</v>
      </c>
      <c r="Y209" s="67">
        <v>-3.1</v>
      </c>
      <c r="Z209" s="67">
        <v>-11</v>
      </c>
      <c r="AA209" s="67">
        <v>-4</v>
      </c>
      <c r="AB209" s="67">
        <f>-44+13</f>
        <v>-31</v>
      </c>
      <c r="AC209" s="67">
        <v>0</v>
      </c>
      <c r="AD209" s="67">
        <v>0</v>
      </c>
      <c r="AE209" s="67">
        <v>0</v>
      </c>
      <c r="AF209" s="67">
        <v>0</v>
      </c>
      <c r="AG209" s="67">
        <v>0</v>
      </c>
      <c r="AH209" s="67">
        <v>0</v>
      </c>
      <c r="AI209" s="67">
        <v>0</v>
      </c>
      <c r="AJ209" s="67">
        <v>0</v>
      </c>
      <c r="AK209" s="67">
        <v>0</v>
      </c>
      <c r="AL209" s="67">
        <v>0</v>
      </c>
      <c r="AM209" s="67">
        <v>0</v>
      </c>
      <c r="AN209" s="67">
        <v>0</v>
      </c>
      <c r="AO209" s="6"/>
    </row>
    <row r="210" spans="1:48">
      <c r="A210" s="99" t="s">
        <v>304</v>
      </c>
      <c r="D210" t="s">
        <v>121</v>
      </c>
      <c r="G210" s="67"/>
      <c r="H210" s="67"/>
      <c r="I210" s="67"/>
      <c r="J210" s="67"/>
      <c r="K210" s="67"/>
      <c r="L210" s="67">
        <v>-0.77300000000000002</v>
      </c>
      <c r="M210" s="67">
        <v>0.20200000000000001</v>
      </c>
      <c r="N210" s="67">
        <f>0.108+0.685</f>
        <v>0.79300000000000004</v>
      </c>
      <c r="O210" s="67">
        <v>-1.4419999999999999</v>
      </c>
      <c r="P210" s="67">
        <f>-1.479-0.112</f>
        <v>-1.5910000000000002</v>
      </c>
      <c r="Q210" s="67">
        <f>4.085+1.372+0.838</f>
        <v>6.2949999999999999</v>
      </c>
      <c r="R210" s="67">
        <f>0.557+1.113</f>
        <v>1.67</v>
      </c>
      <c r="S210" s="67">
        <v>0.106</v>
      </c>
      <c r="T210" s="67">
        <v>0.34799999999999998</v>
      </c>
      <c r="U210" s="67">
        <f>0.873+0.788</f>
        <v>1.661</v>
      </c>
      <c r="V210" s="67">
        <v>0.56999999999999995</v>
      </c>
      <c r="W210" s="67">
        <v>1.7290000000000001</v>
      </c>
      <c r="X210" s="67">
        <v>23</v>
      </c>
      <c r="Y210" s="67">
        <v>5.0999999999999996</v>
      </c>
      <c r="Z210" s="67">
        <v>6</v>
      </c>
      <c r="AA210" s="67">
        <v>2</v>
      </c>
      <c r="AB210" s="67">
        <v>5</v>
      </c>
      <c r="AC210" s="67">
        <v>0</v>
      </c>
      <c r="AD210" s="67">
        <v>0</v>
      </c>
      <c r="AE210" s="67">
        <v>0</v>
      </c>
      <c r="AF210" s="67">
        <v>0</v>
      </c>
      <c r="AG210" s="67">
        <v>0</v>
      </c>
      <c r="AH210" s="67">
        <v>0</v>
      </c>
      <c r="AI210" s="67">
        <v>0</v>
      </c>
      <c r="AJ210" s="67">
        <v>0</v>
      </c>
      <c r="AK210" s="67">
        <v>0</v>
      </c>
      <c r="AL210" s="67">
        <v>0</v>
      </c>
      <c r="AM210" s="67">
        <v>0</v>
      </c>
      <c r="AN210" s="67">
        <v>0</v>
      </c>
      <c r="AO210" s="6"/>
    </row>
    <row r="211" spans="1:48" s="3" customFormat="1">
      <c r="A211" s="99" t="s">
        <v>189</v>
      </c>
      <c r="D211" s="2" t="s">
        <v>126</v>
      </c>
      <c r="E211" s="2"/>
      <c r="F211" s="2"/>
      <c r="G211" s="7"/>
      <c r="H211" s="7"/>
      <c r="I211" s="7"/>
      <c r="J211" s="7"/>
      <c r="K211" s="7"/>
      <c r="L211" s="7">
        <f t="shared" ref="L211" si="349">SUM(L206:L210)</f>
        <v>-31.965999999999998</v>
      </c>
      <c r="M211" s="7">
        <f t="shared" ref="M211" si="350">SUM(M206:M210)</f>
        <v>-23.485999999999997</v>
      </c>
      <c r="N211" s="7">
        <f t="shared" ref="N211" si="351">SUM(N206:N210)</f>
        <v>-55.151000000000003</v>
      </c>
      <c r="O211" s="7">
        <f t="shared" ref="O211" si="352">SUM(O206:O210)</f>
        <v>-87.546999999999997</v>
      </c>
      <c r="P211" s="7">
        <f t="shared" ref="P211" si="353">SUM(P206:P210)</f>
        <v>-54.199999999999996</v>
      </c>
      <c r="Q211" s="7">
        <f t="shared" ref="Q211" si="354">SUM(Q206:Q210)</f>
        <v>-103.764</v>
      </c>
      <c r="R211" s="7">
        <f t="shared" ref="R211" si="355">SUM(R206:R210)</f>
        <v>-43.212000000000003</v>
      </c>
      <c r="S211" s="7">
        <f t="shared" ref="S211" si="356">SUM(S206:S210)</f>
        <v>-109.827</v>
      </c>
      <c r="T211" s="7">
        <f t="shared" ref="T211" si="357">SUM(T206:T210)</f>
        <v>-527.928</v>
      </c>
      <c r="U211" s="7">
        <f t="shared" ref="U211" si="358">SUM(U206:U210)</f>
        <v>-133.69399999999999</v>
      </c>
      <c r="V211" s="7">
        <f t="shared" ref="V211" si="359">SUM(V206:V210)</f>
        <v>-261.096</v>
      </c>
      <c r="W211" s="7">
        <f t="shared" ref="W211" si="360">SUM(W206:W210)</f>
        <v>-194.68600000000001</v>
      </c>
      <c r="X211" s="7">
        <f t="shared" ref="X211" si="361">SUM(X206:X210)</f>
        <v>-249.89999999999998</v>
      </c>
      <c r="Y211" s="7">
        <f t="shared" ref="Y211:Z211" si="362">SUM(Y206:Y210)</f>
        <v>-508</v>
      </c>
      <c r="Z211" s="7">
        <f t="shared" si="362"/>
        <v>-544</v>
      </c>
      <c r="AA211" s="7">
        <f t="shared" ref="AA211:AB211" si="363">SUM(AA206:AA210)</f>
        <v>-512</v>
      </c>
      <c r="AB211" s="7">
        <f t="shared" si="363"/>
        <v>-1238</v>
      </c>
      <c r="AC211" s="7">
        <f t="shared" ref="AC211:AJ211" ca="1" si="364">SUM(AC206:AC210)</f>
        <v>-1757.1886573529414</v>
      </c>
      <c r="AD211" s="7">
        <f t="shared" ca="1" si="364"/>
        <v>-1752.9837232500008</v>
      </c>
      <c r="AE211" s="7">
        <f t="shared" ca="1" si="364"/>
        <v>-1922.0637858350733</v>
      </c>
      <c r="AF211" s="7">
        <f t="shared" ca="1" si="364"/>
        <v>-2229.1704235626771</v>
      </c>
      <c r="AG211" s="7">
        <f t="shared" ca="1" si="364"/>
        <v>-2680.6049582700098</v>
      </c>
      <c r="AH211" s="7">
        <f t="shared" ca="1" si="364"/>
        <v>-3138.5881605004024</v>
      </c>
      <c r="AI211" s="7">
        <f t="shared" ca="1" si="364"/>
        <v>-3591.3853373384609</v>
      </c>
      <c r="AJ211" s="7">
        <f t="shared" ca="1" si="364"/>
        <v>-4007.7095249980321</v>
      </c>
      <c r="AK211" s="7">
        <f t="shared" ref="AK211:AL211" ca="1" si="365">SUM(AK206:AK210)</f>
        <v>-4443.2129921301485</v>
      </c>
      <c r="AL211" s="7">
        <f t="shared" ca="1" si="365"/>
        <v>-4847.9971219533145</v>
      </c>
      <c r="AM211" s="7">
        <f t="shared" ref="AM211:AN211" ca="1" si="366">SUM(AM206:AM210)</f>
        <v>-5202.1895835149389</v>
      </c>
      <c r="AN211" s="7">
        <f t="shared" ca="1" si="366"/>
        <v>-5581.4475000164248</v>
      </c>
      <c r="AO211" s="55"/>
    </row>
    <row r="212" spans="1:48">
      <c r="G212" s="6"/>
      <c r="H212" s="6"/>
      <c r="I212" s="6"/>
      <c r="J212" s="6"/>
      <c r="K212" s="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8">
      <c r="D213" t="s">
        <v>127</v>
      </c>
      <c r="G213" s="67"/>
      <c r="H213" s="67"/>
      <c r="I213" s="67"/>
      <c r="J213" s="67"/>
      <c r="K213" s="67"/>
      <c r="L213" s="67">
        <v>0</v>
      </c>
      <c r="M213" s="67">
        <v>0</v>
      </c>
      <c r="N213" s="67">
        <f>19.342-0.549</f>
        <v>18.792999999999999</v>
      </c>
      <c r="O213" s="67">
        <f>40.858-1.268</f>
        <v>39.589999999999996</v>
      </c>
      <c r="P213" s="67">
        <f>-17.1-1.7</f>
        <v>-18.8</v>
      </c>
      <c r="Q213" s="67">
        <v>4.1909999999999998</v>
      </c>
      <c r="R213" s="67">
        <v>-47.877000000000002</v>
      </c>
      <c r="S213" s="67">
        <f>41.052-2.077</f>
        <v>38.975000000000001</v>
      </c>
      <c r="T213" s="67">
        <f>432.645-0.343</f>
        <v>432.30199999999996</v>
      </c>
      <c r="U213" s="67">
        <f>177-325.813-7.166+81.233-84.7</f>
        <v>-159.44599999999997</v>
      </c>
      <c r="V213" s="67">
        <f>-64.5-2.199+159.709</f>
        <v>93.01</v>
      </c>
      <c r="W213" s="67">
        <f>-8.709-1.212</f>
        <v>-9.9209999999999994</v>
      </c>
      <c r="X213" s="67">
        <f>94.8-138.2-2.5</f>
        <v>-45.899999999999991</v>
      </c>
      <c r="Y213" s="67">
        <f>-45.9+110.4-0.5-3.5</f>
        <v>60.5</v>
      </c>
      <c r="Z213" s="67">
        <f>65+5+49-2-3</f>
        <v>114</v>
      </c>
      <c r="AA213" s="67">
        <f>-65-31+48-6-2</f>
        <v>-56</v>
      </c>
      <c r="AB213" s="67">
        <f>30+176-6-6</f>
        <v>194</v>
      </c>
      <c r="AC213" s="6">
        <f>+AC291-AB291</f>
        <v>708</v>
      </c>
      <c r="AD213" s="6">
        <f t="shared" ref="AD213:AJ213" si="367">+AD291-AC291</f>
        <v>49.64586957414258</v>
      </c>
      <c r="AE213" s="6">
        <f t="shared" ca="1" si="367"/>
        <v>348.0391335393233</v>
      </c>
      <c r="AF213" s="6">
        <f t="shared" ca="1" si="367"/>
        <v>396.30479033889287</v>
      </c>
      <c r="AG213" s="6">
        <f t="shared" ca="1" si="367"/>
        <v>407.8526825146605</v>
      </c>
      <c r="AH213" s="6">
        <f t="shared" ca="1" si="367"/>
        <v>436.08866505316337</v>
      </c>
      <c r="AI213" s="6">
        <f t="shared" ca="1" si="367"/>
        <v>459.69517119696184</v>
      </c>
      <c r="AJ213" s="6">
        <f t="shared" ca="1" si="367"/>
        <v>457.40483782435922</v>
      </c>
      <c r="AK213" s="6">
        <f t="shared" ref="AK213:AL213" ca="1" si="368">+AK291-AJ291</f>
        <v>463.19183460474324</v>
      </c>
      <c r="AL213" s="6">
        <f t="shared" si="368"/>
        <v>556.69885450191941</v>
      </c>
      <c r="AM213" s="6">
        <f t="shared" ref="AM213" si="369">+AM291-AL291</f>
        <v>564.2863150358171</v>
      </c>
      <c r="AN213" s="6">
        <f t="shared" ref="AN213" si="370">+AN291-AM291</f>
        <v>591.88654825647336</v>
      </c>
      <c r="AO213" s="6"/>
    </row>
    <row r="214" spans="1:48">
      <c r="D214" t="s">
        <v>128</v>
      </c>
      <c r="G214" s="67"/>
      <c r="H214" s="67"/>
      <c r="I214" s="67"/>
      <c r="J214" s="67"/>
      <c r="K214" s="67"/>
      <c r="L214" s="67">
        <v>0</v>
      </c>
      <c r="M214" s="67">
        <v>0</v>
      </c>
      <c r="N214" s="67">
        <v>0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67">
        <v>0</v>
      </c>
      <c r="U214" s="67">
        <v>0</v>
      </c>
      <c r="V214" s="67">
        <v>0</v>
      </c>
      <c r="W214" s="67">
        <v>0</v>
      </c>
      <c r="X214" s="67">
        <v>0</v>
      </c>
      <c r="Y214" s="67">
        <v>0</v>
      </c>
      <c r="Z214" s="67">
        <v>0</v>
      </c>
      <c r="AA214" s="67">
        <v>0</v>
      </c>
      <c r="AB214" s="67">
        <v>0</v>
      </c>
      <c r="AC214" s="67">
        <v>0</v>
      </c>
      <c r="AD214" s="67">
        <v>0</v>
      </c>
      <c r="AE214" s="67">
        <v>0</v>
      </c>
      <c r="AF214" s="67">
        <v>0</v>
      </c>
      <c r="AG214" s="67">
        <v>0</v>
      </c>
      <c r="AH214" s="67">
        <v>0</v>
      </c>
      <c r="AI214" s="67">
        <v>0</v>
      </c>
      <c r="AJ214" s="67">
        <v>0</v>
      </c>
      <c r="AK214" s="67">
        <v>0</v>
      </c>
      <c r="AL214" s="67">
        <v>0</v>
      </c>
      <c r="AM214" s="67">
        <v>0</v>
      </c>
      <c r="AN214" s="67">
        <v>0</v>
      </c>
      <c r="AO214" s="6"/>
    </row>
    <row r="215" spans="1:48">
      <c r="D215" t="s">
        <v>129</v>
      </c>
      <c r="G215" s="67"/>
      <c r="H215" s="67"/>
      <c r="I215" s="67"/>
      <c r="J215" s="67"/>
      <c r="K215" s="67"/>
      <c r="L215" s="67">
        <v>0</v>
      </c>
      <c r="M215" s="67">
        <v>0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67">
        <v>0</v>
      </c>
      <c r="U215" s="67">
        <v>0</v>
      </c>
      <c r="V215" s="67">
        <v>0</v>
      </c>
      <c r="W215" s="67">
        <v>0</v>
      </c>
      <c r="X215" s="67">
        <v>0</v>
      </c>
      <c r="Y215" s="67">
        <v>0</v>
      </c>
      <c r="Z215" s="67">
        <v>0</v>
      </c>
      <c r="AA215" s="67">
        <v>0</v>
      </c>
      <c r="AB215" s="67">
        <v>0</v>
      </c>
      <c r="AC215" s="67">
        <v>0</v>
      </c>
      <c r="AD215" s="67">
        <v>0</v>
      </c>
      <c r="AE215" s="67">
        <v>0</v>
      </c>
      <c r="AF215" s="67">
        <v>0</v>
      </c>
      <c r="AG215" s="67">
        <v>0</v>
      </c>
      <c r="AH215" s="67">
        <v>0</v>
      </c>
      <c r="AI215" s="67">
        <v>0</v>
      </c>
      <c r="AJ215" s="67">
        <v>0</v>
      </c>
      <c r="AK215" s="67">
        <v>0</v>
      </c>
      <c r="AL215" s="67">
        <v>0</v>
      </c>
      <c r="AM215" s="67">
        <v>0</v>
      </c>
      <c r="AN215" s="67">
        <v>0</v>
      </c>
      <c r="AO215" s="6"/>
    </row>
    <row r="216" spans="1:48">
      <c r="D216" t="s">
        <v>224</v>
      </c>
      <c r="G216" s="67"/>
      <c r="H216" s="67"/>
      <c r="I216" s="67"/>
      <c r="J216" s="67"/>
      <c r="K216" s="67"/>
      <c r="L216" s="67">
        <v>2.0449999999999999</v>
      </c>
      <c r="M216" s="67">
        <v>3.806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0</v>
      </c>
      <c r="T216" s="67">
        <v>0</v>
      </c>
      <c r="U216" s="67">
        <v>0</v>
      </c>
      <c r="V216" s="67">
        <v>0</v>
      </c>
      <c r="W216" s="67">
        <v>0</v>
      </c>
      <c r="X216" s="67">
        <v>0</v>
      </c>
      <c r="Y216" s="67">
        <v>0</v>
      </c>
      <c r="Z216" s="67">
        <v>0</v>
      </c>
      <c r="AA216" s="67">
        <v>0</v>
      </c>
      <c r="AB216" s="67">
        <v>0</v>
      </c>
      <c r="AC216" s="78">
        <f t="shared" ref="AC216:AJ216" si="371">-AC284</f>
        <v>0</v>
      </c>
      <c r="AD216" s="78">
        <f t="shared" si="371"/>
        <v>0</v>
      </c>
      <c r="AE216" s="78">
        <f t="shared" si="371"/>
        <v>0</v>
      </c>
      <c r="AF216" s="78">
        <f t="shared" si="371"/>
        <v>0</v>
      </c>
      <c r="AG216" s="78">
        <f t="shared" si="371"/>
        <v>0</v>
      </c>
      <c r="AH216" s="78">
        <f t="shared" si="371"/>
        <v>0</v>
      </c>
      <c r="AI216" s="78">
        <f t="shared" si="371"/>
        <v>0</v>
      </c>
      <c r="AJ216" s="78">
        <f t="shared" si="371"/>
        <v>0</v>
      </c>
      <c r="AK216" s="78">
        <f t="shared" ref="AK216:AL216" si="372">-AK284</f>
        <v>0</v>
      </c>
      <c r="AL216" s="78">
        <f t="shared" si="372"/>
        <v>0</v>
      </c>
      <c r="AM216" s="78">
        <f t="shared" ref="AM216:AN216" si="373">-AM284</f>
        <v>0</v>
      </c>
      <c r="AN216" s="78">
        <f t="shared" si="373"/>
        <v>0</v>
      </c>
      <c r="AO216" s="67"/>
      <c r="AP216" s="67"/>
      <c r="AQ216" s="67"/>
      <c r="AR216" s="67"/>
      <c r="AS216" s="67"/>
      <c r="AT216" s="67"/>
      <c r="AU216" s="67"/>
      <c r="AV216" s="67"/>
    </row>
    <row r="217" spans="1:48">
      <c r="D217" t="s">
        <v>130</v>
      </c>
      <c r="G217" s="67"/>
      <c r="H217" s="67"/>
      <c r="I217" s="67"/>
      <c r="J217" s="67"/>
      <c r="K217" s="67"/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0</v>
      </c>
      <c r="T217" s="67">
        <v>0</v>
      </c>
      <c r="U217" s="67">
        <v>0</v>
      </c>
      <c r="V217" s="67">
        <v>0</v>
      </c>
      <c r="W217" s="67">
        <v>0</v>
      </c>
      <c r="X217" s="67">
        <v>0</v>
      </c>
      <c r="Y217" s="67">
        <v>0</v>
      </c>
      <c r="Z217" s="67">
        <v>0</v>
      </c>
      <c r="AA217" s="67">
        <v>0</v>
      </c>
      <c r="AB217" s="67">
        <v>0</v>
      </c>
      <c r="AC217" s="67">
        <v>0</v>
      </c>
      <c r="AD217" s="67">
        <v>0</v>
      </c>
      <c r="AE217" s="67">
        <v>0</v>
      </c>
      <c r="AF217" s="67">
        <v>0</v>
      </c>
      <c r="AG217" s="67">
        <v>0</v>
      </c>
      <c r="AH217" s="67">
        <v>0</v>
      </c>
      <c r="AI217" s="67">
        <v>0</v>
      </c>
      <c r="AJ217" s="67">
        <v>0</v>
      </c>
      <c r="AK217" s="67">
        <v>0</v>
      </c>
      <c r="AL217" s="67">
        <v>0</v>
      </c>
      <c r="AM217" s="67">
        <v>0</v>
      </c>
      <c r="AN217" s="67">
        <v>0</v>
      </c>
      <c r="AO217" s="6"/>
    </row>
    <row r="218" spans="1:48">
      <c r="D218" t="s">
        <v>131</v>
      </c>
      <c r="G218" s="67"/>
      <c r="H218" s="67"/>
      <c r="I218" s="67"/>
      <c r="J218" s="67"/>
      <c r="K218" s="67"/>
      <c r="L218" s="67">
        <v>-1.1499999999999999</v>
      </c>
      <c r="M218" s="67">
        <v>-1.381</v>
      </c>
      <c r="N218" s="67">
        <v>-3.1789999999999998</v>
      </c>
      <c r="O218" s="67">
        <v>-3.8140000000000001</v>
      </c>
      <c r="P218" s="67">
        <v>-4.577</v>
      </c>
      <c r="Q218" s="67">
        <v>-5.51</v>
      </c>
      <c r="R218" s="67">
        <v>-42.384</v>
      </c>
      <c r="S218" s="67">
        <v>-63.576000000000001</v>
      </c>
      <c r="T218" s="67">
        <v>-84.768000000000001</v>
      </c>
      <c r="U218" s="67">
        <v>-84.768000000000001</v>
      </c>
      <c r="V218" s="67">
        <v>-84.768000000000001</v>
      </c>
      <c r="W218" s="67">
        <v>-84.768000000000001</v>
      </c>
      <c r="X218" s="67">
        <v>-84.8</v>
      </c>
      <c r="Y218" s="67">
        <v>-84.8</v>
      </c>
      <c r="Z218" s="67">
        <v>-509</v>
      </c>
      <c r="AA218" s="67">
        <v>-85</v>
      </c>
      <c r="AB218" s="67">
        <v>-85</v>
      </c>
      <c r="AC218" s="63">
        <f t="shared" ref="AC218:AJ218" ca="1" si="374">-AC269*AC270</f>
        <v>-84.766120000000001</v>
      </c>
      <c r="AD218" s="63">
        <f t="shared" ca="1" si="374"/>
        <v>-84.766120000000001</v>
      </c>
      <c r="AE218" s="63">
        <f t="shared" ca="1" si="374"/>
        <v>-84.766120000000001</v>
      </c>
      <c r="AF218" s="63">
        <f t="shared" ca="1" si="374"/>
        <v>-84.766120000000001</v>
      </c>
      <c r="AG218" s="63">
        <f t="shared" ca="1" si="374"/>
        <v>-84.766120000000001</v>
      </c>
      <c r="AH218" s="63">
        <f t="shared" ca="1" si="374"/>
        <v>-84.766120000000001</v>
      </c>
      <c r="AI218" s="63">
        <f t="shared" ca="1" si="374"/>
        <v>-84.766120000000001</v>
      </c>
      <c r="AJ218" s="63">
        <f t="shared" ca="1" si="374"/>
        <v>-84.766120000000001</v>
      </c>
      <c r="AK218" s="63">
        <f t="shared" ref="AK218:AL218" ca="1" si="375">-AK269*AK270</f>
        <v>-84.766120000000001</v>
      </c>
      <c r="AL218" s="63">
        <f t="shared" ca="1" si="375"/>
        <v>-84.766120000000001</v>
      </c>
      <c r="AM218" s="63">
        <f t="shared" ref="AM218:AN218" ca="1" si="376">-AM269*AM270</f>
        <v>-84.766120000000001</v>
      </c>
      <c r="AN218" s="63">
        <f t="shared" ca="1" si="376"/>
        <v>-84.766120000000001</v>
      </c>
      <c r="AO218" s="6"/>
    </row>
    <row r="219" spans="1:48">
      <c r="A219" s="99" t="s">
        <v>441</v>
      </c>
      <c r="D219" t="s">
        <v>121</v>
      </c>
      <c r="G219" s="67"/>
      <c r="H219" s="67"/>
      <c r="I219" s="67"/>
      <c r="J219" s="67"/>
      <c r="K219" s="67"/>
      <c r="L219" s="67">
        <f>1.464-0.346-0.532+0.955-0.062-0.531</f>
        <v>0.94799999999999984</v>
      </c>
      <c r="M219" s="67">
        <f>-0.278-0.471-0.02-1.657-0.637+2.975</f>
        <v>-8.8000000000000078E-2</v>
      </c>
      <c r="N219" s="67">
        <f>0.521+0.869-0.447</f>
        <v>0.94300000000000006</v>
      </c>
      <c r="O219" s="67">
        <f>0.959+0.297</f>
        <v>1.256</v>
      </c>
      <c r="P219" s="67">
        <f>-0.661+0.362</f>
        <v>-0.29900000000000004</v>
      </c>
      <c r="Q219" s="67">
        <v>0.32600000000000001</v>
      </c>
      <c r="R219" s="67">
        <v>3.72</v>
      </c>
      <c r="S219" s="67">
        <v>-0.97299999999999998</v>
      </c>
      <c r="T219" s="67">
        <v>0</v>
      </c>
      <c r="U219" s="67">
        <v>48.503</v>
      </c>
      <c r="V219" s="67">
        <v>-10.879</v>
      </c>
      <c r="W219" s="67">
        <v>0</v>
      </c>
      <c r="X219" s="67">
        <v>0</v>
      </c>
      <c r="Y219" s="67">
        <v>0</v>
      </c>
      <c r="Z219" s="67">
        <f>-51-11</f>
        <v>-62</v>
      </c>
      <c r="AA219" s="67">
        <v>-66</v>
      </c>
      <c r="AB219" s="67">
        <f>-22+3-83</f>
        <v>-102</v>
      </c>
      <c r="AC219" s="63">
        <f t="shared" ref="AC219:AL219" si="377">-AC367</f>
        <v>-67.966675000000009</v>
      </c>
      <c r="AD219" s="63">
        <f t="shared" si="377"/>
        <v>-80.168358749999982</v>
      </c>
      <c r="AE219" s="63">
        <f t="shared" si="377"/>
        <v>-95.549775608999937</v>
      </c>
      <c r="AF219" s="63">
        <f t="shared" si="377"/>
        <v>-119.39156876777707</v>
      </c>
      <c r="AG219" s="63">
        <f t="shared" si="377"/>
        <v>-140.71645735951108</v>
      </c>
      <c r="AH219" s="63">
        <f t="shared" si="377"/>
        <v>-162.98120127964648</v>
      </c>
      <c r="AI219" s="63">
        <f t="shared" si="377"/>
        <v>-187.41883217244049</v>
      </c>
      <c r="AJ219" s="63">
        <f t="shared" si="377"/>
        <v>-214.91297072727411</v>
      </c>
      <c r="AK219" s="63">
        <f t="shared" si="377"/>
        <v>-242.87938658214307</v>
      </c>
      <c r="AL219" s="63">
        <f t="shared" si="377"/>
        <v>-272.5372303246611</v>
      </c>
      <c r="AM219" s="63">
        <f t="shared" ref="AM219:AN219" si="378">-AM367</f>
        <v>-303.37093847419965</v>
      </c>
      <c r="AN219" s="63">
        <f t="shared" si="378"/>
        <v>-334.69179360604312</v>
      </c>
      <c r="AO219" s="6"/>
    </row>
    <row r="220" spans="1:48" s="3" customFormat="1">
      <c r="A220" s="99" t="s">
        <v>190</v>
      </c>
      <c r="D220" s="2" t="s">
        <v>132</v>
      </c>
      <c r="E220" s="2"/>
      <c r="F220" s="2"/>
      <c r="G220" s="7"/>
      <c r="H220" s="7"/>
      <c r="I220" s="7"/>
      <c r="J220" s="7"/>
      <c r="K220" s="7"/>
      <c r="L220" s="7">
        <f t="shared" ref="L220" si="379">SUM(L213:L219)</f>
        <v>1.843</v>
      </c>
      <c r="M220" s="7">
        <f t="shared" ref="M220:X220" si="380">SUM(M213:M219)</f>
        <v>2.3369999999999997</v>
      </c>
      <c r="N220" s="7">
        <f t="shared" si="380"/>
        <v>16.556999999999999</v>
      </c>
      <c r="O220" s="7">
        <f t="shared" si="380"/>
        <v>37.031999999999996</v>
      </c>
      <c r="P220" s="7">
        <f t="shared" si="380"/>
        <v>-23.676000000000002</v>
      </c>
      <c r="Q220" s="7">
        <f t="shared" si="380"/>
        <v>-0.99299999999999988</v>
      </c>
      <c r="R220" s="7">
        <f t="shared" si="380"/>
        <v>-86.540999999999997</v>
      </c>
      <c r="S220" s="7">
        <f t="shared" si="380"/>
        <v>-25.573999999999998</v>
      </c>
      <c r="T220" s="7">
        <f t="shared" si="380"/>
        <v>347.53399999999999</v>
      </c>
      <c r="U220" s="7">
        <f t="shared" si="380"/>
        <v>-195.71099999999996</v>
      </c>
      <c r="V220" s="7">
        <f t="shared" si="380"/>
        <v>-2.6369999999999951</v>
      </c>
      <c r="W220" s="7">
        <f t="shared" si="380"/>
        <v>-94.688999999999993</v>
      </c>
      <c r="X220" s="7">
        <f t="shared" si="380"/>
        <v>-130.69999999999999</v>
      </c>
      <c r="Y220" s="7">
        <f>SUM(Y213:Y219)</f>
        <v>-24.299999999999997</v>
      </c>
      <c r="Z220" s="7">
        <f>SUM(Z213:Z219)</f>
        <v>-457</v>
      </c>
      <c r="AA220" s="7">
        <f>SUM(AA213:AA219)</f>
        <v>-207</v>
      </c>
      <c r="AB220" s="7">
        <f>SUM(AB213:AB219)</f>
        <v>7</v>
      </c>
      <c r="AC220" s="7">
        <f t="shared" ref="AC220:AJ220" ca="1" si="381">SUM(AC213:AC219)</f>
        <v>555.26720499999999</v>
      </c>
      <c r="AD220" s="7">
        <f t="shared" ca="1" si="381"/>
        <v>-115.2886091758574</v>
      </c>
      <c r="AE220" s="7">
        <f t="shared" ca="1" si="381"/>
        <v>167.72323793032336</v>
      </c>
      <c r="AF220" s="7">
        <f t="shared" ca="1" si="381"/>
        <v>192.1471015711158</v>
      </c>
      <c r="AG220" s="7">
        <f t="shared" ca="1" si="381"/>
        <v>182.37010515514942</v>
      </c>
      <c r="AH220" s="7">
        <f t="shared" ca="1" si="381"/>
        <v>188.34134377351688</v>
      </c>
      <c r="AI220" s="7">
        <f t="shared" ca="1" si="381"/>
        <v>187.51021902452135</v>
      </c>
      <c r="AJ220" s="7">
        <f t="shared" ca="1" si="381"/>
        <v>157.7257470970851</v>
      </c>
      <c r="AK220" s="7">
        <f t="shared" ref="AK220:AL220" ca="1" si="382">SUM(AK213:AK219)</f>
        <v>135.54632802260016</v>
      </c>
      <c r="AL220" s="7">
        <f t="shared" ca="1" si="382"/>
        <v>199.39550417725832</v>
      </c>
      <c r="AM220" s="7">
        <f t="shared" ref="AM220:AN220" ca="1" si="383">SUM(AM213:AM219)</f>
        <v>176.14925656161745</v>
      </c>
      <c r="AN220" s="7">
        <f t="shared" ca="1" si="383"/>
        <v>172.42863465043024</v>
      </c>
      <c r="AO220" s="55"/>
    </row>
    <row r="221" spans="1:48"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8">
      <c r="D222" t="s">
        <v>134</v>
      </c>
      <c r="G222" s="6"/>
      <c r="H222" s="6"/>
      <c r="I222" s="67"/>
      <c r="J222" s="67"/>
      <c r="K222" s="67"/>
      <c r="L222" s="67">
        <v>-1.726</v>
      </c>
      <c r="M222" s="67">
        <v>0.9</v>
      </c>
      <c r="N222" s="67">
        <v>-1.8049999999999999</v>
      </c>
      <c r="O222" s="67">
        <v>-1.6439999999999999</v>
      </c>
      <c r="P222" s="67">
        <v>-1.4370000000000001</v>
      </c>
      <c r="Q222" s="67">
        <v>-0.29799999999999999</v>
      </c>
      <c r="R222" s="67">
        <v>-0.22</v>
      </c>
      <c r="S222" s="67">
        <v>0.192</v>
      </c>
      <c r="T222" s="67">
        <v>0.183</v>
      </c>
      <c r="U222" s="67">
        <v>-6.468</v>
      </c>
      <c r="V222" s="67">
        <v>-6.8860000000000001</v>
      </c>
      <c r="W222" s="67">
        <v>-3.6110000000000002</v>
      </c>
      <c r="X222" s="67">
        <v>10.3</v>
      </c>
      <c r="Y222" s="67">
        <v>-5.8</v>
      </c>
      <c r="Z222" s="67">
        <v>1</v>
      </c>
      <c r="AA222" s="67">
        <v>15</v>
      </c>
      <c r="AB222" s="67">
        <v>-16</v>
      </c>
      <c r="AC222" s="67">
        <v>0</v>
      </c>
      <c r="AD222" s="67">
        <v>0</v>
      </c>
      <c r="AE222" s="67">
        <v>0</v>
      </c>
      <c r="AF222" s="67">
        <v>0</v>
      </c>
      <c r="AG222" s="67">
        <v>0</v>
      </c>
      <c r="AH222" s="67">
        <v>0</v>
      </c>
      <c r="AI222" s="67">
        <v>0</v>
      </c>
      <c r="AJ222" s="67">
        <v>0</v>
      </c>
      <c r="AK222" s="67">
        <v>0</v>
      </c>
      <c r="AL222" s="67">
        <v>0</v>
      </c>
      <c r="AM222" s="67">
        <v>0</v>
      </c>
      <c r="AN222" s="67">
        <v>0</v>
      </c>
      <c r="AO222" s="6"/>
    </row>
    <row r="223" spans="1:48">
      <c r="D223" t="s">
        <v>135</v>
      </c>
      <c r="G223" s="6"/>
      <c r="H223" s="6"/>
      <c r="I223" s="6"/>
      <c r="J223" s="6"/>
      <c r="K223" s="6"/>
      <c r="L223" s="6">
        <f t="shared" ref="L223" si="384">SUM(L222,L220,L211,L203)</f>
        <v>-7.2829999999999941</v>
      </c>
      <c r="M223" s="6">
        <f t="shared" ref="M223:X223" si="385">SUM(M222,M220,M211,M203)</f>
        <v>8.3799999999999848</v>
      </c>
      <c r="N223" s="6">
        <f t="shared" si="385"/>
        <v>-6.0109999999999744</v>
      </c>
      <c r="O223" s="6">
        <f t="shared" si="385"/>
        <v>10.609000000000002</v>
      </c>
      <c r="P223" s="6">
        <f t="shared" si="385"/>
        <v>2.2139999999999844</v>
      </c>
      <c r="Q223" s="6">
        <f>SUM(Q222,Q220,Q211,Q203)</f>
        <v>-2.323999999999927</v>
      </c>
      <c r="R223" s="6">
        <f t="shared" si="385"/>
        <v>9.2519999999998959</v>
      </c>
      <c r="S223" s="6">
        <f t="shared" si="385"/>
        <v>28.737999999999943</v>
      </c>
      <c r="T223" s="6">
        <f t="shared" si="385"/>
        <v>34.036999999999978</v>
      </c>
      <c r="U223" s="6">
        <f t="shared" si="385"/>
        <v>-6.9239999999999213</v>
      </c>
      <c r="V223" s="6">
        <f t="shared" si="385"/>
        <v>110.13100000000014</v>
      </c>
      <c r="W223" s="6">
        <f t="shared" si="385"/>
        <v>187.1460000000003</v>
      </c>
      <c r="X223" s="6">
        <f t="shared" si="385"/>
        <v>136.30000000000007</v>
      </c>
      <c r="Y223" s="6">
        <f t="shared" ref="Y223:AE223" si="386">SUM(Y222,Y220,Y211,Y203)</f>
        <v>114.99999999999989</v>
      </c>
      <c r="Z223" s="6">
        <f t="shared" si="386"/>
        <v>-272.5</v>
      </c>
      <c r="AA223" s="6">
        <f>SUM(AA222,AA220,AA211,AA203)</f>
        <v>442</v>
      </c>
      <c r="AB223" s="6">
        <f t="shared" ref="AB223" si="387">SUM(AB222,AB220,AB211,AB203)</f>
        <v>5</v>
      </c>
      <c r="AC223" s="6">
        <f t="shared" ca="1" si="386"/>
        <v>94.249100396701579</v>
      </c>
      <c r="AD223" s="6">
        <f t="shared" ca="1" si="386"/>
        <v>-180.15644696666982</v>
      </c>
      <c r="AE223" s="6">
        <f t="shared" ca="1" si="386"/>
        <v>320.66502120456403</v>
      </c>
      <c r="AF223" s="6">
        <f t="shared" ref="AF223:AL223" ca="1" si="388">SUM(AF222,AF220,AF211,AF203)</f>
        <v>486.05237312110057</v>
      </c>
      <c r="AG223" s="6">
        <f t="shared" ca="1" si="388"/>
        <v>499.68209503754997</v>
      </c>
      <c r="AH223" s="6">
        <f t="shared" ca="1" si="388"/>
        <v>575.93682785224655</v>
      </c>
      <c r="AI223" s="6">
        <f t="shared" ca="1" si="388"/>
        <v>714.46496279686471</v>
      </c>
      <c r="AJ223" s="6">
        <f t="shared" ca="1" si="388"/>
        <v>914.71096166765346</v>
      </c>
      <c r="AK223" s="6">
        <f t="shared" ca="1" si="388"/>
        <v>1144.8894327981425</v>
      </c>
      <c r="AL223" s="6">
        <f t="shared" ca="1" si="388"/>
        <v>1533.2801391034573</v>
      </c>
      <c r="AM223" s="6">
        <f t="shared" ref="AM223:AN223" ca="1" si="389">SUM(AM222,AM220,AM211,AM203)</f>
        <v>1913.8039666972636</v>
      </c>
      <c r="AN223" s="6">
        <f t="shared" ca="1" si="389"/>
        <v>2325.6376911242405</v>
      </c>
      <c r="AO223" s="6"/>
    </row>
    <row r="224" spans="1:48">
      <c r="G224" s="6"/>
      <c r="H224" s="6"/>
      <c r="I224" s="6"/>
      <c r="J224" s="6"/>
      <c r="K224" s="6"/>
      <c r="L224" s="6"/>
      <c r="M224" s="6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2">
      <c r="C225" s="94"/>
      <c r="D225" s="95" t="s">
        <v>136</v>
      </c>
      <c r="E225" s="94"/>
      <c r="F225" s="94"/>
      <c r="G225" s="94"/>
      <c r="H225" s="94"/>
      <c r="I225" s="94"/>
      <c r="J225" s="94"/>
      <c r="K225" s="94"/>
      <c r="L225" s="94"/>
      <c r="M225" s="9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</row>
    <row r="226" spans="1:42" ht="5.15" customHeigh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6"/>
      <c r="AP226" s="1"/>
    </row>
    <row r="227" spans="1:42">
      <c r="A227" s="99" t="s">
        <v>193</v>
      </c>
      <c r="D227" t="s">
        <v>137</v>
      </c>
      <c r="G227" s="67"/>
      <c r="H227" s="67"/>
      <c r="I227" s="67"/>
      <c r="J227" s="67"/>
      <c r="K227" s="67"/>
      <c r="L227" s="67">
        <v>18.285</v>
      </c>
      <c r="M227" s="67">
        <v>25.806999999999999</v>
      </c>
      <c r="N227" s="67">
        <v>19.795999999999999</v>
      </c>
      <c r="O227" s="67">
        <v>30.405000000000001</v>
      </c>
      <c r="P227" s="67">
        <v>33.249000000000002</v>
      </c>
      <c r="Q227" s="67">
        <v>30.911000000000001</v>
      </c>
      <c r="R227" s="67">
        <v>33.491999999999997</v>
      </c>
      <c r="S227" s="67">
        <v>41.313000000000002</v>
      </c>
      <c r="T227" s="67">
        <v>77.966999999999999</v>
      </c>
      <c r="U227" s="67">
        <v>70.679000000000002</v>
      </c>
      <c r="V227" s="67">
        <v>178.471</v>
      </c>
      <c r="W227" s="67">
        <v>353.49900000000002</v>
      </c>
      <c r="X227" s="67">
        <v>489</v>
      </c>
      <c r="Y227" s="67">
        <v>588.6</v>
      </c>
      <c r="Z227" s="67">
        <v>316</v>
      </c>
      <c r="AA227" s="67">
        <v>758</v>
      </c>
      <c r="AB227" s="67">
        <v>763</v>
      </c>
      <c r="AC227" s="6">
        <f t="shared" ref="AC227:AI227" ca="1" si="390">+AB227+AC223</f>
        <v>857.24910039670158</v>
      </c>
      <c r="AD227" s="6">
        <f t="shared" ca="1" si="390"/>
        <v>677.09265343003176</v>
      </c>
      <c r="AE227" s="6">
        <f t="shared" ca="1" si="390"/>
        <v>997.75767463459579</v>
      </c>
      <c r="AF227" s="6">
        <f t="shared" ca="1" si="390"/>
        <v>1483.8100477556964</v>
      </c>
      <c r="AG227" s="6">
        <f t="shared" ca="1" si="390"/>
        <v>1983.4921427932463</v>
      </c>
      <c r="AH227" s="6">
        <f t="shared" ca="1" si="390"/>
        <v>2559.4289706454929</v>
      </c>
      <c r="AI227" s="6">
        <f t="shared" ca="1" si="390"/>
        <v>3273.8939334423576</v>
      </c>
      <c r="AJ227" s="6">
        <f t="shared" ref="AJ227" ca="1" si="391">+AI227+AJ223</f>
        <v>4188.6048951100111</v>
      </c>
      <c r="AK227" s="6">
        <f t="shared" ref="AK227" ca="1" si="392">+AJ227+AK223</f>
        <v>5333.4943279081535</v>
      </c>
      <c r="AL227" s="6">
        <f t="shared" ref="AL227" ca="1" si="393">+AK227+AL223</f>
        <v>6866.7744670116108</v>
      </c>
      <c r="AM227" s="6">
        <f t="shared" ref="AM227" ca="1" si="394">+AL227+AM223</f>
        <v>8780.5784337088735</v>
      </c>
      <c r="AN227" s="6">
        <f t="shared" ref="AN227" ca="1" si="395">+AM227+AN223</f>
        <v>11106.216124833114</v>
      </c>
      <c r="AO227" s="6"/>
    </row>
    <row r="228" spans="1:42">
      <c r="D228" t="s">
        <v>212</v>
      </c>
      <c r="G228" s="67"/>
      <c r="H228" s="67"/>
      <c r="I228" s="67"/>
      <c r="J228" s="67"/>
      <c r="K228" s="67"/>
      <c r="L228" s="67">
        <v>0.52800000000000002</v>
      </c>
      <c r="M228" s="67">
        <v>0.84299999999999997</v>
      </c>
      <c r="N228" s="67">
        <v>2.069</v>
      </c>
      <c r="O228" s="67">
        <v>2.3079999999999998</v>
      </c>
      <c r="P228" s="67">
        <v>12.702</v>
      </c>
      <c r="Q228" s="67">
        <v>15.945</v>
      </c>
      <c r="R228" s="67">
        <v>13.539</v>
      </c>
      <c r="S228" s="67">
        <v>18.739000000000001</v>
      </c>
      <c r="T228" s="67">
        <v>21.145</v>
      </c>
      <c r="U228" s="67">
        <v>25.245999999999999</v>
      </c>
      <c r="V228" s="67">
        <v>24.332000000000001</v>
      </c>
      <c r="W228" s="67">
        <v>19.667000000000002</v>
      </c>
      <c r="X228" s="67">
        <v>23.2</v>
      </c>
      <c r="Y228" s="67">
        <v>34.4</v>
      </c>
      <c r="Z228" s="67">
        <v>31</v>
      </c>
      <c r="AA228" s="67">
        <v>27</v>
      </c>
      <c r="AB228" s="67">
        <v>35</v>
      </c>
      <c r="AC228" s="63">
        <f t="shared" ref="AC228:AI228" si="396">+AB228</f>
        <v>35</v>
      </c>
      <c r="AD228" s="63">
        <f t="shared" si="396"/>
        <v>35</v>
      </c>
      <c r="AE228" s="63">
        <f t="shared" si="396"/>
        <v>35</v>
      </c>
      <c r="AF228" s="63">
        <f t="shared" si="396"/>
        <v>35</v>
      </c>
      <c r="AG228" s="63">
        <f t="shared" si="396"/>
        <v>35</v>
      </c>
      <c r="AH228" s="63">
        <f t="shared" si="396"/>
        <v>35</v>
      </c>
      <c r="AI228" s="63">
        <f t="shared" si="396"/>
        <v>35</v>
      </c>
      <c r="AJ228" s="63">
        <f t="shared" ref="AJ228:AL228" si="397">+AI228</f>
        <v>35</v>
      </c>
      <c r="AK228" s="63">
        <f t="shared" si="397"/>
        <v>35</v>
      </c>
      <c r="AL228" s="63">
        <f t="shared" si="397"/>
        <v>35</v>
      </c>
      <c r="AM228" s="63">
        <f t="shared" ref="AM228:AM229" si="398">+AL228</f>
        <v>35</v>
      </c>
      <c r="AN228" s="63">
        <f t="shared" ref="AN228:AN229" si="399">+AM228</f>
        <v>35</v>
      </c>
      <c r="AO228" s="6"/>
    </row>
    <row r="229" spans="1:42">
      <c r="D229" t="s">
        <v>138</v>
      </c>
      <c r="G229" s="67"/>
      <c r="H229" s="67"/>
      <c r="I229" s="67"/>
      <c r="J229" s="67"/>
      <c r="K229" s="67"/>
      <c r="L229" s="67">
        <v>27.655000000000001</v>
      </c>
      <c r="M229" s="67">
        <v>32.655000000000001</v>
      </c>
      <c r="N229" s="67">
        <v>47.177</v>
      </c>
      <c r="O229" s="67">
        <v>61.079000000000001</v>
      </c>
      <c r="P229" s="67">
        <v>91.244</v>
      </c>
      <c r="Q229" s="67">
        <v>90.897999999999996</v>
      </c>
      <c r="R229" s="67">
        <v>96.259</v>
      </c>
      <c r="S229" s="67">
        <v>126.98699999999999</v>
      </c>
      <c r="T229" s="67">
        <v>191.446</v>
      </c>
      <c r="U229" s="67">
        <v>200.05600000000001</v>
      </c>
      <c r="V229" s="67">
        <v>226.77099999999999</v>
      </c>
      <c r="W229" s="67">
        <v>243.554</v>
      </c>
      <c r="X229" s="67">
        <v>316.5</v>
      </c>
      <c r="Y229" s="67">
        <v>361.8</v>
      </c>
      <c r="Z229" s="67">
        <v>422</v>
      </c>
      <c r="AA229" s="67">
        <v>483</v>
      </c>
      <c r="AB229" s="67">
        <v>600</v>
      </c>
      <c r="AC229" s="63">
        <f t="shared" ref="AC229:AI231" si="400">+AB229</f>
        <v>600</v>
      </c>
      <c r="AD229" s="63">
        <f t="shared" si="400"/>
        <v>600</v>
      </c>
      <c r="AE229" s="63">
        <f t="shared" si="400"/>
        <v>600</v>
      </c>
      <c r="AF229" s="63">
        <f t="shared" si="400"/>
        <v>600</v>
      </c>
      <c r="AG229" s="63">
        <f t="shared" si="400"/>
        <v>600</v>
      </c>
      <c r="AH229" s="63">
        <f t="shared" si="400"/>
        <v>600</v>
      </c>
      <c r="AI229" s="63">
        <f t="shared" si="400"/>
        <v>600</v>
      </c>
      <c r="AJ229" s="63">
        <f t="shared" ref="AJ229:AL229" si="401">+AI229</f>
        <v>600</v>
      </c>
      <c r="AK229" s="63">
        <f t="shared" si="401"/>
        <v>600</v>
      </c>
      <c r="AL229" s="63">
        <f t="shared" si="401"/>
        <v>600</v>
      </c>
      <c r="AM229" s="63">
        <f t="shared" si="398"/>
        <v>600</v>
      </c>
      <c r="AN229" s="63">
        <f t="shared" si="399"/>
        <v>600</v>
      </c>
      <c r="AO229" s="6"/>
    </row>
    <row r="230" spans="1:42">
      <c r="D230" t="s">
        <v>139</v>
      </c>
      <c r="G230" s="67"/>
      <c r="H230" s="67"/>
      <c r="I230" s="67"/>
      <c r="J230" s="67"/>
      <c r="K230" s="67"/>
      <c r="L230" s="67">
        <v>0.93200000000000005</v>
      </c>
      <c r="M230" s="67">
        <v>3.32</v>
      </c>
      <c r="N230" s="67">
        <v>1.2170000000000001</v>
      </c>
      <c r="O230" s="67">
        <v>9.9789999999999992</v>
      </c>
      <c r="P230" s="67">
        <v>22.323</v>
      </c>
      <c r="Q230" s="67">
        <v>23.722999999999999</v>
      </c>
      <c r="R230" s="67">
        <v>21.222000000000001</v>
      </c>
      <c r="S230" s="67">
        <v>0.47</v>
      </c>
      <c r="T230" s="67">
        <v>0.78</v>
      </c>
      <c r="U230" s="67">
        <v>0</v>
      </c>
      <c r="V230" s="67">
        <v>0</v>
      </c>
      <c r="W230" s="67">
        <v>4.2359999999999998</v>
      </c>
      <c r="X230" s="67">
        <v>0</v>
      </c>
      <c r="Y230" s="67">
        <v>0</v>
      </c>
      <c r="Z230" s="67">
        <v>0</v>
      </c>
      <c r="AA230" s="67">
        <v>0</v>
      </c>
      <c r="AB230" s="67">
        <v>0</v>
      </c>
      <c r="AC230" s="67">
        <v>0</v>
      </c>
      <c r="AD230" s="67">
        <v>0</v>
      </c>
      <c r="AE230" s="67">
        <v>0</v>
      </c>
      <c r="AF230" s="67">
        <v>0</v>
      </c>
      <c r="AG230" s="67">
        <v>0</v>
      </c>
      <c r="AH230" s="67">
        <v>0</v>
      </c>
      <c r="AI230" s="67">
        <v>0</v>
      </c>
      <c r="AJ230" s="67">
        <v>0</v>
      </c>
      <c r="AK230" s="67">
        <v>0</v>
      </c>
      <c r="AL230" s="67">
        <v>0</v>
      </c>
      <c r="AM230" s="67">
        <v>0</v>
      </c>
      <c r="AN230" s="67">
        <v>0</v>
      </c>
      <c r="AO230" s="6"/>
    </row>
    <row r="231" spans="1:42">
      <c r="D231" t="s">
        <v>121</v>
      </c>
      <c r="G231" s="67"/>
      <c r="H231" s="67"/>
      <c r="I231" s="67"/>
      <c r="J231" s="67"/>
      <c r="K231" s="67"/>
      <c r="L231" s="67">
        <f>11.535+3.992+2.359</f>
        <v>17.886000000000003</v>
      </c>
      <c r="M231" s="67">
        <f>0.858+13.186+5.378+1.153</f>
        <v>20.574999999999999</v>
      </c>
      <c r="N231" s="67">
        <f>10.839+7.608+0.661+1.096</f>
        <v>20.204000000000001</v>
      </c>
      <c r="O231" s="67">
        <f>15.392+8.395+1.504+3.779</f>
        <v>29.07</v>
      </c>
      <c r="P231" s="67">
        <f>21.349+19.606+3.833+2.25+4.445</f>
        <v>51.482999999999997</v>
      </c>
      <c r="Q231" s="67">
        <f>25.607+26.463</f>
        <v>52.07</v>
      </c>
      <c r="R231" s="67">
        <f>26.244+29.772</f>
        <v>56.015999999999998</v>
      </c>
      <c r="S231" s="67">
        <f>36.926+29.178</f>
        <v>66.103999999999999</v>
      </c>
      <c r="T231" s="67">
        <f>55.728+65.115</f>
        <v>120.84299999999999</v>
      </c>
      <c r="U231" s="67">
        <f>51.483+63.294</f>
        <v>114.77699999999999</v>
      </c>
      <c r="V231" s="67">
        <f>59.483+67.246</f>
        <v>126.72899999999998</v>
      </c>
      <c r="W231" s="67">
        <f>56.541+96.181</f>
        <v>152.72199999999998</v>
      </c>
      <c r="X231" s="67">
        <f>64.1+100.1</f>
        <v>164.2</v>
      </c>
      <c r="Y231" s="67">
        <f>142.7+79.7</f>
        <v>222.39999999999998</v>
      </c>
      <c r="Z231" s="67">
        <f>110+184</f>
        <v>294</v>
      </c>
      <c r="AA231" s="67">
        <f>98+219</f>
        <v>317</v>
      </c>
      <c r="AB231" s="67">
        <f>140+296</f>
        <v>436</v>
      </c>
      <c r="AC231" s="63">
        <f t="shared" si="400"/>
        <v>436</v>
      </c>
      <c r="AD231" s="63">
        <f t="shared" si="400"/>
        <v>436</v>
      </c>
      <c r="AE231" s="63">
        <f t="shared" si="400"/>
        <v>436</v>
      </c>
      <c r="AF231" s="63">
        <f t="shared" si="400"/>
        <v>436</v>
      </c>
      <c r="AG231" s="63">
        <f t="shared" si="400"/>
        <v>436</v>
      </c>
      <c r="AH231" s="63">
        <f t="shared" si="400"/>
        <v>436</v>
      </c>
      <c r="AI231" s="63">
        <f t="shared" si="400"/>
        <v>436</v>
      </c>
      <c r="AJ231" s="63">
        <f t="shared" ref="AJ231:AL231" si="402">+AI231</f>
        <v>436</v>
      </c>
      <c r="AK231" s="63">
        <f t="shared" si="402"/>
        <v>436</v>
      </c>
      <c r="AL231" s="63">
        <f t="shared" si="402"/>
        <v>436</v>
      </c>
      <c r="AM231" s="63">
        <f t="shared" ref="AM231" si="403">+AL231</f>
        <v>436</v>
      </c>
      <c r="AN231" s="63">
        <f t="shared" ref="AN231" si="404">+AM231</f>
        <v>436</v>
      </c>
      <c r="AO231" s="6"/>
    </row>
    <row r="232" spans="1:42" s="3" customFormat="1">
      <c r="A232" s="99" t="s">
        <v>192</v>
      </c>
      <c r="D232" s="2" t="s">
        <v>140</v>
      </c>
      <c r="E232" s="2"/>
      <c r="F232" s="2"/>
      <c r="G232" s="7"/>
      <c r="H232" s="7"/>
      <c r="I232" s="7"/>
      <c r="J232" s="7"/>
      <c r="K232" s="7"/>
      <c r="L232" s="7">
        <f t="shared" ref="L232:AL232" si="405">SUM(L227:L231)</f>
        <v>65.286000000000001</v>
      </c>
      <c r="M232" s="7">
        <f t="shared" si="405"/>
        <v>83.2</v>
      </c>
      <c r="N232" s="7">
        <f t="shared" si="405"/>
        <v>90.462999999999994</v>
      </c>
      <c r="O232" s="7">
        <f t="shared" si="405"/>
        <v>132.84100000000001</v>
      </c>
      <c r="P232" s="7">
        <f t="shared" si="405"/>
        <v>211.001</v>
      </c>
      <c r="Q232" s="7">
        <f t="shared" si="405"/>
        <v>213.54699999999997</v>
      </c>
      <c r="R232" s="7">
        <f t="shared" si="405"/>
        <v>220.52799999999999</v>
      </c>
      <c r="S232" s="7">
        <f t="shared" si="405"/>
        <v>253.613</v>
      </c>
      <c r="T232" s="7">
        <f t="shared" si="405"/>
        <v>412.18099999999993</v>
      </c>
      <c r="U232" s="7">
        <f t="shared" si="405"/>
        <v>410.75799999999998</v>
      </c>
      <c r="V232" s="7">
        <f t="shared" si="405"/>
        <v>556.30299999999988</v>
      </c>
      <c r="W232" s="7">
        <f t="shared" si="405"/>
        <v>773.678</v>
      </c>
      <c r="X232" s="7">
        <f t="shared" si="405"/>
        <v>992.90000000000009</v>
      </c>
      <c r="Y232" s="7">
        <f t="shared" si="405"/>
        <v>1207.1999999999998</v>
      </c>
      <c r="Z232" s="7">
        <f t="shared" si="405"/>
        <v>1063</v>
      </c>
      <c r="AA232" s="7">
        <f t="shared" ref="AA232:AB232" si="406">SUM(AA227:AA231)</f>
        <v>1585</v>
      </c>
      <c r="AB232" s="7">
        <f t="shared" si="406"/>
        <v>1834</v>
      </c>
      <c r="AC232" s="7">
        <f t="shared" ca="1" si="405"/>
        <v>1928.2491003967016</v>
      </c>
      <c r="AD232" s="7">
        <f t="shared" ca="1" si="405"/>
        <v>1748.0926534300318</v>
      </c>
      <c r="AE232" s="7">
        <f t="shared" ca="1" si="405"/>
        <v>2068.7576746345958</v>
      </c>
      <c r="AF232" s="7">
        <f t="shared" ca="1" si="405"/>
        <v>2554.8100477556964</v>
      </c>
      <c r="AG232" s="7">
        <f t="shared" ca="1" si="405"/>
        <v>3054.4921427932463</v>
      </c>
      <c r="AH232" s="7">
        <f t="shared" ca="1" si="405"/>
        <v>3630.4289706454929</v>
      </c>
      <c r="AI232" s="7">
        <f t="shared" ca="1" si="405"/>
        <v>4344.8939334423576</v>
      </c>
      <c r="AJ232" s="7">
        <f t="shared" ca="1" si="405"/>
        <v>5259.6048951100111</v>
      </c>
      <c r="AK232" s="7">
        <f t="shared" ca="1" si="405"/>
        <v>6404.4943279081535</v>
      </c>
      <c r="AL232" s="7">
        <f t="shared" ca="1" si="405"/>
        <v>7937.7744670116108</v>
      </c>
      <c r="AM232" s="7">
        <f t="shared" ref="AM232:AN232" ca="1" si="407">SUM(AM227:AM231)</f>
        <v>9851.5784337088735</v>
      </c>
      <c r="AN232" s="7">
        <f t="shared" ca="1" si="407"/>
        <v>12177.216124833114</v>
      </c>
      <c r="AO232" s="55"/>
    </row>
    <row r="233" spans="1:42">
      <c r="A233" s="99" t="s">
        <v>141</v>
      </c>
      <c r="D233" t="s">
        <v>141</v>
      </c>
      <c r="G233" s="67"/>
      <c r="H233" s="67"/>
      <c r="I233" s="67"/>
      <c r="J233" s="67"/>
      <c r="K233" s="67"/>
      <c r="L233" s="67">
        <v>6.4459999999999997</v>
      </c>
      <c r="M233" s="67">
        <v>6.3849999999999998</v>
      </c>
      <c r="N233" s="67">
        <v>8.0250000000000004</v>
      </c>
      <c r="O233" s="67">
        <v>9.3810000000000002</v>
      </c>
      <c r="P233" s="67">
        <v>10.539</v>
      </c>
      <c r="Q233" s="67">
        <v>13.468999999999999</v>
      </c>
      <c r="R233" s="67">
        <v>14.590999999999999</v>
      </c>
      <c r="S233" s="67">
        <v>21.3</v>
      </c>
      <c r="T233" s="67">
        <v>36.017000000000003</v>
      </c>
      <c r="U233" s="67">
        <v>37.226999999999997</v>
      </c>
      <c r="V233" s="67">
        <v>42.072000000000003</v>
      </c>
      <c r="W233" s="67">
        <v>46.395000000000003</v>
      </c>
      <c r="X233" s="67">
        <v>53.8</v>
      </c>
      <c r="Y233" s="67">
        <v>67.400000000000006</v>
      </c>
      <c r="Z233" s="67">
        <v>78</v>
      </c>
      <c r="AA233" s="67">
        <v>86</v>
      </c>
      <c r="AB233" s="67">
        <v>93</v>
      </c>
      <c r="AC233" s="6">
        <f t="shared" ref="AC233:AL233" si="408">+AC356</f>
        <v>111.181275</v>
      </c>
      <c r="AD233" s="6">
        <f t="shared" si="408"/>
        <v>135.98651325</v>
      </c>
      <c r="AE233" s="6">
        <f t="shared" si="408"/>
        <v>165.989348361</v>
      </c>
      <c r="AF233" s="6">
        <f t="shared" si="408"/>
        <v>201.55011935557874</v>
      </c>
      <c r="AG233" s="6">
        <f t="shared" si="408"/>
        <v>240.4820028118292</v>
      </c>
      <c r="AH233" s="6">
        <f t="shared" si="408"/>
        <v>291.64045991749003</v>
      </c>
      <c r="AI233" s="6">
        <f t="shared" si="408"/>
        <v>333.17433046152519</v>
      </c>
      <c r="AJ233" s="6">
        <f t="shared" si="408"/>
        <v>375.72690349329804</v>
      </c>
      <c r="AK233" s="6">
        <f t="shared" si="408"/>
        <v>420.06648457113721</v>
      </c>
      <c r="AL233" s="6">
        <f t="shared" si="408"/>
        <v>465.55472223930855</v>
      </c>
      <c r="AM233" s="6">
        <f t="shared" ref="AM233:AN233" si="409">+AM356</f>
        <v>511.43667715399636</v>
      </c>
      <c r="AN233" s="6">
        <f t="shared" si="409"/>
        <v>559.4124903016284</v>
      </c>
      <c r="AO233" s="6"/>
    </row>
    <row r="234" spans="1:42">
      <c r="A234" s="99" t="s">
        <v>142</v>
      </c>
      <c r="D234" t="s">
        <v>142</v>
      </c>
      <c r="G234" s="67"/>
      <c r="H234" s="67"/>
      <c r="I234" s="67"/>
      <c r="J234" s="67"/>
      <c r="K234" s="67"/>
      <c r="L234" s="67">
        <v>23.72</v>
      </c>
      <c r="M234" s="67">
        <v>26.885999999999999</v>
      </c>
      <c r="N234" s="67">
        <v>28.594000000000001</v>
      </c>
      <c r="O234" s="67">
        <v>39.936999999999998</v>
      </c>
      <c r="P234" s="67">
        <v>40.976999999999997</v>
      </c>
      <c r="Q234" s="67">
        <v>50.145000000000003</v>
      </c>
      <c r="R234" s="67">
        <v>59.491</v>
      </c>
      <c r="S234" s="67">
        <v>91.224999999999994</v>
      </c>
      <c r="T234" s="67">
        <v>220.96899999999999</v>
      </c>
      <c r="U234" s="67">
        <v>219.92</v>
      </c>
      <c r="V234" s="67">
        <v>216.26300000000001</v>
      </c>
      <c r="W234" s="67">
        <v>226.50200000000001</v>
      </c>
      <c r="X234" s="67">
        <v>259.2</v>
      </c>
      <c r="Y234" s="67">
        <v>301.89999999999998</v>
      </c>
      <c r="Z234" s="67">
        <v>361</v>
      </c>
      <c r="AA234" s="67">
        <v>435</v>
      </c>
      <c r="AB234" s="67">
        <v>614</v>
      </c>
      <c r="AC234" s="6">
        <f t="shared" ref="AC234:AL234" si="410">+AC351</f>
        <v>803.05425000000002</v>
      </c>
      <c r="AD234" s="6">
        <f t="shared" si="410"/>
        <v>990.10039500000005</v>
      </c>
      <c r="AE234" s="6">
        <f t="shared" si="410"/>
        <v>1193.9636050065001</v>
      </c>
      <c r="AF234" s="6">
        <f t="shared" si="410"/>
        <v>1412.6637931025821</v>
      </c>
      <c r="AG234" s="6">
        <f t="shared" si="410"/>
        <v>1642.518085976312</v>
      </c>
      <c r="AH234" s="6">
        <f t="shared" si="410"/>
        <v>1894.1002317600344</v>
      </c>
      <c r="AI234" s="6">
        <f t="shared" si="410"/>
        <v>2165.5008437592505</v>
      </c>
      <c r="AJ234" s="6">
        <f t="shared" si="410"/>
        <v>2439.6824943334318</v>
      </c>
      <c r="AK234" s="6">
        <f t="shared" si="410"/>
        <v>2722.3794165217892</v>
      </c>
      <c r="AL234" s="6">
        <f t="shared" si="410"/>
        <v>3007.6229374542913</v>
      </c>
      <c r="AM234" s="6">
        <f t="shared" ref="AM234:AN234" si="411">+AM351</f>
        <v>3288.9634755375323</v>
      </c>
      <c r="AN234" s="6">
        <f t="shared" si="411"/>
        <v>3577.4265473693154</v>
      </c>
      <c r="AO234" s="6"/>
    </row>
    <row r="235" spans="1:42">
      <c r="A235" s="99" t="s">
        <v>143</v>
      </c>
      <c r="D235" t="s">
        <v>143</v>
      </c>
      <c r="G235" s="67"/>
      <c r="H235" s="67"/>
      <c r="I235" s="67"/>
      <c r="J235" s="67"/>
      <c r="K235" s="67"/>
      <c r="L235" s="67">
        <v>58.258000000000003</v>
      </c>
      <c r="M235" s="67">
        <v>66.084999999999994</v>
      </c>
      <c r="N235" s="67">
        <v>128.94200000000001</v>
      </c>
      <c r="O235" s="67">
        <v>188.07</v>
      </c>
      <c r="P235" s="67">
        <v>187.78800000000001</v>
      </c>
      <c r="Q235" s="67">
        <f>269.987-Q234</f>
        <v>219.84200000000001</v>
      </c>
      <c r="R235" s="67">
        <f>267.792-R234</f>
        <v>208.30099999999999</v>
      </c>
      <c r="S235" s="67">
        <f>402.355-S234</f>
        <v>311.13</v>
      </c>
      <c r="T235" s="67">
        <f>981.662-T234</f>
        <v>760.69299999999998</v>
      </c>
      <c r="U235" s="67">
        <f>887.435-U234</f>
        <v>667.51499999999999</v>
      </c>
      <c r="V235" s="67">
        <f>952.109-V234</f>
        <v>735.846</v>
      </c>
      <c r="W235" s="67">
        <f>993.743-W234</f>
        <v>767.24099999999999</v>
      </c>
      <c r="X235" s="67">
        <f>1181.3-X234</f>
        <v>922.09999999999991</v>
      </c>
      <c r="Y235" s="67">
        <f>1549.3-Y234</f>
        <v>1247.4000000000001</v>
      </c>
      <c r="Z235" s="67">
        <f>1997-Z234</f>
        <v>1636</v>
      </c>
      <c r="AA235" s="67">
        <f>2325-AA234</f>
        <v>1890</v>
      </c>
      <c r="AB235" s="67">
        <f>3428-AB234</f>
        <v>2814</v>
      </c>
      <c r="AC235" s="6">
        <f t="shared" ref="AC235:AL235" si="412">+AC345</f>
        <v>3862.6967884615387</v>
      </c>
      <c r="AD235" s="6">
        <f t="shared" si="412"/>
        <v>4648.4546763461549</v>
      </c>
      <c r="AE235" s="6">
        <f t="shared" si="412"/>
        <v>5395.2419736841175</v>
      </c>
      <c r="AF235" s="6">
        <f t="shared" si="412"/>
        <v>6094.260514253674</v>
      </c>
      <c r="AG235" s="6">
        <f t="shared" si="412"/>
        <v>6722.9674007806361</v>
      </c>
      <c r="AH235" s="6">
        <f t="shared" si="412"/>
        <v>7397.9492792876053</v>
      </c>
      <c r="AI235" s="6">
        <f t="shared" si="412"/>
        <v>8089.7585990947282</v>
      </c>
      <c r="AJ235" s="6">
        <f t="shared" si="412"/>
        <v>8634.6562228792882</v>
      </c>
      <c r="AK235" s="6">
        <f t="shared" si="412"/>
        <v>9123.0633476504481</v>
      </c>
      <c r="AL235" s="6">
        <f t="shared" si="412"/>
        <v>9513.2141158330851</v>
      </c>
      <c r="AM235" s="6">
        <f t="shared" ref="AM235:AN235" si="413">+AM345</f>
        <v>9769.2810798360715</v>
      </c>
      <c r="AN235" s="6">
        <f t="shared" si="413"/>
        <v>10028.024118847385</v>
      </c>
      <c r="AO235" s="6"/>
    </row>
    <row r="236" spans="1:42">
      <c r="A236" s="99" t="s">
        <v>139</v>
      </c>
      <c r="D236" t="s">
        <v>139</v>
      </c>
      <c r="G236" s="67"/>
      <c r="H236" s="67"/>
      <c r="I236" s="67"/>
      <c r="J236" s="67"/>
      <c r="K236" s="67"/>
      <c r="L236" s="67">
        <v>0</v>
      </c>
      <c r="M236" s="67">
        <v>0</v>
      </c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7">
        <v>0</v>
      </c>
      <c r="T236" s="67">
        <v>0</v>
      </c>
      <c r="U236" s="67">
        <v>0</v>
      </c>
      <c r="V236" s="67">
        <v>0</v>
      </c>
      <c r="W236" s="67">
        <v>0</v>
      </c>
      <c r="X236" s="67">
        <v>0</v>
      </c>
      <c r="Y236" s="67">
        <v>0</v>
      </c>
      <c r="Z236" s="67">
        <v>0</v>
      </c>
      <c r="AA236" s="67">
        <v>0</v>
      </c>
      <c r="AB236" s="67">
        <v>0</v>
      </c>
      <c r="AC236" s="67">
        <v>0</v>
      </c>
      <c r="AD236" s="67">
        <v>0</v>
      </c>
      <c r="AE236" s="67">
        <v>0</v>
      </c>
      <c r="AF236" s="67">
        <v>0</v>
      </c>
      <c r="AG236" s="67">
        <v>0</v>
      </c>
      <c r="AH236" s="67">
        <v>0</v>
      </c>
      <c r="AI236" s="67">
        <v>0</v>
      </c>
      <c r="AJ236" s="67">
        <v>0</v>
      </c>
      <c r="AK236" s="67">
        <v>0</v>
      </c>
      <c r="AL236" s="67">
        <v>0</v>
      </c>
      <c r="AM236" s="67">
        <v>0</v>
      </c>
      <c r="AN236" s="67">
        <v>0</v>
      </c>
      <c r="AO236" s="6"/>
    </row>
    <row r="237" spans="1:42">
      <c r="A237" s="99"/>
      <c r="D237" t="s">
        <v>449</v>
      </c>
      <c r="G237" s="67"/>
      <c r="H237" s="67"/>
      <c r="I237" s="67"/>
      <c r="J237" s="67"/>
      <c r="K237" s="67"/>
      <c r="L237" s="67">
        <v>0</v>
      </c>
      <c r="M237" s="67">
        <v>0</v>
      </c>
      <c r="N237" s="67">
        <v>0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67">
        <v>0</v>
      </c>
      <c r="U237" s="67">
        <v>0</v>
      </c>
      <c r="V237" s="67">
        <v>0</v>
      </c>
      <c r="W237" s="67">
        <v>0</v>
      </c>
      <c r="X237" s="67">
        <v>0</v>
      </c>
      <c r="Y237" s="67">
        <v>0</v>
      </c>
      <c r="Z237" s="67">
        <v>0</v>
      </c>
      <c r="AA237" s="67">
        <v>0</v>
      </c>
      <c r="AB237" s="67">
        <v>0</v>
      </c>
      <c r="AC237" s="63">
        <f t="shared" ref="AC237:AL237" ca="1" si="414">+AB237-AC208</f>
        <v>0</v>
      </c>
      <c r="AD237" s="63">
        <f t="shared" ca="1" si="414"/>
        <v>0</v>
      </c>
      <c r="AE237" s="63">
        <f t="shared" ca="1" si="414"/>
        <v>7.8318231320721035</v>
      </c>
      <c r="AF237" s="63">
        <f t="shared" ca="1" si="414"/>
        <v>170.02694393639345</v>
      </c>
      <c r="AG237" s="63">
        <f t="shared" ca="1" si="414"/>
        <v>663.13216801549572</v>
      </c>
      <c r="AH237" s="63">
        <f t="shared" ca="1" si="414"/>
        <v>1388.9526621129771</v>
      </c>
      <c r="AI237" s="63">
        <f t="shared" ca="1" si="414"/>
        <v>2375.0511738647319</v>
      </c>
      <c r="AJ237" s="63">
        <f t="shared" ca="1" si="414"/>
        <v>3730.9117100302501</v>
      </c>
      <c r="AK237" s="63">
        <f t="shared" ca="1" si="414"/>
        <v>5423.3490898396367</v>
      </c>
      <c r="AL237" s="63">
        <f t="shared" ca="1" si="414"/>
        <v>7474.5642726223723</v>
      </c>
      <c r="AM237" s="63">
        <f t="shared" ref="AM237" ca="1" si="415">+AL237-AM208</f>
        <v>9891.6061099068211</v>
      </c>
      <c r="AN237" s="63">
        <f t="shared" ref="AN237" ca="1" si="416">+AM237-AN208</f>
        <v>12599.41572733364</v>
      </c>
      <c r="AO237" s="6"/>
    </row>
    <row r="238" spans="1:42">
      <c r="D238" t="s">
        <v>426</v>
      </c>
      <c r="G238" s="67"/>
      <c r="H238" s="67"/>
      <c r="I238" s="67"/>
      <c r="J238" s="67"/>
      <c r="K238" s="67"/>
      <c r="L238" s="67">
        <v>0</v>
      </c>
      <c r="M238" s="67">
        <v>0</v>
      </c>
      <c r="N238" s="67">
        <v>0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67">
        <v>0</v>
      </c>
      <c r="U238" s="67">
        <v>0</v>
      </c>
      <c r="V238" s="67">
        <v>0</v>
      </c>
      <c r="W238" s="67">
        <v>0</v>
      </c>
      <c r="X238" s="67">
        <v>0</v>
      </c>
      <c r="Y238" s="67">
        <v>0</v>
      </c>
      <c r="Z238" s="67">
        <v>234</v>
      </c>
      <c r="AA238" s="67">
        <v>251</v>
      </c>
      <c r="AB238" s="67">
        <v>245</v>
      </c>
      <c r="AC238" s="63">
        <f t="shared" ref="AC238:AL238" si="417">+AC369</f>
        <v>320.46367500000002</v>
      </c>
      <c r="AD238" s="63">
        <f t="shared" si="417"/>
        <v>388.53289500000005</v>
      </c>
      <c r="AE238" s="63">
        <f t="shared" si="417"/>
        <v>461.08152322500001</v>
      </c>
      <c r="AF238" s="63">
        <f t="shared" si="417"/>
        <v>544.73005231237505</v>
      </c>
      <c r="AG238" s="63">
        <f t="shared" si="417"/>
        <v>632.84737582060325</v>
      </c>
      <c r="AH238" s="63">
        <f t="shared" si="417"/>
        <v>729.1011497937252</v>
      </c>
      <c r="AI238" s="63">
        <f t="shared" si="417"/>
        <v>832.93582615381297</v>
      </c>
      <c r="AJ238" s="63">
        <f t="shared" si="417"/>
        <v>939.31725873324513</v>
      </c>
      <c r="AK238" s="63">
        <f t="shared" si="417"/>
        <v>1050.1662114278431</v>
      </c>
      <c r="AL238" s="63">
        <f t="shared" si="417"/>
        <v>1163.8868055982714</v>
      </c>
      <c r="AM238" s="63">
        <f t="shared" ref="AM238:AN238" si="418">+AM369</f>
        <v>1278.5916928849908</v>
      </c>
      <c r="AN238" s="63">
        <f t="shared" si="418"/>
        <v>1398.5312257540709</v>
      </c>
      <c r="AO238" s="6"/>
    </row>
    <row r="239" spans="1:42">
      <c r="D239" t="s">
        <v>121</v>
      </c>
      <c r="G239" s="67"/>
      <c r="H239" s="67"/>
      <c r="I239" s="67"/>
      <c r="J239" s="67"/>
      <c r="K239" s="67"/>
      <c r="L239" s="67">
        <f>3.986+0.787</f>
        <v>4.7730000000000006</v>
      </c>
      <c r="M239" s="67">
        <f>3.429+0.585</f>
        <v>4.0139999999999993</v>
      </c>
      <c r="N239" s="67">
        <f>0.75+3.89+3.49+1.779+1.214</f>
        <v>11.123000000000001</v>
      </c>
      <c r="O239" s="67">
        <f>0.75+5.713+3.643+1.808+3.656</f>
        <v>15.57</v>
      </c>
      <c r="P239" s="67">
        <f>10.155+2.229+2.133+7.169</f>
        <v>21.686</v>
      </c>
      <c r="Q239" s="67">
        <f>15.368+23.548</f>
        <v>38.915999999999997</v>
      </c>
      <c r="R239" s="67">
        <f>99.659+28.005</f>
        <v>127.664</v>
      </c>
      <c r="S239" s="67">
        <f>104.307+31.104</f>
        <v>135.411</v>
      </c>
      <c r="T239" s="67">
        <f>71.673+36.171</f>
        <v>107.84399999999999</v>
      </c>
      <c r="U239" s="67">
        <f>60.763+36.942</f>
        <v>97.704999999999998</v>
      </c>
      <c r="V239" s="67">
        <f>56.65+32.186</f>
        <v>88.835999999999999</v>
      </c>
      <c r="W239" s="67">
        <f>19.782+49.863</f>
        <v>69.644999999999996</v>
      </c>
      <c r="X239" s="67">
        <f>38.4+21.8</f>
        <v>60.2</v>
      </c>
      <c r="Y239" s="67">
        <f>47.3+64.2</f>
        <v>111.5</v>
      </c>
      <c r="Z239" s="67">
        <f>45+72-1</f>
        <v>116</v>
      </c>
      <c r="AA239" s="67">
        <f>52+75+1</f>
        <v>128</v>
      </c>
      <c r="AB239" s="67">
        <f>66+99+1</f>
        <v>166</v>
      </c>
      <c r="AC239" s="63">
        <f t="shared" ref="AC239:AI239" si="419">+AB239</f>
        <v>166</v>
      </c>
      <c r="AD239" s="63">
        <f t="shared" si="419"/>
        <v>166</v>
      </c>
      <c r="AE239" s="63">
        <f t="shared" si="419"/>
        <v>166</v>
      </c>
      <c r="AF239" s="63">
        <f t="shared" si="419"/>
        <v>166</v>
      </c>
      <c r="AG239" s="63">
        <f t="shared" si="419"/>
        <v>166</v>
      </c>
      <c r="AH239" s="63">
        <f t="shared" si="419"/>
        <v>166</v>
      </c>
      <c r="AI239" s="63">
        <f t="shared" si="419"/>
        <v>166</v>
      </c>
      <c r="AJ239" s="63">
        <f t="shared" ref="AJ239:AL239" si="420">+AI239</f>
        <v>166</v>
      </c>
      <c r="AK239" s="63">
        <f t="shared" si="420"/>
        <v>166</v>
      </c>
      <c r="AL239" s="63">
        <f t="shared" si="420"/>
        <v>166</v>
      </c>
      <c r="AM239" s="63">
        <f t="shared" ref="AM239" si="421">+AL239</f>
        <v>166</v>
      </c>
      <c r="AN239" s="63">
        <f t="shared" ref="AN239" si="422">+AM239</f>
        <v>166</v>
      </c>
      <c r="AO239" s="6"/>
    </row>
    <row r="240" spans="1:42" s="3" customFormat="1">
      <c r="A240" s="99" t="s">
        <v>194</v>
      </c>
      <c r="D240" s="2" t="s">
        <v>144</v>
      </c>
      <c r="E240" s="2"/>
      <c r="F240" s="2"/>
      <c r="G240" s="7"/>
      <c r="H240" s="7"/>
      <c r="I240" s="7"/>
      <c r="J240" s="7"/>
      <c r="K240" s="7"/>
      <c r="L240" s="7">
        <f t="shared" ref="L240:AI240" si="423">SUM(L232:L239)</f>
        <v>158.483</v>
      </c>
      <c r="M240" s="7">
        <f t="shared" si="423"/>
        <v>186.57</v>
      </c>
      <c r="N240" s="7">
        <f t="shared" si="423"/>
        <v>267.14699999999999</v>
      </c>
      <c r="O240" s="7">
        <f t="shared" si="423"/>
        <v>385.79899999999998</v>
      </c>
      <c r="P240" s="7">
        <f t="shared" si="423"/>
        <v>471.99099999999999</v>
      </c>
      <c r="Q240" s="7">
        <f t="shared" si="423"/>
        <v>535.91899999999987</v>
      </c>
      <c r="R240" s="7">
        <f t="shared" si="423"/>
        <v>630.57500000000005</v>
      </c>
      <c r="S240" s="7">
        <f t="shared" si="423"/>
        <v>812.67900000000009</v>
      </c>
      <c r="T240" s="7">
        <f t="shared" si="423"/>
        <v>1537.704</v>
      </c>
      <c r="U240" s="7">
        <f t="shared" si="423"/>
        <v>1433.125</v>
      </c>
      <c r="V240" s="7">
        <f t="shared" si="423"/>
        <v>1639.32</v>
      </c>
      <c r="W240" s="7">
        <f t="shared" si="423"/>
        <v>1883.461</v>
      </c>
      <c r="X240" s="7">
        <f t="shared" si="423"/>
        <v>2288.1999999999998</v>
      </c>
      <c r="Y240" s="7">
        <f t="shared" si="423"/>
        <v>2935.4</v>
      </c>
      <c r="Z240" s="7">
        <f t="shared" si="423"/>
        <v>3488</v>
      </c>
      <c r="AA240" s="7">
        <f t="shared" ref="AA240:AB240" si="424">SUM(AA232:AA239)</f>
        <v>4375</v>
      </c>
      <c r="AB240" s="7">
        <f t="shared" si="424"/>
        <v>5766</v>
      </c>
      <c r="AC240" s="7">
        <f t="shared" ca="1" si="423"/>
        <v>7191.6450888582403</v>
      </c>
      <c r="AD240" s="7">
        <f t="shared" ca="1" si="423"/>
        <v>8077.167133026187</v>
      </c>
      <c r="AE240" s="7">
        <f t="shared" ca="1" si="423"/>
        <v>9458.8659480432852</v>
      </c>
      <c r="AF240" s="7">
        <f t="shared" ca="1" si="423"/>
        <v>11144.0414707163</v>
      </c>
      <c r="AG240" s="7">
        <f t="shared" ca="1" si="423"/>
        <v>13122.439176198124</v>
      </c>
      <c r="AH240" s="7">
        <f t="shared" ca="1" si="423"/>
        <v>15498.172753517325</v>
      </c>
      <c r="AI240" s="7">
        <f t="shared" ca="1" si="423"/>
        <v>18307.314706776408</v>
      </c>
      <c r="AJ240" s="7">
        <f t="shared" ref="AJ240:AL240" ca="1" si="425">SUM(AJ232:AJ239)</f>
        <v>21545.899484579524</v>
      </c>
      <c r="AK240" s="7">
        <f t="shared" ca="1" si="425"/>
        <v>25309.51887791901</v>
      </c>
      <c r="AL240" s="7">
        <f t="shared" ca="1" si="425"/>
        <v>29728.617320758942</v>
      </c>
      <c r="AM240" s="7">
        <f t="shared" ref="AM240:AN240" ca="1" si="426">SUM(AM232:AM239)</f>
        <v>34757.45746902829</v>
      </c>
      <c r="AN240" s="7">
        <f t="shared" ca="1" si="426"/>
        <v>40506.026234439152</v>
      </c>
      <c r="AO240" s="55"/>
    </row>
    <row r="241" spans="1:46">
      <c r="G241" s="6"/>
      <c r="H241" s="6"/>
      <c r="I241" s="6"/>
      <c r="J241" s="6"/>
      <c r="K241" s="6"/>
      <c r="L241" s="6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6">
      <c r="A242" s="99" t="s">
        <v>195</v>
      </c>
      <c r="D242" t="s">
        <v>145</v>
      </c>
      <c r="G242" s="67"/>
      <c r="H242" s="67"/>
      <c r="I242" s="67"/>
      <c r="J242" s="67"/>
      <c r="K242" s="67"/>
      <c r="L242" s="67">
        <v>0</v>
      </c>
      <c r="M242" s="67">
        <v>0</v>
      </c>
      <c r="N242" s="67">
        <v>19.341999999999999</v>
      </c>
      <c r="O242" s="67">
        <v>60.2</v>
      </c>
      <c r="P242" s="67">
        <v>43</v>
      </c>
      <c r="Q242" s="67">
        <v>46.040999999999997</v>
      </c>
      <c r="R242" s="67">
        <v>0</v>
      </c>
      <c r="S242" s="67">
        <v>44.356000000000002</v>
      </c>
      <c r="T242" s="67">
        <v>477.17</v>
      </c>
      <c r="U242" s="67">
        <f>63.894+2.432</f>
        <v>66.325999999999993</v>
      </c>
      <c r="V242" s="67">
        <v>8.7249999999999996</v>
      </c>
      <c r="W242" s="67">
        <v>7.3609999999999998</v>
      </c>
      <c r="X242" s="67">
        <v>96.4</v>
      </c>
      <c r="Y242" s="67">
        <v>51.2</v>
      </c>
      <c r="Z242" s="67">
        <f>57+63</f>
        <v>120</v>
      </c>
      <c r="AA242" s="67">
        <v>28</v>
      </c>
      <c r="AB242" s="67">
        <f>60+143</f>
        <v>203</v>
      </c>
      <c r="AC242" s="63">
        <f t="shared" ref="AC242:AL242" si="427">+AB242</f>
        <v>203</v>
      </c>
      <c r="AD242" s="63">
        <f t="shared" si="427"/>
        <v>203</v>
      </c>
      <c r="AE242" s="63">
        <f t="shared" si="427"/>
        <v>203</v>
      </c>
      <c r="AF242" s="63">
        <f t="shared" si="427"/>
        <v>203</v>
      </c>
      <c r="AG242" s="63">
        <f t="shared" si="427"/>
        <v>203</v>
      </c>
      <c r="AH242" s="63">
        <f t="shared" si="427"/>
        <v>203</v>
      </c>
      <c r="AI242" s="63">
        <f t="shared" si="427"/>
        <v>203</v>
      </c>
      <c r="AJ242" s="63">
        <f t="shared" si="427"/>
        <v>203</v>
      </c>
      <c r="AK242" s="63">
        <f t="shared" si="427"/>
        <v>203</v>
      </c>
      <c r="AL242" s="63">
        <f t="shared" si="427"/>
        <v>203</v>
      </c>
      <c r="AM242" s="63">
        <f t="shared" ref="AM242" si="428">+AL242</f>
        <v>203</v>
      </c>
      <c r="AN242" s="63">
        <f t="shared" ref="AN242" si="429">+AM242</f>
        <v>203</v>
      </c>
      <c r="AO242" s="6"/>
    </row>
    <row r="243" spans="1:46">
      <c r="D243" t="s">
        <v>146</v>
      </c>
      <c r="G243" s="67"/>
      <c r="H243" s="67"/>
      <c r="I243" s="67"/>
      <c r="J243" s="67"/>
      <c r="K243" s="67"/>
      <c r="L243" s="67">
        <v>34.652999999999999</v>
      </c>
      <c r="M243" s="67">
        <v>41.820999999999998</v>
      </c>
      <c r="N243" s="67">
        <v>43.892000000000003</v>
      </c>
      <c r="O243" s="67">
        <v>63.429000000000002</v>
      </c>
      <c r="P243" s="67">
        <v>111.307</v>
      </c>
      <c r="Q243" s="67">
        <f>104.905</f>
        <v>104.905</v>
      </c>
      <c r="R243" s="67">
        <v>114.952</v>
      </c>
      <c r="S243" s="67">
        <f>147.559+20.945</f>
        <v>168.50399999999999</v>
      </c>
      <c r="T243" s="67">
        <f>260.585+21.031</f>
        <v>281.61599999999999</v>
      </c>
      <c r="U243" s="67">
        <f>244.996+21.192</f>
        <v>266.18799999999999</v>
      </c>
      <c r="V243" s="67">
        <f>274.981+21.326</f>
        <v>296.30700000000002</v>
      </c>
      <c r="W243" s="67">
        <f>291.697+21.051</f>
        <v>312.74799999999999</v>
      </c>
      <c r="X243" s="67">
        <f>379.3+21.6</f>
        <v>400.90000000000003</v>
      </c>
      <c r="Y243" s="67">
        <f>463.9+20.9</f>
        <v>484.79999999999995</v>
      </c>
      <c r="Z243" s="67">
        <f>529+21</f>
        <v>550</v>
      </c>
      <c r="AA243" s="67">
        <f>666+21</f>
        <v>687</v>
      </c>
      <c r="AB243" s="67">
        <f>832+22</f>
        <v>854</v>
      </c>
      <c r="AC243" s="6">
        <f t="shared" ref="AC243:AL243" si="430">(AB243/SUM(AB$243:AB$245)*-AC$261)+AB243</f>
        <v>982.90199645748305</v>
      </c>
      <c r="AD243" s="6">
        <f t="shared" si="430"/>
        <v>1095.0958743891133</v>
      </c>
      <c r="AE243" s="6">
        <f t="shared" si="430"/>
        <v>1228.0707407504176</v>
      </c>
      <c r="AF243" s="6">
        <f t="shared" si="430"/>
        <v>1382.2742585913243</v>
      </c>
      <c r="AG243" s="6">
        <f t="shared" si="430"/>
        <v>1546.0575221490524</v>
      </c>
      <c r="AH243" s="6">
        <f t="shared" si="430"/>
        <v>1726.1994822609906</v>
      </c>
      <c r="AI243" s="6">
        <f t="shared" si="430"/>
        <v>1921.921530721067</v>
      </c>
      <c r="AJ243" s="6">
        <f t="shared" si="430"/>
        <v>2124.2293998781493</v>
      </c>
      <c r="AK243" s="6">
        <f t="shared" si="430"/>
        <v>2336.7407464001112</v>
      </c>
      <c r="AL243" s="6">
        <f t="shared" si="430"/>
        <v>2556.6432267707178</v>
      </c>
      <c r="AM243" s="6">
        <f t="shared" ref="AM243" si="431">(AL243/SUM(AL$243:AL$245)*-AM$261)+AL243</f>
        <v>2780.5252655722502</v>
      </c>
      <c r="AN243" s="6">
        <f t="shared" ref="AN243" si="432">(AM243/SUM(AM$243:AM$245)*-AN$261)+AM243</f>
        <v>3016.3670038917126</v>
      </c>
      <c r="AO243" s="6"/>
      <c r="AQ243" s="199"/>
    </row>
    <row r="244" spans="1:46">
      <c r="D244" t="s">
        <v>147</v>
      </c>
      <c r="G244" s="67"/>
      <c r="H244" s="67"/>
      <c r="I244" s="67"/>
      <c r="J244" s="67"/>
      <c r="K244" s="67"/>
      <c r="L244" s="67">
        <v>44.939</v>
      </c>
      <c r="M244" s="67">
        <v>56.19</v>
      </c>
      <c r="N244" s="67">
        <v>78.87</v>
      </c>
      <c r="O244" s="67">
        <v>115.46599999999999</v>
      </c>
      <c r="P244" s="67">
        <v>128.35900000000001</v>
      </c>
      <c r="Q244" s="67">
        <v>158.02500000000001</v>
      </c>
      <c r="R244" s="67">
        <v>181.45</v>
      </c>
      <c r="S244" s="67">
        <v>227.584</v>
      </c>
      <c r="T244" s="67">
        <v>306.21300000000002</v>
      </c>
      <c r="U244" s="67">
        <v>347.33600000000001</v>
      </c>
      <c r="V244" s="67">
        <v>421.02699999999999</v>
      </c>
      <c r="W244" s="67">
        <v>460.97500000000002</v>
      </c>
      <c r="X244" s="67">
        <v>541.1</v>
      </c>
      <c r="Y244" s="67">
        <v>656.5</v>
      </c>
      <c r="Z244" s="67">
        <v>788</v>
      </c>
      <c r="AA244" s="67">
        <v>962</v>
      </c>
      <c r="AB244" s="67">
        <v>1158</v>
      </c>
      <c r="AC244" s="6">
        <f t="shared" ref="AC244:AL244" si="433">(AB244/SUM(AB$243:AB$245)*-AC$261)+AB244</f>
        <v>1332.787484657805</v>
      </c>
      <c r="AD244" s="6">
        <f t="shared" si="433"/>
        <v>1484.9192301435519</v>
      </c>
      <c r="AE244" s="6">
        <f t="shared" si="433"/>
        <v>1665.2294119308945</v>
      </c>
      <c r="AF244" s="6">
        <f t="shared" si="433"/>
        <v>1874.3250485348406</v>
      </c>
      <c r="AG244" s="6">
        <f t="shared" si="433"/>
        <v>2096.4105511107764</v>
      </c>
      <c r="AH244" s="6">
        <f t="shared" si="433"/>
        <v>2340.6779864850441</v>
      </c>
      <c r="AI244" s="6">
        <f t="shared" si="433"/>
        <v>2606.0715838114711</v>
      </c>
      <c r="AJ244" s="6">
        <f t="shared" si="433"/>
        <v>2880.3953689214259</v>
      </c>
      <c r="AK244" s="6">
        <f t="shared" si="433"/>
        <v>3168.5547825893791</v>
      </c>
      <c r="AL244" s="6">
        <f t="shared" si="433"/>
        <v>3466.7363660427309</v>
      </c>
      <c r="AM244" s="6">
        <f t="shared" ref="AM244" si="434">(AL244/SUM(AL$243:AL$245)*-AM$261)+AL244</f>
        <v>3770.3141188907102</v>
      </c>
      <c r="AN244" s="6">
        <f t="shared" ref="AN244" si="435">(AM244/SUM(AM$243:AM$245)*-AN$261)+AM244</f>
        <v>4090.1088881810356</v>
      </c>
      <c r="AO244" s="6"/>
    </row>
    <row r="245" spans="1:46">
      <c r="D245" t="s">
        <v>121</v>
      </c>
      <c r="G245" s="67"/>
      <c r="H245" s="67"/>
      <c r="I245" s="67"/>
      <c r="J245" s="67"/>
      <c r="K245" s="67"/>
      <c r="L245" s="67">
        <f>0.237+1.276</f>
        <v>1.5129999999999999</v>
      </c>
      <c r="M245" s="67">
        <v>1.0629999999999999</v>
      </c>
      <c r="N245" s="67">
        <f>10.442+3.426+0.347</f>
        <v>14.215</v>
      </c>
      <c r="O245" s="67">
        <f>10.901+3.197</f>
        <v>14.097999999999999</v>
      </c>
      <c r="P245" s="67">
        <f>3.587+3.751</f>
        <v>7.3380000000000001</v>
      </c>
      <c r="Q245" s="67">
        <f>2.253+10.908+6.92+1.424</f>
        <v>21.504999999999999</v>
      </c>
      <c r="R245" s="67">
        <f>3.555+4.75+11.378+4.751</f>
        <v>24.434000000000001</v>
      </c>
      <c r="S245" s="67">
        <f>6.39+20.635+5.066</f>
        <v>32.091000000000001</v>
      </c>
      <c r="T245" s="67">
        <f>11.887+26.496+5.474</f>
        <v>43.856999999999999</v>
      </c>
      <c r="U245" s="67">
        <f>13.399+22.665+25.588+17.345</f>
        <v>78.997</v>
      </c>
      <c r="V245" s="67">
        <f>19.602+8.42+9.116+6.561</f>
        <v>43.698999999999998</v>
      </c>
      <c r="W245" s="67">
        <f>7.955+17.056+40.634+26.435</f>
        <v>92.080000000000013</v>
      </c>
      <c r="X245" s="67">
        <f>10.4+42.9+31+49.2</f>
        <v>133.5</v>
      </c>
      <c r="Y245" s="67">
        <f>7.3+47.3+30.3+66.7</f>
        <v>151.6</v>
      </c>
      <c r="Z245" s="67">
        <f>86+13+76+62+36+1</f>
        <v>274</v>
      </c>
      <c r="AA245" s="67">
        <f>113+12+85+74+78+1</f>
        <v>363</v>
      </c>
      <c r="AB245" s="67">
        <f>7+11+94+79+56</f>
        <v>247</v>
      </c>
      <c r="AC245" s="6">
        <f t="shared" ref="AC245:AL245" si="436">(AB245/SUM(AB$243:AB$245)*-AC$261)+AB245</f>
        <v>284.2819591627615</v>
      </c>
      <c r="AD245" s="6">
        <f t="shared" si="436"/>
        <v>316.73147655048126</v>
      </c>
      <c r="AE245" s="6">
        <f t="shared" si="436"/>
        <v>355.19142033413721</v>
      </c>
      <c r="AF245" s="6">
        <f t="shared" si="436"/>
        <v>399.79126682910669</v>
      </c>
      <c r="AG245" s="6">
        <f t="shared" si="436"/>
        <v>447.16183603140041</v>
      </c>
      <c r="AH245" s="6">
        <f t="shared" si="436"/>
        <v>499.26378468204297</v>
      </c>
      <c r="AI245" s="6">
        <f t="shared" si="436"/>
        <v>555.87191813595268</v>
      </c>
      <c r="AJ245" s="6">
        <f t="shared" si="436"/>
        <v>614.38484984766149</v>
      </c>
      <c r="AK245" s="6">
        <f t="shared" si="436"/>
        <v>675.84890440377933</v>
      </c>
      <c r="AL245" s="6">
        <f t="shared" si="436"/>
        <v>739.45067565850979</v>
      </c>
      <c r="AM245" s="6">
        <f t="shared" ref="AM245" si="437">(AL245/SUM(AL$243:AL$245)*-AM$261)+AL245</f>
        <v>804.20344332124807</v>
      </c>
      <c r="AN245" s="6">
        <f t="shared" ref="AN245" si="438">(AM245/SUM(AM$243:AM$245)*-AN$261)+AM245</f>
        <v>872.41528098507388</v>
      </c>
      <c r="AO245" s="6"/>
    </row>
    <row r="246" spans="1:46" s="3" customFormat="1">
      <c r="A246" s="99" t="s">
        <v>196</v>
      </c>
      <c r="D246" s="2" t="s">
        <v>148</v>
      </c>
      <c r="E246" s="2"/>
      <c r="F246" s="2"/>
      <c r="G246" s="7"/>
      <c r="H246" s="7"/>
      <c r="I246" s="7"/>
      <c r="J246" s="7"/>
      <c r="K246" s="7"/>
      <c r="L246" s="7">
        <f t="shared" ref="L246:AL246" si="439">SUM(L242:L245)</f>
        <v>81.105000000000004</v>
      </c>
      <c r="M246" s="7">
        <f t="shared" si="439"/>
        <v>99.073999999999998</v>
      </c>
      <c r="N246" s="7">
        <f t="shared" si="439"/>
        <v>156.31900000000002</v>
      </c>
      <c r="O246" s="7">
        <f t="shared" si="439"/>
        <v>253.19299999999998</v>
      </c>
      <c r="P246" s="7">
        <f t="shared" si="439"/>
        <v>290.00400000000008</v>
      </c>
      <c r="Q246" s="7">
        <f t="shared" si="439"/>
        <v>330.476</v>
      </c>
      <c r="R246" s="7">
        <f t="shared" si="439"/>
        <v>320.83600000000001</v>
      </c>
      <c r="S246" s="7">
        <f t="shared" si="439"/>
        <v>472.53499999999997</v>
      </c>
      <c r="T246" s="7">
        <f t="shared" si="439"/>
        <v>1108.856</v>
      </c>
      <c r="U246" s="7">
        <f t="shared" si="439"/>
        <v>758.84699999999998</v>
      </c>
      <c r="V246" s="7">
        <f t="shared" si="439"/>
        <v>769.75799999999992</v>
      </c>
      <c r="W246" s="7">
        <f t="shared" si="439"/>
        <v>873.1640000000001</v>
      </c>
      <c r="X246" s="7">
        <f t="shared" si="439"/>
        <v>1171.9000000000001</v>
      </c>
      <c r="Y246" s="7">
        <f t="shared" si="439"/>
        <v>1344.1</v>
      </c>
      <c r="Z246" s="7">
        <f t="shared" si="439"/>
        <v>1732</v>
      </c>
      <c r="AA246" s="7">
        <f t="shared" ref="AA246:AB246" si="440">SUM(AA242:AA245)</f>
        <v>2040</v>
      </c>
      <c r="AB246" s="7">
        <f t="shared" si="440"/>
        <v>2462</v>
      </c>
      <c r="AC246" s="7">
        <f t="shared" si="439"/>
        <v>2802.9714402780492</v>
      </c>
      <c r="AD246" s="7">
        <f t="shared" si="439"/>
        <v>3099.7465810831463</v>
      </c>
      <c r="AE246" s="7">
        <f t="shared" si="439"/>
        <v>3451.4915730154494</v>
      </c>
      <c r="AF246" s="7">
        <f t="shared" si="439"/>
        <v>3859.3905739552711</v>
      </c>
      <c r="AG246" s="7">
        <f t="shared" si="439"/>
        <v>4292.6299092912295</v>
      </c>
      <c r="AH246" s="7">
        <f t="shared" si="439"/>
        <v>4769.1412534280771</v>
      </c>
      <c r="AI246" s="7">
        <f t="shared" si="439"/>
        <v>5286.865032668491</v>
      </c>
      <c r="AJ246" s="7">
        <f t="shared" si="439"/>
        <v>5822.0096186472365</v>
      </c>
      <c r="AK246" s="7">
        <f t="shared" si="439"/>
        <v>6384.1444333932704</v>
      </c>
      <c r="AL246" s="7">
        <f t="shared" si="439"/>
        <v>6965.8302684719583</v>
      </c>
      <c r="AM246" s="7">
        <f t="shared" ref="AM246:AN246" si="441">SUM(AM242:AM245)</f>
        <v>7558.0428277842093</v>
      </c>
      <c r="AN246" s="7">
        <f t="shared" si="441"/>
        <v>8181.891173057822</v>
      </c>
      <c r="AO246" s="55"/>
    </row>
    <row r="247" spans="1:46">
      <c r="A247" s="99" t="s">
        <v>198</v>
      </c>
      <c r="D247" t="s">
        <v>149</v>
      </c>
      <c r="G247" s="67"/>
      <c r="H247" s="67"/>
      <c r="I247" s="67"/>
      <c r="J247" s="67"/>
      <c r="K247" s="67"/>
      <c r="L247" s="67">
        <v>0</v>
      </c>
      <c r="M247" s="67">
        <v>0</v>
      </c>
      <c r="N247" s="67">
        <v>0</v>
      </c>
      <c r="O247" s="67">
        <v>0</v>
      </c>
      <c r="P247" s="67">
        <v>0</v>
      </c>
      <c r="Q247" s="67">
        <v>0</v>
      </c>
      <c r="R247" s="67">
        <v>0</v>
      </c>
      <c r="S247" s="67">
        <v>0</v>
      </c>
      <c r="T247" s="67">
        <v>0</v>
      </c>
      <c r="U247" s="67">
        <f>149.654+78.642</f>
        <v>228.29599999999999</v>
      </c>
      <c r="V247" s="67">
        <f>126.407+220.043</f>
        <v>346.45</v>
      </c>
      <c r="W247" s="67">
        <f>115.336+223.87</f>
        <v>339.20600000000002</v>
      </c>
      <c r="X247" s="67">
        <v>236.5</v>
      </c>
      <c r="Y247" s="67">
        <f>102.5+214.7</f>
        <v>317.2</v>
      </c>
      <c r="Z247" s="67">
        <f>153+222</f>
        <v>375</v>
      </c>
      <c r="AA247" s="67">
        <f>199+223</f>
        <v>422</v>
      </c>
      <c r="AB247" s="67">
        <f>561+354</f>
        <v>915</v>
      </c>
      <c r="AC247" s="63">
        <f>+AB247+AC213</f>
        <v>1623</v>
      </c>
      <c r="AD247" s="63">
        <f t="shared" ref="AD247:AL247" si="442">+AC247+AD213</f>
        <v>1672.6458695741426</v>
      </c>
      <c r="AE247" s="63">
        <f t="shared" ca="1" si="442"/>
        <v>2020.6850031134659</v>
      </c>
      <c r="AF247" s="63">
        <f t="shared" ca="1" si="442"/>
        <v>2416.9897934523588</v>
      </c>
      <c r="AG247" s="63">
        <f t="shared" ca="1" si="442"/>
        <v>2824.8424759670193</v>
      </c>
      <c r="AH247" s="63">
        <f t="shared" ca="1" si="442"/>
        <v>3260.9311410201826</v>
      </c>
      <c r="AI247" s="63">
        <f t="shared" ca="1" si="442"/>
        <v>3720.6263122171445</v>
      </c>
      <c r="AJ247" s="63">
        <f t="shared" ca="1" si="442"/>
        <v>4178.0311500415037</v>
      </c>
      <c r="AK247" s="63">
        <f t="shared" ca="1" si="442"/>
        <v>4641.2229846462469</v>
      </c>
      <c r="AL247" s="63">
        <f t="shared" ca="1" si="442"/>
        <v>5197.9218391481663</v>
      </c>
      <c r="AM247" s="63">
        <f t="shared" ref="AM247" ca="1" si="443">+AL247+AM213</f>
        <v>5762.2081541839834</v>
      </c>
      <c r="AN247" s="63">
        <f t="shared" ref="AN247" ca="1" si="444">+AM247+AN213</f>
        <v>6354.0947024404568</v>
      </c>
      <c r="AO247" s="6"/>
    </row>
    <row r="248" spans="1:46">
      <c r="A248" s="99" t="s">
        <v>200</v>
      </c>
      <c r="D248" t="s">
        <v>199</v>
      </c>
      <c r="G248" s="67"/>
      <c r="H248" s="67"/>
      <c r="I248" s="67"/>
      <c r="J248" s="67"/>
      <c r="K248" s="67"/>
      <c r="L248" s="67">
        <v>0</v>
      </c>
      <c r="M248" s="67">
        <v>0</v>
      </c>
      <c r="N248" s="67">
        <v>0</v>
      </c>
      <c r="O248" s="67">
        <v>0</v>
      </c>
      <c r="P248" s="67">
        <v>0</v>
      </c>
      <c r="Q248" s="67">
        <v>0</v>
      </c>
      <c r="R248" s="67">
        <v>0</v>
      </c>
      <c r="S248" s="67">
        <v>0</v>
      </c>
      <c r="T248" s="67">
        <v>0</v>
      </c>
      <c r="U248" s="67">
        <v>0</v>
      </c>
      <c r="V248" s="67">
        <v>0</v>
      </c>
      <c r="W248" s="67">
        <v>0</v>
      </c>
      <c r="X248" s="67">
        <v>0</v>
      </c>
      <c r="Y248" s="67">
        <v>0</v>
      </c>
      <c r="Z248" s="67">
        <v>0</v>
      </c>
      <c r="AA248" s="67">
        <v>0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"/>
    </row>
    <row r="249" spans="1:46">
      <c r="D249" t="s">
        <v>119</v>
      </c>
      <c r="G249" s="67"/>
      <c r="H249" s="67"/>
      <c r="I249" s="67"/>
      <c r="J249" s="67"/>
      <c r="K249" s="67"/>
      <c r="L249" s="67">
        <v>9.2669999999999995</v>
      </c>
      <c r="M249" s="67">
        <v>8.048</v>
      </c>
      <c r="N249" s="67">
        <v>21.238</v>
      </c>
      <c r="O249" s="67">
        <v>26.777999999999999</v>
      </c>
      <c r="P249" s="67">
        <v>28.120999999999999</v>
      </c>
      <c r="Q249" s="67">
        <v>17.809000000000001</v>
      </c>
      <c r="R249" s="67">
        <v>11.259</v>
      </c>
      <c r="S249" s="67">
        <v>29.283000000000001</v>
      </c>
      <c r="T249" s="67">
        <v>112.78</v>
      </c>
      <c r="U249" s="67">
        <v>107.27500000000001</v>
      </c>
      <c r="V249" s="67">
        <v>109.795</v>
      </c>
      <c r="W249" s="67">
        <v>129.58500000000001</v>
      </c>
      <c r="X249" s="67">
        <v>149</v>
      </c>
      <c r="Y249" s="67">
        <v>191.5</v>
      </c>
      <c r="Z249" s="67">
        <v>246</v>
      </c>
      <c r="AA249" s="67">
        <v>285</v>
      </c>
      <c r="AB249" s="67">
        <v>436</v>
      </c>
      <c r="AC249" s="6">
        <f t="shared" ref="AC249:AL249" ca="1" si="445">+AB249-AC177</f>
        <v>226.25465064536792</v>
      </c>
      <c r="AD249" s="6">
        <f t="shared" ca="1" si="445"/>
        <v>226.25465064536792</v>
      </c>
      <c r="AE249" s="6">
        <f t="shared" ca="1" si="445"/>
        <v>226.25465064536792</v>
      </c>
      <c r="AF249" s="6">
        <f t="shared" ca="1" si="445"/>
        <v>226.25465064536792</v>
      </c>
      <c r="AG249" s="6">
        <f t="shared" ca="1" si="445"/>
        <v>226.25465064536792</v>
      </c>
      <c r="AH249" s="6">
        <f t="shared" ca="1" si="445"/>
        <v>226.25465064536792</v>
      </c>
      <c r="AI249" s="6">
        <f t="shared" ca="1" si="445"/>
        <v>226.25465064536792</v>
      </c>
      <c r="AJ249" s="6">
        <f t="shared" ca="1" si="445"/>
        <v>226.25465064536792</v>
      </c>
      <c r="AK249" s="6">
        <f t="shared" ca="1" si="445"/>
        <v>226.25465064536792</v>
      </c>
      <c r="AL249" s="6">
        <f t="shared" ca="1" si="445"/>
        <v>226.25465064536792</v>
      </c>
      <c r="AM249" s="6">
        <f t="shared" ref="AM249" ca="1" si="446">+AL249-AM177</f>
        <v>226.25465064536792</v>
      </c>
      <c r="AN249" s="6">
        <f t="shared" ref="AN249" ca="1" si="447">+AM249-AN177</f>
        <v>226.25465064536792</v>
      </c>
      <c r="AO249" s="6"/>
    </row>
    <row r="250" spans="1:46">
      <c r="D250" t="s">
        <v>121</v>
      </c>
      <c r="G250" s="67"/>
      <c r="H250" s="67"/>
      <c r="I250" s="67"/>
      <c r="J250" s="67"/>
      <c r="K250" s="67"/>
      <c r="L250" s="67">
        <f>1.464+1.02+24.182</f>
        <v>26.665999999999997</v>
      </c>
      <c r="M250" s="67">
        <v>0.63500000000000001</v>
      </c>
      <c r="N250" s="67">
        <v>2.7080000000000002</v>
      </c>
      <c r="O250" s="67">
        <v>10.446</v>
      </c>
      <c r="P250" s="67">
        <v>45.707999999999998</v>
      </c>
      <c r="Q250" s="67">
        <f>35.633+2.744+6.206</f>
        <v>44.583000000000006</v>
      </c>
      <c r="R250" s="67">
        <f>28.051+2.474+11.675</f>
        <v>42.2</v>
      </c>
      <c r="S250" s="67">
        <f>5.973+46.078</f>
        <v>52.051000000000002</v>
      </c>
      <c r="T250" s="67">
        <f>4.203+45.866</f>
        <v>50.069000000000003</v>
      </c>
      <c r="U250" s="67">
        <f>30.515+3.603+44.758</f>
        <v>78.876000000000005</v>
      </c>
      <c r="V250" s="67">
        <f>34.482+6.987+34.566</f>
        <v>76.034999999999997</v>
      </c>
      <c r="W250" s="67">
        <f>46.502+0.855+36.64</f>
        <v>83.997</v>
      </c>
      <c r="X250" s="67">
        <f>86.6+6.5+33.5</f>
        <v>126.6</v>
      </c>
      <c r="Y250" s="67">
        <f>117.3+24.8+74.4</f>
        <v>216.5</v>
      </c>
      <c r="Z250" s="67">
        <f>136+25+187+101-2</f>
        <v>447</v>
      </c>
      <c r="AA250" s="67">
        <f>198+37+201+146-1</f>
        <v>581</v>
      </c>
      <c r="AB250" s="67">
        <f>68+190+175</f>
        <v>433</v>
      </c>
      <c r="AC250" s="63">
        <f t="shared" ref="AC250:AN250" si="448">+AB250+SUM(AC366:AC368)</f>
        <v>508.46367500000002</v>
      </c>
      <c r="AD250" s="63">
        <f t="shared" si="448"/>
        <v>576.53289500000005</v>
      </c>
      <c r="AE250" s="63">
        <f t="shared" si="448"/>
        <v>649.08152322499996</v>
      </c>
      <c r="AF250" s="63">
        <f t="shared" si="448"/>
        <v>732.73005231237505</v>
      </c>
      <c r="AG250" s="63">
        <f t="shared" si="448"/>
        <v>820.84737582060325</v>
      </c>
      <c r="AH250" s="63">
        <f t="shared" si="448"/>
        <v>917.1011497937252</v>
      </c>
      <c r="AI250" s="63">
        <f t="shared" si="448"/>
        <v>1020.935826153813</v>
      </c>
      <c r="AJ250" s="63">
        <f t="shared" si="448"/>
        <v>1127.3172587332451</v>
      </c>
      <c r="AK250" s="63">
        <f t="shared" si="448"/>
        <v>1238.1662114278431</v>
      </c>
      <c r="AL250" s="63">
        <f t="shared" si="448"/>
        <v>1351.8868055982716</v>
      </c>
      <c r="AM250" s="63">
        <f t="shared" si="448"/>
        <v>1466.5916928849911</v>
      </c>
      <c r="AN250" s="63">
        <f t="shared" si="448"/>
        <v>1586.5312257540711</v>
      </c>
      <c r="AO250" s="6"/>
    </row>
    <row r="251" spans="1:46" s="3" customFormat="1">
      <c r="A251" s="99" t="s">
        <v>197</v>
      </c>
      <c r="D251" s="2" t="s">
        <v>150</v>
      </c>
      <c r="E251" s="2"/>
      <c r="F251" s="2"/>
      <c r="G251" s="7"/>
      <c r="H251" s="7"/>
      <c r="I251" s="7"/>
      <c r="J251" s="7"/>
      <c r="K251" s="7"/>
      <c r="L251" s="7">
        <f t="shared" ref="L251" si="449">SUM(L246:L250)</f>
        <v>117.038</v>
      </c>
      <c r="M251" s="7">
        <f t="shared" ref="M251:Y251" si="450">SUM(M246:M250)</f>
        <v>107.75700000000001</v>
      </c>
      <c r="N251" s="7">
        <f t="shared" si="450"/>
        <v>180.26500000000001</v>
      </c>
      <c r="O251" s="7">
        <f t="shared" si="450"/>
        <v>290.41700000000003</v>
      </c>
      <c r="P251" s="7">
        <f t="shared" si="450"/>
        <v>363.83300000000008</v>
      </c>
      <c r="Q251" s="7">
        <f t="shared" si="450"/>
        <v>392.86800000000005</v>
      </c>
      <c r="R251" s="7">
        <f t="shared" si="450"/>
        <v>374.29500000000002</v>
      </c>
      <c r="S251" s="7">
        <f t="shared" si="450"/>
        <v>553.86900000000003</v>
      </c>
      <c r="T251" s="7">
        <f t="shared" si="450"/>
        <v>1271.7049999999999</v>
      </c>
      <c r="U251" s="7">
        <f t="shared" si="450"/>
        <v>1173.2940000000001</v>
      </c>
      <c r="V251" s="7">
        <f t="shared" si="450"/>
        <v>1302.038</v>
      </c>
      <c r="W251" s="7">
        <f t="shared" si="450"/>
        <v>1425.9520000000002</v>
      </c>
      <c r="X251" s="7">
        <f t="shared" si="450"/>
        <v>1684</v>
      </c>
      <c r="Y251" s="7">
        <f t="shared" si="450"/>
        <v>2069.3000000000002</v>
      </c>
      <c r="Z251" s="7">
        <f>SUM(Z246:Z250)</f>
        <v>2800</v>
      </c>
      <c r="AA251" s="7">
        <f>SUM(AA246:AA250)</f>
        <v>3328</v>
      </c>
      <c r="AB251" s="7">
        <f>SUM(AB246:AB250)</f>
        <v>4246</v>
      </c>
      <c r="AC251" s="7">
        <f t="shared" ref="AC251:AL251" ca="1" si="451">SUM(AC246:AC250)</f>
        <v>5160.6897659234173</v>
      </c>
      <c r="AD251" s="7">
        <f t="shared" ca="1" si="451"/>
        <v>5575.1799963026579</v>
      </c>
      <c r="AE251" s="7">
        <f t="shared" ca="1" si="451"/>
        <v>6347.5127499992832</v>
      </c>
      <c r="AF251" s="7">
        <f t="shared" ca="1" si="451"/>
        <v>7235.365070365373</v>
      </c>
      <c r="AG251" s="7">
        <f t="shared" ca="1" si="451"/>
        <v>8164.5744117242193</v>
      </c>
      <c r="AH251" s="7">
        <f t="shared" ca="1" si="451"/>
        <v>9173.4281948873522</v>
      </c>
      <c r="AI251" s="7">
        <f t="shared" ca="1" si="451"/>
        <v>10254.681821684815</v>
      </c>
      <c r="AJ251" s="7">
        <f t="shared" ca="1" si="451"/>
        <v>11353.612678067353</v>
      </c>
      <c r="AK251" s="7">
        <f t="shared" ca="1" si="451"/>
        <v>12489.788280112727</v>
      </c>
      <c r="AL251" s="7">
        <f t="shared" ca="1" si="451"/>
        <v>13741.893563863763</v>
      </c>
      <c r="AM251" s="7">
        <f t="shared" ref="AM251:AN251" ca="1" si="452">SUM(AM246:AM250)</f>
        <v>15013.097325498551</v>
      </c>
      <c r="AN251" s="7">
        <f t="shared" ca="1" si="452"/>
        <v>16348.771751897717</v>
      </c>
      <c r="AO251" s="55"/>
    </row>
    <row r="252" spans="1:46">
      <c r="A252" s="99" t="s">
        <v>201</v>
      </c>
      <c r="D252" t="s">
        <v>151</v>
      </c>
      <c r="G252" s="67"/>
      <c r="H252" s="67"/>
      <c r="I252" s="67"/>
      <c r="J252" s="67"/>
      <c r="K252" s="67"/>
      <c r="L252" s="67">
        <v>57.22</v>
      </c>
      <c r="M252" s="67">
        <v>99.283000000000001</v>
      </c>
      <c r="N252" s="67">
        <v>99.283000000000001</v>
      </c>
      <c r="O252" s="67">
        <v>99.283000000000001</v>
      </c>
      <c r="P252" s="67">
        <v>99.283000000000001</v>
      </c>
      <c r="Q252" s="67">
        <v>99.283000000000001</v>
      </c>
      <c r="R252" s="67">
        <v>99.283000000000001</v>
      </c>
      <c r="S252" s="67">
        <v>99.283000000000001</v>
      </c>
      <c r="T252" s="67">
        <v>99.283000000000001</v>
      </c>
      <c r="U252" s="67">
        <v>99.283000000000001</v>
      </c>
      <c r="V252" s="67">
        <v>99.283000000000001</v>
      </c>
      <c r="W252" s="67">
        <v>99.283000000000001</v>
      </c>
      <c r="X252" s="67">
        <v>99.3</v>
      </c>
      <c r="Y252" s="67">
        <v>99.3</v>
      </c>
      <c r="Z252" s="67">
        <v>99</v>
      </c>
      <c r="AA252" s="67">
        <v>99</v>
      </c>
      <c r="AB252" s="67">
        <v>99</v>
      </c>
      <c r="AC252" s="63">
        <f t="shared" ref="AC252:AL252" si="453">+AB252</f>
        <v>99</v>
      </c>
      <c r="AD252" s="63">
        <f t="shared" si="453"/>
        <v>99</v>
      </c>
      <c r="AE252" s="63">
        <f t="shared" si="453"/>
        <v>99</v>
      </c>
      <c r="AF252" s="63">
        <f t="shared" si="453"/>
        <v>99</v>
      </c>
      <c r="AG252" s="63">
        <f t="shared" si="453"/>
        <v>99</v>
      </c>
      <c r="AH252" s="63">
        <f t="shared" si="453"/>
        <v>99</v>
      </c>
      <c r="AI252" s="63">
        <f t="shared" si="453"/>
        <v>99</v>
      </c>
      <c r="AJ252" s="63">
        <f t="shared" si="453"/>
        <v>99</v>
      </c>
      <c r="AK252" s="63">
        <f t="shared" si="453"/>
        <v>99</v>
      </c>
      <c r="AL252" s="63">
        <f t="shared" si="453"/>
        <v>99</v>
      </c>
      <c r="AM252" s="63">
        <f t="shared" ref="AM252" si="454">+AL252</f>
        <v>99</v>
      </c>
      <c r="AN252" s="63">
        <f t="shared" ref="AN252" si="455">+AM252</f>
        <v>99</v>
      </c>
      <c r="AO252" s="6"/>
    </row>
    <row r="253" spans="1:46">
      <c r="A253" s="99" t="s">
        <v>152</v>
      </c>
      <c r="D253" t="s">
        <v>152</v>
      </c>
      <c r="G253" s="67"/>
      <c r="H253" s="67"/>
      <c r="I253" s="67"/>
      <c r="J253" s="67"/>
      <c r="K253" s="67"/>
      <c r="L253" s="67">
        <v>0</v>
      </c>
      <c r="M253" s="67">
        <v>0</v>
      </c>
      <c r="N253" s="67">
        <v>0</v>
      </c>
      <c r="O253" s="67">
        <v>0</v>
      </c>
      <c r="P253" s="67">
        <v>0</v>
      </c>
      <c r="Q253" s="67">
        <v>0</v>
      </c>
      <c r="R253" s="67">
        <v>0</v>
      </c>
      <c r="S253" s="67">
        <v>0</v>
      </c>
      <c r="T253" s="67">
        <v>0</v>
      </c>
      <c r="U253" s="67">
        <v>0</v>
      </c>
      <c r="V253" s="67">
        <v>0</v>
      </c>
      <c r="W253" s="67">
        <v>0</v>
      </c>
      <c r="X253" s="67">
        <v>0</v>
      </c>
      <c r="Y253" s="67">
        <v>0</v>
      </c>
      <c r="Z253" s="67">
        <v>0</v>
      </c>
      <c r="AA253" s="67">
        <v>0</v>
      </c>
      <c r="AB253" s="67">
        <v>0</v>
      </c>
      <c r="AC253" s="67">
        <v>0</v>
      </c>
      <c r="AD253" s="67">
        <v>0</v>
      </c>
      <c r="AE253" s="67">
        <v>0</v>
      </c>
      <c r="AF253" s="67">
        <v>0</v>
      </c>
      <c r="AG253" s="67">
        <v>0</v>
      </c>
      <c r="AH253" s="67">
        <v>0</v>
      </c>
      <c r="AI253" s="67">
        <v>0</v>
      </c>
      <c r="AJ253" s="67">
        <v>0</v>
      </c>
      <c r="AK253" s="67">
        <v>0</v>
      </c>
      <c r="AL253" s="67">
        <v>0</v>
      </c>
      <c r="AM253" s="67">
        <v>0</v>
      </c>
      <c r="AN253" s="67">
        <v>0</v>
      </c>
      <c r="AO253" s="6"/>
    </row>
    <row r="254" spans="1:46">
      <c r="A254" s="99" t="s">
        <v>153</v>
      </c>
      <c r="D254" t="s">
        <v>153</v>
      </c>
      <c r="G254" s="67"/>
      <c r="H254" s="67"/>
      <c r="I254" s="67"/>
      <c r="J254" s="67"/>
      <c r="K254" s="67"/>
      <c r="L254" s="67">
        <f>-3.152-12.623</f>
        <v>-15.774999999999999</v>
      </c>
      <c r="M254" s="67">
        <f>-2.135-3.152-15.18</f>
        <v>-20.466999999999999</v>
      </c>
      <c r="N254" s="67">
        <f>-1.915-3.237-7.249</f>
        <v>-12.401</v>
      </c>
      <c r="O254" s="67">
        <f>-0.931-6.901+3.931</f>
        <v>-3.9009999999999998</v>
      </c>
      <c r="P254" s="67">
        <f>-0.646-0.157+9.578</f>
        <v>8.7749999999999986</v>
      </c>
      <c r="Q254" s="67">
        <f>8.522+35.246</f>
        <v>43.768000000000001</v>
      </c>
      <c r="R254" s="67">
        <f>6.961+150.036</f>
        <v>156.99700000000001</v>
      </c>
      <c r="S254" s="67">
        <f>1.621+157.9</f>
        <v>159.52100000000002</v>
      </c>
      <c r="T254" s="67">
        <f>0.449+166.267</f>
        <v>166.71600000000001</v>
      </c>
      <c r="U254" s="67">
        <f>179.838-19.29</f>
        <v>160.548</v>
      </c>
      <c r="V254" s="67">
        <f>-34.319+272.318</f>
        <v>237.99899999999997</v>
      </c>
      <c r="W254" s="67">
        <f>-36.108+394.334</f>
        <v>358.226</v>
      </c>
      <c r="X254" s="67">
        <f>531.6-26.7</f>
        <v>504.90000000000003</v>
      </c>
      <c r="Y254" s="67">
        <f>803.5-36.7</f>
        <v>766.8</v>
      </c>
      <c r="Z254" s="67">
        <f>-40+628+1</f>
        <v>589</v>
      </c>
      <c r="AA254" s="67">
        <f>980-31-1</f>
        <v>948</v>
      </c>
      <c r="AB254" s="67">
        <f>1206-66-179</f>
        <v>961</v>
      </c>
      <c r="AC254" s="6">
        <f t="shared" ref="AC254:AN254" ca="1" si="456">+AB254+AC183+AC218+AC216+AC210-SUM(AC366:AC368)</f>
        <v>1413.7396392287285</v>
      </c>
      <c r="AD254" s="6">
        <f t="shared" ca="1" si="456"/>
        <v>1778.3773507881788</v>
      </c>
      <c r="AE254" s="6">
        <f t="shared" ca="1" si="456"/>
        <v>2252.4158917727468</v>
      </c>
      <c r="AF254" s="6">
        <f t="shared" ca="1" si="456"/>
        <v>2882.4645531070428</v>
      </c>
      <c r="AG254" s="6">
        <f t="shared" ca="1" si="456"/>
        <v>3733.1055864607056</v>
      </c>
      <c r="AH254" s="6">
        <f t="shared" ca="1" si="456"/>
        <v>4867.402442779493</v>
      </c>
      <c r="AI254" s="6">
        <f t="shared" ca="1" si="456"/>
        <v>6315.2754053130484</v>
      </c>
      <c r="AJ254" s="6">
        <f t="shared" ca="1" si="456"/>
        <v>8124.0445655720541</v>
      </c>
      <c r="AK254" s="6">
        <f t="shared" ca="1" si="456"/>
        <v>10365.942362160751</v>
      </c>
      <c r="AL254" s="6">
        <f t="shared" ca="1" si="456"/>
        <v>13080.917940766363</v>
      </c>
      <c r="AM254" s="6">
        <f t="shared" ca="1" si="456"/>
        <v>16386.536746917642</v>
      </c>
      <c r="AN254" s="6">
        <f t="shared" ca="1" si="456"/>
        <v>20347.41350544606</v>
      </c>
      <c r="AO254" s="6"/>
    </row>
    <row r="255" spans="1:46">
      <c r="A255" s="99" t="s">
        <v>108</v>
      </c>
      <c r="D255" t="s">
        <v>108</v>
      </c>
      <c r="G255" s="67"/>
      <c r="H255" s="67"/>
      <c r="I255" s="67"/>
      <c r="J255" s="67"/>
      <c r="K255" s="67"/>
      <c r="L255" s="67">
        <v>0</v>
      </c>
      <c r="M255" s="67">
        <v>0</v>
      </c>
      <c r="N255" s="67">
        <v>0</v>
      </c>
      <c r="O255" s="67">
        <v>0</v>
      </c>
      <c r="P255" s="67">
        <v>0</v>
      </c>
      <c r="Q255" s="67">
        <v>0</v>
      </c>
      <c r="R255" s="67">
        <v>0</v>
      </c>
      <c r="S255" s="67">
        <v>0</v>
      </c>
      <c r="T255" s="67">
        <v>0</v>
      </c>
      <c r="U255" s="67">
        <v>0</v>
      </c>
      <c r="V255" s="67">
        <v>0</v>
      </c>
      <c r="W255" s="67">
        <v>0</v>
      </c>
      <c r="X255" s="67">
        <v>0</v>
      </c>
      <c r="Y255" s="67">
        <v>0</v>
      </c>
      <c r="Z255" s="67">
        <v>0</v>
      </c>
      <c r="AA255" s="67">
        <v>0</v>
      </c>
      <c r="AB255" s="67">
        <v>460</v>
      </c>
      <c r="AC255" s="63">
        <f t="shared" ref="AC255:AL255" si="457">+AB255-AC181</f>
        <v>518.2156837060943</v>
      </c>
      <c r="AD255" s="63">
        <f t="shared" si="457"/>
        <v>624.60978593535083</v>
      </c>
      <c r="AE255" s="63">
        <f t="shared" si="457"/>
        <v>759.93730627125524</v>
      </c>
      <c r="AF255" s="63">
        <f t="shared" si="457"/>
        <v>927.21184724388479</v>
      </c>
      <c r="AG255" s="63">
        <f t="shared" si="457"/>
        <v>1125.7591780131993</v>
      </c>
      <c r="AH255" s="63">
        <f t="shared" si="457"/>
        <v>1358.3421158504802</v>
      </c>
      <c r="AI255" s="63">
        <f t="shared" si="457"/>
        <v>1638.3574797785441</v>
      </c>
      <c r="AJ255" s="63">
        <f t="shared" si="457"/>
        <v>1969.2422409401192</v>
      </c>
      <c r="AK255" s="63">
        <f t="shared" si="457"/>
        <v>2354.7882356455311</v>
      </c>
      <c r="AL255" s="63">
        <f t="shared" si="457"/>
        <v>2806.8058161288136</v>
      </c>
      <c r="AM255" s="63">
        <f t="shared" ref="AM255" si="458">+AL255-AM181</f>
        <v>3258.8233966120961</v>
      </c>
      <c r="AN255" s="63">
        <f t="shared" ref="AN255" si="459">+AM255-AN181</f>
        <v>3710.8409770953785</v>
      </c>
      <c r="AO255" s="6"/>
      <c r="AP255" s="6"/>
      <c r="AQ255" s="6"/>
      <c r="AR255" s="6"/>
      <c r="AS255" s="6"/>
      <c r="AT255" s="6"/>
    </row>
    <row r="256" spans="1:46" s="3" customFormat="1">
      <c r="A256" s="99"/>
      <c r="D256" s="2" t="s">
        <v>154</v>
      </c>
      <c r="E256" s="2"/>
      <c r="F256" s="2"/>
      <c r="G256" s="7"/>
      <c r="H256" s="7"/>
      <c r="I256" s="7"/>
      <c r="J256" s="7"/>
      <c r="K256" s="7"/>
      <c r="L256" s="7">
        <f t="shared" ref="L256" si="460">SUM(L251:L255)</f>
        <v>158.48299999999998</v>
      </c>
      <c r="M256" s="7">
        <f t="shared" ref="M256:Y256" si="461">SUM(M251:M255)</f>
        <v>186.57300000000004</v>
      </c>
      <c r="N256" s="7">
        <f t="shared" si="461"/>
        <v>267.14699999999999</v>
      </c>
      <c r="O256" s="7">
        <f t="shared" si="461"/>
        <v>385.79900000000004</v>
      </c>
      <c r="P256" s="7">
        <f t="shared" si="461"/>
        <v>471.89100000000008</v>
      </c>
      <c r="Q256" s="7">
        <f t="shared" si="461"/>
        <v>535.9190000000001</v>
      </c>
      <c r="R256" s="7">
        <f t="shared" si="461"/>
        <v>630.57500000000005</v>
      </c>
      <c r="S256" s="7">
        <f t="shared" si="461"/>
        <v>812.673</v>
      </c>
      <c r="T256" s="7">
        <f t="shared" si="461"/>
        <v>1537.7039999999997</v>
      </c>
      <c r="U256" s="7">
        <f t="shared" si="461"/>
        <v>1433.125</v>
      </c>
      <c r="V256" s="7">
        <f t="shared" si="461"/>
        <v>1639.32</v>
      </c>
      <c r="W256" s="7">
        <f t="shared" si="461"/>
        <v>1883.4610000000002</v>
      </c>
      <c r="X256" s="7">
        <f t="shared" si="461"/>
        <v>2288.1999999999998</v>
      </c>
      <c r="Y256" s="7">
        <f t="shared" si="461"/>
        <v>2935.4000000000005</v>
      </c>
      <c r="Z256" s="7">
        <f>SUM(Z251:Z255)</f>
        <v>3488</v>
      </c>
      <c r="AA256" s="7">
        <f>SUM(AA251:AA255)</f>
        <v>4375</v>
      </c>
      <c r="AB256" s="7">
        <f>SUM(AB251:AB255)</f>
        <v>5766</v>
      </c>
      <c r="AC256" s="7">
        <f t="shared" ref="AC256:AL256" ca="1" si="462">SUM(AC251:AC255)</f>
        <v>7191.6450888582403</v>
      </c>
      <c r="AD256" s="7">
        <f t="shared" ca="1" si="462"/>
        <v>8077.167133026187</v>
      </c>
      <c r="AE256" s="7">
        <f t="shared" ca="1" si="462"/>
        <v>9458.8659480432852</v>
      </c>
      <c r="AF256" s="7">
        <f t="shared" ca="1" si="462"/>
        <v>11144.0414707163</v>
      </c>
      <c r="AG256" s="7">
        <f t="shared" ca="1" si="462"/>
        <v>13122.439176198124</v>
      </c>
      <c r="AH256" s="7">
        <f t="shared" ca="1" si="462"/>
        <v>15498.172753517325</v>
      </c>
      <c r="AI256" s="7">
        <f t="shared" ca="1" si="462"/>
        <v>18307.314706776408</v>
      </c>
      <c r="AJ256" s="7">
        <f t="shared" ca="1" si="462"/>
        <v>21545.899484579524</v>
      </c>
      <c r="AK256" s="7">
        <f t="shared" ca="1" si="462"/>
        <v>25309.518877919007</v>
      </c>
      <c r="AL256" s="7">
        <f t="shared" ca="1" si="462"/>
        <v>29728.617320758938</v>
      </c>
      <c r="AM256" s="7">
        <f t="shared" ref="AM256:AN256" ca="1" si="463">SUM(AM251:AM255)</f>
        <v>34757.45746902829</v>
      </c>
      <c r="AN256" s="7">
        <f t="shared" ca="1" si="463"/>
        <v>40506.026234439159</v>
      </c>
      <c r="AO256" s="55"/>
    </row>
    <row r="257" spans="1:45" s="82" customFormat="1">
      <c r="A257" s="101"/>
      <c r="D257" s="72" t="s">
        <v>111</v>
      </c>
      <c r="G257" s="59"/>
      <c r="H257" s="59"/>
      <c r="I257" s="59"/>
      <c r="J257" s="59"/>
      <c r="K257" s="59"/>
      <c r="L257" s="73" t="b">
        <f t="shared" ref="L257:AL257" si="464">ABS(L256-L240)&lt;1</f>
        <v>1</v>
      </c>
      <c r="M257" s="73" t="b">
        <f t="shared" si="464"/>
        <v>1</v>
      </c>
      <c r="N257" s="73" t="b">
        <f t="shared" si="464"/>
        <v>1</v>
      </c>
      <c r="O257" s="73" t="b">
        <f t="shared" si="464"/>
        <v>1</v>
      </c>
      <c r="P257" s="73" t="b">
        <f t="shared" si="464"/>
        <v>1</v>
      </c>
      <c r="Q257" s="73" t="b">
        <f t="shared" si="464"/>
        <v>1</v>
      </c>
      <c r="R257" s="73" t="b">
        <f t="shared" si="464"/>
        <v>1</v>
      </c>
      <c r="S257" s="73" t="b">
        <f t="shared" si="464"/>
        <v>1</v>
      </c>
      <c r="T257" s="73" t="b">
        <f t="shared" si="464"/>
        <v>1</v>
      </c>
      <c r="U257" s="73" t="b">
        <f t="shared" si="464"/>
        <v>1</v>
      </c>
      <c r="V257" s="73" t="b">
        <f t="shared" si="464"/>
        <v>1</v>
      </c>
      <c r="W257" s="73" t="b">
        <f t="shared" si="464"/>
        <v>1</v>
      </c>
      <c r="X257" s="73" t="b">
        <f t="shared" si="464"/>
        <v>1</v>
      </c>
      <c r="Y257" s="73" t="b">
        <f t="shared" si="464"/>
        <v>1</v>
      </c>
      <c r="Z257" s="73" t="b">
        <f t="shared" si="464"/>
        <v>1</v>
      </c>
      <c r="AA257" s="73" t="b">
        <f t="shared" ref="AA257:AB257" si="465">ABS(AA256-AA240)&lt;1</f>
        <v>1</v>
      </c>
      <c r="AB257" s="73" t="b">
        <f t="shared" si="465"/>
        <v>1</v>
      </c>
      <c r="AC257" s="73" t="b">
        <f t="shared" ca="1" si="464"/>
        <v>1</v>
      </c>
      <c r="AD257" s="73" t="b">
        <f t="shared" ca="1" si="464"/>
        <v>1</v>
      </c>
      <c r="AE257" s="73" t="b">
        <f t="shared" ca="1" si="464"/>
        <v>1</v>
      </c>
      <c r="AF257" s="73" t="b">
        <f t="shared" ca="1" si="464"/>
        <v>1</v>
      </c>
      <c r="AG257" s="73" t="b">
        <f t="shared" ca="1" si="464"/>
        <v>1</v>
      </c>
      <c r="AH257" s="73" t="b">
        <f t="shared" ca="1" si="464"/>
        <v>1</v>
      </c>
      <c r="AI257" s="73" t="b">
        <f t="shared" ca="1" si="464"/>
        <v>1</v>
      </c>
      <c r="AJ257" s="73" t="b">
        <f t="shared" ca="1" si="464"/>
        <v>1</v>
      </c>
      <c r="AK257" s="73" t="b">
        <f t="shared" ca="1" si="464"/>
        <v>1</v>
      </c>
      <c r="AL257" s="73" t="b">
        <f t="shared" ca="1" si="464"/>
        <v>1</v>
      </c>
      <c r="AM257" s="73" t="b">
        <f t="shared" ref="AM257:AN257" ca="1" si="466">ABS(AM256-AM240)&lt;1</f>
        <v>1</v>
      </c>
      <c r="AN257" s="73" t="b">
        <f t="shared" ca="1" si="466"/>
        <v>1</v>
      </c>
      <c r="AO257" s="83"/>
    </row>
    <row r="258" spans="1:45">
      <c r="G258" s="6"/>
      <c r="H258" s="6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59"/>
      <c r="AQ258" s="59"/>
      <c r="AR258" s="59"/>
      <c r="AS258" s="59"/>
    </row>
    <row r="259" spans="1:45">
      <c r="D259" t="s">
        <v>155</v>
      </c>
      <c r="G259" s="6"/>
      <c r="H259" s="6"/>
      <c r="I259" s="6"/>
      <c r="J259" s="6"/>
      <c r="K259" s="6"/>
      <c r="L259" s="6">
        <f t="shared" ref="L259:Z259" si="467">SUM(L228:L229,L231)-SUM(L243:L245)</f>
        <v>-35.036000000000001</v>
      </c>
      <c r="M259" s="6">
        <f t="shared" si="467"/>
        <v>-45.000999999999991</v>
      </c>
      <c r="N259" s="6">
        <f t="shared" si="467"/>
        <v>-67.527000000000001</v>
      </c>
      <c r="O259" s="6">
        <f t="shared" si="467"/>
        <v>-100.536</v>
      </c>
      <c r="P259" s="6">
        <f t="shared" si="467"/>
        <v>-91.574999999999989</v>
      </c>
      <c r="Q259" s="6">
        <f t="shared" si="467"/>
        <v>-125.52200000000002</v>
      </c>
      <c r="R259" s="6">
        <f t="shared" si="467"/>
        <v>-155.02200000000002</v>
      </c>
      <c r="S259" s="6">
        <f t="shared" si="467"/>
        <v>-216.34899999999999</v>
      </c>
      <c r="T259" s="6">
        <f t="shared" si="467"/>
        <v>-298.25199999999995</v>
      </c>
      <c r="U259" s="6">
        <f t="shared" si="467"/>
        <v>-352.44199999999995</v>
      </c>
      <c r="V259" s="6">
        <f t="shared" si="467"/>
        <v>-383.20100000000002</v>
      </c>
      <c r="W259" s="6">
        <f t="shared" si="467"/>
        <v>-449.86</v>
      </c>
      <c r="X259" s="6">
        <f t="shared" si="467"/>
        <v>-571.6</v>
      </c>
      <c r="Y259" s="6">
        <f t="shared" si="467"/>
        <v>-674.3</v>
      </c>
      <c r="Z259" s="6">
        <f t="shared" si="467"/>
        <v>-865</v>
      </c>
      <c r="AA259" s="6">
        <f t="shared" ref="AA259:AB259" si="468">SUM(AA228:AA229,AA231)-SUM(AA243:AA245)</f>
        <v>-1185</v>
      </c>
      <c r="AB259" s="6">
        <f t="shared" si="468"/>
        <v>-1188</v>
      </c>
      <c r="AC259" s="60">
        <f t="shared" ref="AC259:AL259" si="469">+AC260*AC159</f>
        <v>-1528.9714402780494</v>
      </c>
      <c r="AD259" s="60">
        <f t="shared" si="469"/>
        <v>-1825.7465810831461</v>
      </c>
      <c r="AE259" s="60">
        <f t="shared" si="469"/>
        <v>-2177.4915730154489</v>
      </c>
      <c r="AF259" s="60">
        <f t="shared" si="469"/>
        <v>-2585.3905739552711</v>
      </c>
      <c r="AG259" s="60">
        <f t="shared" si="469"/>
        <v>-3018.6299092912286</v>
      </c>
      <c r="AH259" s="60">
        <f t="shared" si="469"/>
        <v>-3495.1412534280771</v>
      </c>
      <c r="AI259" s="60">
        <f t="shared" si="469"/>
        <v>-4012.8650326684901</v>
      </c>
      <c r="AJ259" s="60">
        <f t="shared" si="469"/>
        <v>-4548.0096186472356</v>
      </c>
      <c r="AK259" s="60">
        <f t="shared" si="469"/>
        <v>-5110.1444333932686</v>
      </c>
      <c r="AL259" s="60">
        <f t="shared" si="469"/>
        <v>-5691.8302684719574</v>
      </c>
      <c r="AM259" s="60">
        <f t="shared" ref="AM259:AN259" si="470">+AM260*AM159</f>
        <v>-6284.0428277842075</v>
      </c>
      <c r="AN259" s="60">
        <f t="shared" si="470"/>
        <v>-6907.8911730578211</v>
      </c>
      <c r="AO259" s="6"/>
    </row>
    <row r="260" spans="1:45">
      <c r="D260" t="s">
        <v>440</v>
      </c>
      <c r="G260" s="62"/>
      <c r="H260" s="62"/>
      <c r="I260" s="62"/>
      <c r="J260" s="62"/>
      <c r="K260" s="62"/>
      <c r="L260" s="62">
        <f t="shared" ref="L260:Z260" si="471">+L259/L159</f>
        <v>-0.21187455400878075</v>
      </c>
      <c r="M260" s="62">
        <f t="shared" si="471"/>
        <v>-0.2135187583922869</v>
      </c>
      <c r="N260" s="62">
        <f t="shared" si="471"/>
        <v>-0.2778625891376536</v>
      </c>
      <c r="O260" s="62">
        <f t="shared" si="471"/>
        <v>-0.30416419590236349</v>
      </c>
      <c r="P260" s="62">
        <f t="shared" si="471"/>
        <v>-0.20910398684751333</v>
      </c>
      <c r="Q260" s="62">
        <f t="shared" si="471"/>
        <v>-0.19799515746137408</v>
      </c>
      <c r="R260" s="62">
        <f t="shared" si="471"/>
        <v>-0.20045749546448466</v>
      </c>
      <c r="S260" s="62">
        <f t="shared" si="471"/>
        <v>-0.24273420845955346</v>
      </c>
      <c r="T260" s="62">
        <f t="shared" si="471"/>
        <v>-0.24632639577139079</v>
      </c>
      <c r="U260" s="62">
        <f t="shared" si="471"/>
        <v>-0.2111316120529563</v>
      </c>
      <c r="V260" s="62">
        <f t="shared" si="471"/>
        <v>-0.20845298586907859</v>
      </c>
      <c r="W260" s="62">
        <f t="shared" si="471"/>
        <v>-0.2116902563002156</v>
      </c>
      <c r="X260" s="62">
        <f t="shared" si="471"/>
        <v>-0.23053964668871502</v>
      </c>
      <c r="Y260" s="62">
        <f t="shared" si="471"/>
        <v>-0.22035227606940949</v>
      </c>
      <c r="Z260" s="62">
        <f t="shared" si="471"/>
        <v>-0.24788651669293596</v>
      </c>
      <c r="AA260" s="62">
        <f t="shared" ref="AA260:AB260" si="472">+AA259/AA159</f>
        <v>-0.29856386999244144</v>
      </c>
      <c r="AB260" s="62">
        <f t="shared" si="472"/>
        <v>-0.23262189152144117</v>
      </c>
      <c r="AC260" s="70">
        <f t="shared" ref="AC260:AL260" si="473">+AB260*1.005</f>
        <v>-0.23378500097904834</v>
      </c>
      <c r="AD260" s="70">
        <f t="shared" si="473"/>
        <v>-0.23495392598394355</v>
      </c>
      <c r="AE260" s="70">
        <f t="shared" si="473"/>
        <v>-0.23612869561386324</v>
      </c>
      <c r="AF260" s="70">
        <f t="shared" si="473"/>
        <v>-0.23730933909193253</v>
      </c>
      <c r="AG260" s="70">
        <f t="shared" si="473"/>
        <v>-0.23849588578739217</v>
      </c>
      <c r="AH260" s="70">
        <f t="shared" si="473"/>
        <v>-0.23968836521632911</v>
      </c>
      <c r="AI260" s="70">
        <f t="shared" si="473"/>
        <v>-0.24088680704241072</v>
      </c>
      <c r="AJ260" s="70">
        <f t="shared" si="473"/>
        <v>-0.24209124107762275</v>
      </c>
      <c r="AK260" s="70">
        <f t="shared" si="473"/>
        <v>-0.24330169728301085</v>
      </c>
      <c r="AL260" s="70">
        <f t="shared" si="473"/>
        <v>-0.24451820576942587</v>
      </c>
      <c r="AM260" s="70">
        <f t="shared" ref="AM260" si="474">+AL260*1.005</f>
        <v>-0.24574079679827299</v>
      </c>
      <c r="AN260" s="70">
        <f t="shared" ref="AN260" si="475">+AM260*1.005</f>
        <v>-0.24696950078226432</v>
      </c>
      <c r="AO260" s="6"/>
    </row>
    <row r="261" spans="1:45">
      <c r="D261" t="s">
        <v>213</v>
      </c>
      <c r="G261" s="6"/>
      <c r="H261" s="6"/>
      <c r="I261" s="6"/>
      <c r="J261" s="6"/>
      <c r="K261" s="6"/>
      <c r="L261" s="6"/>
      <c r="M261" s="6">
        <f t="shared" ref="M261" si="476">+M259-L259</f>
        <v>-9.9649999999999892</v>
      </c>
      <c r="N261" s="6">
        <f t="shared" ref="N261:T261" si="477">+N259-M259</f>
        <v>-22.52600000000001</v>
      </c>
      <c r="O261" s="6">
        <f t="shared" si="477"/>
        <v>-33.009</v>
      </c>
      <c r="P261" s="6">
        <f t="shared" si="477"/>
        <v>8.9610000000000127</v>
      </c>
      <c r="Q261" s="6">
        <f t="shared" si="477"/>
        <v>-33.947000000000031</v>
      </c>
      <c r="R261" s="6">
        <f t="shared" si="477"/>
        <v>-29.5</v>
      </c>
      <c r="S261" s="6">
        <f t="shared" si="477"/>
        <v>-61.32699999999997</v>
      </c>
      <c r="T261" s="6">
        <f t="shared" si="477"/>
        <v>-81.902999999999963</v>
      </c>
      <c r="U261" s="6">
        <f>+U259-T259</f>
        <v>-54.19</v>
      </c>
      <c r="V261" s="6">
        <f t="shared" ref="V261:AB261" si="478">+V259-U259</f>
        <v>-30.759000000000071</v>
      </c>
      <c r="W261" s="6">
        <f t="shared" si="478"/>
        <v>-66.658999999999992</v>
      </c>
      <c r="X261" s="6">
        <f t="shared" si="478"/>
        <v>-121.74000000000001</v>
      </c>
      <c r="Y261" s="6">
        <f t="shared" si="478"/>
        <v>-102.69999999999993</v>
      </c>
      <c r="Z261" s="6">
        <f t="shared" si="478"/>
        <v>-190.70000000000005</v>
      </c>
      <c r="AA261" s="6">
        <f t="shared" si="478"/>
        <v>-320</v>
      </c>
      <c r="AB261" s="6">
        <f t="shared" si="478"/>
        <v>-3</v>
      </c>
      <c r="AC261" s="60">
        <f t="shared" ref="AC261:AL261" si="479">+AC259-AB259</f>
        <v>-340.97144027804939</v>
      </c>
      <c r="AD261" s="60">
        <f t="shared" si="479"/>
        <v>-296.77514080509673</v>
      </c>
      <c r="AE261" s="60">
        <f t="shared" si="479"/>
        <v>-351.74499193230281</v>
      </c>
      <c r="AF261" s="60">
        <f t="shared" si="479"/>
        <v>-407.89900093982214</v>
      </c>
      <c r="AG261" s="60">
        <f t="shared" si="479"/>
        <v>-433.23933533595755</v>
      </c>
      <c r="AH261" s="60">
        <f t="shared" si="479"/>
        <v>-476.51134413684849</v>
      </c>
      <c r="AI261" s="60">
        <f t="shared" si="479"/>
        <v>-517.72377924041302</v>
      </c>
      <c r="AJ261" s="60">
        <f t="shared" si="479"/>
        <v>-535.14458597874545</v>
      </c>
      <c r="AK261" s="60">
        <f t="shared" si="479"/>
        <v>-562.13481474603304</v>
      </c>
      <c r="AL261" s="60">
        <f t="shared" si="479"/>
        <v>-581.6858350786888</v>
      </c>
      <c r="AM261" s="60">
        <f t="shared" ref="AM261" si="480">+AM259-AL259</f>
        <v>-592.21255931225005</v>
      </c>
      <c r="AN261" s="60">
        <f t="shared" ref="AN261" si="481">+AN259-AM259</f>
        <v>-623.84834527361363</v>
      </c>
      <c r="AO261" s="6"/>
    </row>
    <row r="262" spans="1:45">
      <c r="D262" t="s">
        <v>420</v>
      </c>
      <c r="G262" s="6"/>
      <c r="H262" s="6"/>
      <c r="I262" s="6"/>
      <c r="J262" s="6"/>
      <c r="K262" s="6"/>
      <c r="L262" s="6"/>
      <c r="M262" s="6">
        <f t="shared" ref="M262:Y262" si="482">-M202</f>
        <v>-0.55600000000000005</v>
      </c>
      <c r="N262" s="6">
        <f t="shared" si="482"/>
        <v>2.6579999999999999</v>
      </c>
      <c r="O262" s="6">
        <f t="shared" si="482"/>
        <v>-4.8449999999999998</v>
      </c>
      <c r="P262" s="6">
        <f t="shared" si="482"/>
        <v>-11.414999999999999</v>
      </c>
      <c r="Q262" s="6">
        <f t="shared" si="482"/>
        <v>-10.55</v>
      </c>
      <c r="R262" s="6">
        <f t="shared" si="482"/>
        <v>15.896000000000001</v>
      </c>
      <c r="S262" s="6">
        <f t="shared" si="482"/>
        <v>17.39</v>
      </c>
      <c r="T262" s="6">
        <f t="shared" si="482"/>
        <v>-0.51900000000000002</v>
      </c>
      <c r="U262" s="6">
        <f t="shared" si="482"/>
        <v>1.7130000000000001</v>
      </c>
      <c r="V262" s="6">
        <f t="shared" si="482"/>
        <v>-3.08</v>
      </c>
      <c r="W262" s="6">
        <f t="shared" si="482"/>
        <v>16.495999999999999</v>
      </c>
      <c r="X262" s="6">
        <f t="shared" si="482"/>
        <v>15.1</v>
      </c>
      <c r="Y262" s="6">
        <f t="shared" si="482"/>
        <v>-13.6</v>
      </c>
      <c r="Z262" s="6">
        <f>-Z202</f>
        <v>28</v>
      </c>
      <c r="AA262" s="6">
        <f>-AA202</f>
        <v>-117</v>
      </c>
      <c r="AB262" s="6">
        <f>-AB202</f>
        <v>-45</v>
      </c>
      <c r="AC262" s="60">
        <f t="shared" ref="AC262:AL262" si="483">+AC261-AC263</f>
        <v>2.763559721950628</v>
      </c>
      <c r="AD262" s="60">
        <f t="shared" si="483"/>
        <v>43.308759194903359</v>
      </c>
      <c r="AE262" s="60">
        <f t="shared" si="483"/>
        <v>18.915389897697423</v>
      </c>
      <c r="AF262" s="60">
        <f t="shared" si="483"/>
        <v>-10.262295310581976</v>
      </c>
      <c r="AG262" s="60">
        <f t="shared" si="483"/>
        <v>-15.322439201903023</v>
      </c>
      <c r="AH262" s="60">
        <f t="shared" si="483"/>
        <v>-19.089260893716869</v>
      </c>
      <c r="AI262" s="60">
        <f t="shared" si="483"/>
        <v>-24.268121060020064</v>
      </c>
      <c r="AJ262" s="60">
        <f t="shared" si="483"/>
        <v>-36.632494025688686</v>
      </c>
      <c r="AK262" s="60">
        <f t="shared" si="483"/>
        <v>-48.140410767201615</v>
      </c>
      <c r="AL262" s="60">
        <f t="shared" si="483"/>
        <v>-63.061251565048337</v>
      </c>
      <c r="AM262" s="60">
        <f t="shared" ref="AM262:AN262" si="484">+AM261-AM263</f>
        <v>-80.684308251811672</v>
      </c>
      <c r="AN262" s="60">
        <f t="shared" si="484"/>
        <v>-99.370032852190207</v>
      </c>
      <c r="AO262" s="6"/>
    </row>
    <row r="263" spans="1:45">
      <c r="D263" t="s">
        <v>421</v>
      </c>
      <c r="G263" s="6"/>
      <c r="H263" s="6"/>
      <c r="I263" s="6"/>
      <c r="J263" s="6"/>
      <c r="K263" s="6"/>
      <c r="L263" s="6"/>
      <c r="M263" s="6">
        <f t="shared" ref="M263:Y263" si="485">+M261-M262</f>
        <v>-9.4089999999999883</v>
      </c>
      <c r="N263" s="6">
        <f t="shared" si="485"/>
        <v>-25.184000000000012</v>
      </c>
      <c r="O263" s="6">
        <f t="shared" si="485"/>
        <v>-28.164000000000001</v>
      </c>
      <c r="P263" s="6">
        <f t="shared" si="485"/>
        <v>20.376000000000012</v>
      </c>
      <c r="Q263" s="6">
        <f t="shared" si="485"/>
        <v>-23.39700000000003</v>
      </c>
      <c r="R263" s="6">
        <f t="shared" si="485"/>
        <v>-45.396000000000001</v>
      </c>
      <c r="S263" s="6">
        <f t="shared" si="485"/>
        <v>-78.71699999999997</v>
      </c>
      <c r="T263" s="6">
        <f t="shared" si="485"/>
        <v>-81.383999999999958</v>
      </c>
      <c r="U263" s="6">
        <f t="shared" si="485"/>
        <v>-55.902999999999999</v>
      </c>
      <c r="V263" s="6">
        <f t="shared" si="485"/>
        <v>-27.679000000000073</v>
      </c>
      <c r="W263" s="6">
        <f t="shared" si="485"/>
        <v>-83.154999999999987</v>
      </c>
      <c r="X263" s="6">
        <f t="shared" si="485"/>
        <v>-136.84</v>
      </c>
      <c r="Y263" s="6">
        <f t="shared" si="485"/>
        <v>-89.099999999999937</v>
      </c>
      <c r="Z263" s="6">
        <f>+Z261-Z262</f>
        <v>-218.70000000000005</v>
      </c>
      <c r="AA263" s="6">
        <f>+AA261-AA262</f>
        <v>-203</v>
      </c>
      <c r="AB263" s="6">
        <f>+AB261-AB262</f>
        <v>42</v>
      </c>
      <c r="AC263" s="60">
        <f t="shared" ref="AC263:AL263" si="486">AC324</f>
        <v>-343.73500000000001</v>
      </c>
      <c r="AD263" s="60">
        <f t="shared" si="486"/>
        <v>-340.08390000000009</v>
      </c>
      <c r="AE263" s="60">
        <f t="shared" si="486"/>
        <v>-370.66038183000023</v>
      </c>
      <c r="AF263" s="60">
        <f t="shared" si="486"/>
        <v>-397.63670562924017</v>
      </c>
      <c r="AG263" s="60">
        <f t="shared" si="486"/>
        <v>-417.91689613405453</v>
      </c>
      <c r="AH263" s="60">
        <f t="shared" si="486"/>
        <v>-457.42208324313162</v>
      </c>
      <c r="AI263" s="60">
        <f t="shared" si="486"/>
        <v>-493.45565818039296</v>
      </c>
      <c r="AJ263" s="60">
        <f t="shared" si="486"/>
        <v>-498.51209195305677</v>
      </c>
      <c r="AK263" s="60">
        <f t="shared" si="486"/>
        <v>-513.99440397883143</v>
      </c>
      <c r="AL263" s="60">
        <f t="shared" si="486"/>
        <v>-518.62458351364046</v>
      </c>
      <c r="AM263" s="60">
        <f t="shared" ref="AM263:AN263" si="487">AM324</f>
        <v>-511.52825106043838</v>
      </c>
      <c r="AN263" s="60">
        <f t="shared" si="487"/>
        <v>-524.47831242142342</v>
      </c>
      <c r="AO263" s="6"/>
    </row>
    <row r="264" spans="1:45"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6"/>
    </row>
    <row r="265" spans="1:45">
      <c r="C265" s="94"/>
      <c r="D265" s="95" t="s">
        <v>181</v>
      </c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147"/>
      <c r="AD265" s="147"/>
      <c r="AE265" s="147"/>
      <c r="AF265" s="94"/>
      <c r="AG265" s="94"/>
      <c r="AH265" s="94"/>
      <c r="AI265" s="94"/>
      <c r="AJ265" s="94"/>
      <c r="AK265" s="94"/>
      <c r="AL265" s="94"/>
      <c r="AM265" s="94"/>
      <c r="AN265" s="94"/>
    </row>
    <row r="266" spans="1:45" ht="5.15" customHeight="1"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6"/>
      <c r="AP266" s="1"/>
    </row>
    <row r="267" spans="1:45">
      <c r="A267" s="5"/>
      <c r="D267" s="61" t="s">
        <v>280</v>
      </c>
      <c r="G267" s="51"/>
      <c r="H267" s="51"/>
      <c r="I267" s="51"/>
      <c r="J267" s="51"/>
      <c r="K267" s="51"/>
      <c r="L267" s="51">
        <v>0.1</v>
      </c>
      <c r="M267" s="51">
        <v>0.1</v>
      </c>
      <c r="N267" s="51">
        <v>0.15</v>
      </c>
      <c r="O267" s="51">
        <v>0.18</v>
      </c>
      <c r="P267" s="51">
        <v>0.22</v>
      </c>
      <c r="Q267" s="51">
        <v>0.26</v>
      </c>
      <c r="R267" s="51">
        <v>2</v>
      </c>
      <c r="S267" s="51">
        <v>3</v>
      </c>
      <c r="T267" s="51">
        <v>4</v>
      </c>
      <c r="U267" s="51">
        <v>4</v>
      </c>
      <c r="V267" s="51">
        <v>4</v>
      </c>
      <c r="W267" s="51">
        <v>4</v>
      </c>
      <c r="X267" s="51">
        <v>4</v>
      </c>
      <c r="Y267" s="51">
        <v>4</v>
      </c>
      <c r="Z267" s="51">
        <v>4</v>
      </c>
      <c r="AA267" s="51">
        <v>4</v>
      </c>
      <c r="AB267" s="51">
        <v>4</v>
      </c>
      <c r="AC267" s="51">
        <v>4</v>
      </c>
      <c r="AD267" s="51">
        <v>4</v>
      </c>
      <c r="AE267" s="51">
        <v>4</v>
      </c>
      <c r="AF267" s="51">
        <v>4</v>
      </c>
      <c r="AG267" s="51">
        <v>4</v>
      </c>
      <c r="AH267" s="51">
        <v>4</v>
      </c>
      <c r="AI267" s="51">
        <v>4</v>
      </c>
      <c r="AJ267" s="51">
        <v>4</v>
      </c>
      <c r="AK267" s="51">
        <v>4</v>
      </c>
      <c r="AL267" s="51">
        <v>4</v>
      </c>
      <c r="AM267" s="51">
        <v>4</v>
      </c>
      <c r="AN267" s="51">
        <v>4</v>
      </c>
    </row>
    <row r="268" spans="1:45">
      <c r="A268" s="5"/>
      <c r="D268" s="61" t="s">
        <v>281</v>
      </c>
      <c r="G268" s="51"/>
      <c r="H268" s="51"/>
      <c r="I268" s="51"/>
      <c r="J268" s="51"/>
      <c r="K268" s="51"/>
      <c r="L268" s="51">
        <v>0</v>
      </c>
      <c r="M268" s="51">
        <v>0</v>
      </c>
      <c r="N268" s="51">
        <v>0</v>
      </c>
      <c r="O268" s="51">
        <v>0</v>
      </c>
      <c r="P268" s="51">
        <v>0</v>
      </c>
      <c r="Q268" s="51">
        <v>0</v>
      </c>
      <c r="R268" s="51">
        <v>0</v>
      </c>
      <c r="S268" s="51">
        <v>0</v>
      </c>
      <c r="T268" s="51">
        <v>0</v>
      </c>
      <c r="U268" s="51">
        <v>0</v>
      </c>
      <c r="V268" s="51">
        <v>0</v>
      </c>
      <c r="W268" s="51">
        <v>0</v>
      </c>
      <c r="X268" s="51">
        <v>0</v>
      </c>
      <c r="Y268" s="51">
        <v>0</v>
      </c>
      <c r="Z268" s="51">
        <v>20</v>
      </c>
      <c r="AA268" s="51">
        <v>0</v>
      </c>
      <c r="AB268" s="51">
        <v>0</v>
      </c>
      <c r="AC268" s="51">
        <v>0</v>
      </c>
      <c r="AD268" s="51">
        <v>0</v>
      </c>
      <c r="AE268" s="51">
        <v>0</v>
      </c>
      <c r="AF268" s="51">
        <v>0</v>
      </c>
      <c r="AG268" s="51">
        <v>0</v>
      </c>
      <c r="AH268" s="51">
        <v>0</v>
      </c>
      <c r="AI268" s="51">
        <v>0</v>
      </c>
      <c r="AJ268" s="51">
        <v>0</v>
      </c>
      <c r="AK268" s="51">
        <v>0</v>
      </c>
      <c r="AL268" s="51">
        <v>0</v>
      </c>
      <c r="AM268" s="51">
        <v>0</v>
      </c>
      <c r="AN268" s="51">
        <v>0</v>
      </c>
    </row>
    <row r="269" spans="1:45">
      <c r="A269" s="5"/>
      <c r="D269" s="2" t="s">
        <v>282</v>
      </c>
      <c r="E269" s="2"/>
      <c r="F269" s="2"/>
      <c r="G269" s="173"/>
      <c r="H269" s="173"/>
      <c r="I269" s="173"/>
      <c r="J269" s="173"/>
      <c r="K269" s="173"/>
      <c r="L269" s="173">
        <f t="shared" ref="L269:AK269" si="488">SUM(L267:L268)</f>
        <v>0.1</v>
      </c>
      <c r="M269" s="173">
        <f t="shared" si="488"/>
        <v>0.1</v>
      </c>
      <c r="N269" s="173">
        <f t="shared" si="488"/>
        <v>0.15</v>
      </c>
      <c r="O269" s="173">
        <f t="shared" si="488"/>
        <v>0.18</v>
      </c>
      <c r="P269" s="173">
        <f t="shared" si="488"/>
        <v>0.22</v>
      </c>
      <c r="Q269" s="173">
        <f t="shared" si="488"/>
        <v>0.26</v>
      </c>
      <c r="R269" s="173">
        <f t="shared" si="488"/>
        <v>2</v>
      </c>
      <c r="S269" s="173">
        <f t="shared" si="488"/>
        <v>3</v>
      </c>
      <c r="T269" s="173">
        <f t="shared" si="488"/>
        <v>4</v>
      </c>
      <c r="U269" s="173">
        <f t="shared" si="488"/>
        <v>4</v>
      </c>
      <c r="V269" s="173">
        <f t="shared" si="488"/>
        <v>4</v>
      </c>
      <c r="W269" s="173">
        <f t="shared" si="488"/>
        <v>4</v>
      </c>
      <c r="X269" s="173">
        <f t="shared" si="488"/>
        <v>4</v>
      </c>
      <c r="Y269" s="173">
        <f t="shared" si="488"/>
        <v>4</v>
      </c>
      <c r="Z269" s="173">
        <f t="shared" si="488"/>
        <v>24</v>
      </c>
      <c r="AA269" s="173">
        <f t="shared" ref="AA269:AB269" si="489">SUM(AA267:AA268)</f>
        <v>4</v>
      </c>
      <c r="AB269" s="173">
        <f t="shared" si="489"/>
        <v>4</v>
      </c>
      <c r="AC269" s="173">
        <f t="shared" si="488"/>
        <v>4</v>
      </c>
      <c r="AD269" s="173">
        <f t="shared" si="488"/>
        <v>4</v>
      </c>
      <c r="AE269" s="173">
        <f t="shared" si="488"/>
        <v>4</v>
      </c>
      <c r="AF269" s="173">
        <f t="shared" si="488"/>
        <v>4</v>
      </c>
      <c r="AG269" s="173">
        <f t="shared" si="488"/>
        <v>4</v>
      </c>
      <c r="AH269" s="173">
        <f t="shared" si="488"/>
        <v>4</v>
      </c>
      <c r="AI269" s="173">
        <f t="shared" si="488"/>
        <v>4</v>
      </c>
      <c r="AJ269" s="173">
        <f t="shared" si="488"/>
        <v>4</v>
      </c>
      <c r="AK269" s="173">
        <f t="shared" si="488"/>
        <v>4</v>
      </c>
      <c r="AL269" s="173">
        <f t="shared" ref="AL269" si="490">SUM(AL267:AL268)</f>
        <v>4</v>
      </c>
      <c r="AM269" s="173">
        <f t="shared" ref="AM269:AN269" si="491">SUM(AM267:AM268)</f>
        <v>4</v>
      </c>
      <c r="AN269" s="173">
        <f t="shared" si="491"/>
        <v>4</v>
      </c>
      <c r="AO269" s="64"/>
      <c r="AP269" s="64">
        <f>(AM269/AC269)^(1/10)-1</f>
        <v>0</v>
      </c>
      <c r="AQ269" s="64">
        <f>(AC269/Q269)^(1/12)-1</f>
        <v>0.25580985521298505</v>
      </c>
    </row>
    <row r="270" spans="1:45">
      <c r="A270" s="5"/>
      <c r="D270" s="61" t="s">
        <v>283</v>
      </c>
      <c r="G270" s="174"/>
      <c r="H270" s="174"/>
      <c r="I270" s="174"/>
      <c r="J270" s="174"/>
      <c r="K270" s="174"/>
      <c r="L270" s="174">
        <f t="shared" ref="L270:AK270" si="492">+L274</f>
        <v>20.391999999999999</v>
      </c>
      <c r="M270" s="174">
        <f t="shared" si="492"/>
        <v>20.81</v>
      </c>
      <c r="N270" s="174">
        <f t="shared" si="492"/>
        <v>21.19153</v>
      </c>
      <c r="O270" s="174">
        <f t="shared" si="492"/>
        <v>21.19153</v>
      </c>
      <c r="P270" s="174">
        <f t="shared" si="492"/>
        <v>21.19153</v>
      </c>
      <c r="Q270" s="174">
        <f t="shared" si="492"/>
        <v>21.19153</v>
      </c>
      <c r="R270" s="174">
        <f t="shared" si="492"/>
        <v>21.19153</v>
      </c>
      <c r="S270" s="174">
        <f>+S274</f>
        <v>21.19153</v>
      </c>
      <c r="T270" s="174">
        <f>+T274</f>
        <v>21.19153</v>
      </c>
      <c r="U270" s="174">
        <f>+U274</f>
        <v>21.19153</v>
      </c>
      <c r="V270" s="174">
        <f t="shared" si="492"/>
        <v>21.19153</v>
      </c>
      <c r="W270" s="174">
        <f>+W274</f>
        <v>21.19153</v>
      </c>
      <c r="X270" s="174">
        <f t="shared" si="492"/>
        <v>21.19153</v>
      </c>
      <c r="Y270" s="174">
        <f t="shared" si="492"/>
        <v>21.19153</v>
      </c>
      <c r="Z270" s="174">
        <f t="shared" si="492"/>
        <v>21.19153</v>
      </c>
      <c r="AA270" s="174">
        <f t="shared" ref="AA270:AB270" si="493">+AA274</f>
        <v>21.19153</v>
      </c>
      <c r="AB270" s="174">
        <f t="shared" si="493"/>
        <v>21.19153</v>
      </c>
      <c r="AC270" s="174">
        <f t="shared" ca="1" si="492"/>
        <v>21.19153</v>
      </c>
      <c r="AD270" s="174">
        <f t="shared" ca="1" si="492"/>
        <v>21.19153</v>
      </c>
      <c r="AE270" s="174">
        <f t="shared" ca="1" si="492"/>
        <v>21.19153</v>
      </c>
      <c r="AF270" s="174">
        <f t="shared" ca="1" si="492"/>
        <v>21.19153</v>
      </c>
      <c r="AG270" s="174">
        <f t="shared" ca="1" si="492"/>
        <v>21.19153</v>
      </c>
      <c r="AH270" s="174">
        <f t="shared" ca="1" si="492"/>
        <v>21.19153</v>
      </c>
      <c r="AI270" s="174">
        <f t="shared" ca="1" si="492"/>
        <v>21.19153</v>
      </c>
      <c r="AJ270" s="174">
        <f t="shared" ca="1" si="492"/>
        <v>21.19153</v>
      </c>
      <c r="AK270" s="174">
        <f t="shared" ca="1" si="492"/>
        <v>21.19153</v>
      </c>
      <c r="AL270" s="174">
        <f t="shared" ref="AL270" ca="1" si="494">+AL274</f>
        <v>21.19153</v>
      </c>
      <c r="AM270" s="174">
        <f t="shared" ref="AM270:AN270" ca="1" si="495">+AM274</f>
        <v>21.19153</v>
      </c>
      <c r="AN270" s="174">
        <f t="shared" ca="1" si="495"/>
        <v>21.19153</v>
      </c>
    </row>
    <row r="271" spans="1:45">
      <c r="A271" s="5"/>
      <c r="D271" s="68" t="s">
        <v>111</v>
      </c>
      <c r="E271" s="54"/>
      <c r="F271" s="54"/>
      <c r="G271" s="6"/>
      <c r="H271" s="59"/>
      <c r="I271" s="6"/>
      <c r="J271" s="6"/>
      <c r="K271" s="6"/>
      <c r="L271" s="175" t="b">
        <f t="shared" ref="L271:AL271" si="496">+ABS((L269*L270)+L218)&lt;1</f>
        <v>1</v>
      </c>
      <c r="M271" s="175" t="b">
        <f t="shared" si="496"/>
        <v>1</v>
      </c>
      <c r="N271" s="175" t="b">
        <f t="shared" si="496"/>
        <v>1</v>
      </c>
      <c r="O271" s="175" t="b">
        <f t="shared" si="496"/>
        <v>1</v>
      </c>
      <c r="P271" s="175" t="b">
        <f t="shared" si="496"/>
        <v>1</v>
      </c>
      <c r="Q271" s="175" t="b">
        <f t="shared" si="496"/>
        <v>1</v>
      </c>
      <c r="R271" s="175" t="b">
        <f t="shared" si="496"/>
        <v>1</v>
      </c>
      <c r="S271" s="175" t="b">
        <f t="shared" si="496"/>
        <v>1</v>
      </c>
      <c r="T271" s="175" t="b">
        <f t="shared" si="496"/>
        <v>1</v>
      </c>
      <c r="U271" s="175" t="b">
        <f t="shared" si="496"/>
        <v>1</v>
      </c>
      <c r="V271" s="175" t="b">
        <f t="shared" si="496"/>
        <v>1</v>
      </c>
      <c r="W271" s="175" t="b">
        <f t="shared" si="496"/>
        <v>1</v>
      </c>
      <c r="X271" s="175" t="b">
        <f t="shared" si="496"/>
        <v>1</v>
      </c>
      <c r="Y271" s="175" t="b">
        <f t="shared" si="496"/>
        <v>1</v>
      </c>
      <c r="Z271" s="175" t="b">
        <f t="shared" si="496"/>
        <v>1</v>
      </c>
      <c r="AA271" s="175" t="b">
        <f t="shared" si="496"/>
        <v>1</v>
      </c>
      <c r="AB271" s="175" t="b">
        <f t="shared" ref="AB271" si="497">+ABS((AB269*AB270)+AB218)&lt;1</f>
        <v>1</v>
      </c>
      <c r="AC271" s="175" t="b">
        <f t="shared" ca="1" si="496"/>
        <v>1</v>
      </c>
      <c r="AD271" s="175" t="b">
        <f t="shared" ca="1" si="496"/>
        <v>1</v>
      </c>
      <c r="AE271" s="175" t="b">
        <f t="shared" ca="1" si="496"/>
        <v>1</v>
      </c>
      <c r="AF271" s="175" t="b">
        <f t="shared" ca="1" si="496"/>
        <v>1</v>
      </c>
      <c r="AG271" s="175" t="b">
        <f t="shared" ca="1" si="496"/>
        <v>1</v>
      </c>
      <c r="AH271" s="175" t="b">
        <f t="shared" ca="1" si="496"/>
        <v>1</v>
      </c>
      <c r="AI271" s="175" t="b">
        <f t="shared" ca="1" si="496"/>
        <v>1</v>
      </c>
      <c r="AJ271" s="175" t="b">
        <f t="shared" ca="1" si="496"/>
        <v>1</v>
      </c>
      <c r="AK271" s="175" t="b">
        <f t="shared" ca="1" si="496"/>
        <v>1</v>
      </c>
      <c r="AL271" s="175" t="b">
        <f t="shared" ca="1" si="496"/>
        <v>1</v>
      </c>
      <c r="AM271" s="175" t="b">
        <f t="shared" ref="AM271:AN271" ca="1" si="498">+ABS((AM269*AM270)+AM218)&lt;1</f>
        <v>1</v>
      </c>
      <c r="AN271" s="175" t="b">
        <f t="shared" ca="1" si="498"/>
        <v>1</v>
      </c>
    </row>
    <row r="272" spans="1:45">
      <c r="A272" s="5"/>
      <c r="G272" s="6"/>
      <c r="H272" s="4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</row>
    <row r="273" spans="1:43">
      <c r="A273" s="5"/>
      <c r="D273" s="61" t="s">
        <v>167</v>
      </c>
      <c r="G273" s="62"/>
      <c r="H273" s="62"/>
      <c r="I273" s="62"/>
      <c r="J273" s="62"/>
      <c r="K273" s="62"/>
      <c r="L273" s="176">
        <v>19.952000000000002</v>
      </c>
      <c r="M273" s="176">
        <v>20.81</v>
      </c>
      <c r="N273" s="176">
        <v>21.11</v>
      </c>
      <c r="O273" s="176">
        <v>21.14</v>
      </c>
      <c r="P273" s="176">
        <v>21.164999999999999</v>
      </c>
      <c r="Q273" s="176">
        <v>21.178999999999998</v>
      </c>
      <c r="R273" s="176">
        <v>21.19153</v>
      </c>
      <c r="S273" s="176">
        <v>21.19153</v>
      </c>
      <c r="T273" s="176">
        <v>21.19153</v>
      </c>
      <c r="U273" s="176">
        <v>21.19153</v>
      </c>
      <c r="V273" s="176">
        <v>21.19153</v>
      </c>
      <c r="W273" s="176">
        <v>21.19153</v>
      </c>
      <c r="X273" s="176">
        <v>21.19153</v>
      </c>
      <c r="Y273" s="176">
        <v>21.19153</v>
      </c>
      <c r="Z273" s="176">
        <v>21.19153</v>
      </c>
      <c r="AA273" s="176">
        <v>21.19153</v>
      </c>
      <c r="AB273" s="176">
        <v>21.19153</v>
      </c>
      <c r="AC273" s="177">
        <f t="shared" ref="AC273:AL273" ca="1" si="499">+AB273+IFERROR(AC285/1,"0")</f>
        <v>21.19153</v>
      </c>
      <c r="AD273" s="177">
        <f t="shared" ca="1" si="499"/>
        <v>21.19153</v>
      </c>
      <c r="AE273" s="177">
        <f t="shared" ca="1" si="499"/>
        <v>21.19153</v>
      </c>
      <c r="AF273" s="177">
        <f t="shared" ca="1" si="499"/>
        <v>21.19153</v>
      </c>
      <c r="AG273" s="177">
        <f t="shared" ca="1" si="499"/>
        <v>21.19153</v>
      </c>
      <c r="AH273" s="177">
        <f t="shared" ca="1" si="499"/>
        <v>21.19153</v>
      </c>
      <c r="AI273" s="177">
        <f t="shared" ca="1" si="499"/>
        <v>21.19153</v>
      </c>
      <c r="AJ273" s="177">
        <f t="shared" ca="1" si="499"/>
        <v>21.19153</v>
      </c>
      <c r="AK273" s="177">
        <f t="shared" ca="1" si="499"/>
        <v>21.19153</v>
      </c>
      <c r="AL273" s="177">
        <f t="shared" ca="1" si="499"/>
        <v>21.19153</v>
      </c>
      <c r="AM273" s="177">
        <f t="shared" ref="AM273" ca="1" si="500">+AL273+IFERROR(AM285/1,"0")</f>
        <v>21.19153</v>
      </c>
      <c r="AN273" s="177">
        <f t="shared" ref="AN273" ca="1" si="501">+AM273+IFERROR(AN285/1,"0")</f>
        <v>21.19153</v>
      </c>
    </row>
    <row r="274" spans="1:43">
      <c r="A274" s="5"/>
      <c r="D274" s="61" t="s">
        <v>168</v>
      </c>
      <c r="G274" s="174"/>
      <c r="H274" s="88"/>
      <c r="I274" s="174"/>
      <c r="J274" s="174"/>
      <c r="K274" s="174"/>
      <c r="L274" s="176">
        <v>20.391999999999999</v>
      </c>
      <c r="M274" s="176">
        <v>20.81</v>
      </c>
      <c r="N274" s="176">
        <v>21.19153</v>
      </c>
      <c r="O274" s="176">
        <v>21.19153</v>
      </c>
      <c r="P274" s="176">
        <v>21.19153</v>
      </c>
      <c r="Q274" s="176">
        <v>21.19153</v>
      </c>
      <c r="R274" s="174">
        <f>+R273</f>
        <v>21.19153</v>
      </c>
      <c r="S274" s="174">
        <f>+S273</f>
        <v>21.19153</v>
      </c>
      <c r="T274" s="174">
        <f t="shared" ref="T274:AK274" si="502">+T273</f>
        <v>21.19153</v>
      </c>
      <c r="U274" s="174">
        <f t="shared" si="502"/>
        <v>21.19153</v>
      </c>
      <c r="V274" s="174">
        <f t="shared" si="502"/>
        <v>21.19153</v>
      </c>
      <c r="W274" s="174">
        <f t="shared" si="502"/>
        <v>21.19153</v>
      </c>
      <c r="X274" s="174">
        <f t="shared" si="502"/>
        <v>21.19153</v>
      </c>
      <c r="Y274" s="174">
        <f t="shared" si="502"/>
        <v>21.19153</v>
      </c>
      <c r="Z274" s="174">
        <f t="shared" si="502"/>
        <v>21.19153</v>
      </c>
      <c r="AA274" s="174">
        <f t="shared" ref="AA274:AB274" si="503">+AA273</f>
        <v>21.19153</v>
      </c>
      <c r="AB274" s="174">
        <f t="shared" si="503"/>
        <v>21.19153</v>
      </c>
      <c r="AC274" s="174">
        <f t="shared" ca="1" si="502"/>
        <v>21.19153</v>
      </c>
      <c r="AD274" s="174">
        <f t="shared" ca="1" si="502"/>
        <v>21.19153</v>
      </c>
      <c r="AE274" s="174">
        <f t="shared" ca="1" si="502"/>
        <v>21.19153</v>
      </c>
      <c r="AF274" s="174">
        <f t="shared" ca="1" si="502"/>
        <v>21.19153</v>
      </c>
      <c r="AG274" s="174">
        <f t="shared" ca="1" si="502"/>
        <v>21.19153</v>
      </c>
      <c r="AH274" s="174">
        <f t="shared" ca="1" si="502"/>
        <v>21.19153</v>
      </c>
      <c r="AI274" s="174">
        <f t="shared" ca="1" si="502"/>
        <v>21.19153</v>
      </c>
      <c r="AJ274" s="174">
        <f t="shared" ca="1" si="502"/>
        <v>21.19153</v>
      </c>
      <c r="AK274" s="174">
        <f t="shared" ca="1" si="502"/>
        <v>21.19153</v>
      </c>
      <c r="AL274" s="174">
        <f t="shared" ref="AL274" ca="1" si="504">+AL273</f>
        <v>21.19153</v>
      </c>
      <c r="AM274" s="174">
        <f t="shared" ref="AM274:AN274" ca="1" si="505">+AM273</f>
        <v>21.19153</v>
      </c>
      <c r="AN274" s="174">
        <f t="shared" ca="1" si="505"/>
        <v>21.19153</v>
      </c>
    </row>
    <row r="275" spans="1:43">
      <c r="A275" s="5"/>
      <c r="G275" s="62"/>
      <c r="H275" s="88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</row>
    <row r="276" spans="1:43">
      <c r="A276" s="5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</row>
    <row r="277" spans="1:43">
      <c r="A277" s="5"/>
      <c r="D277" t="s">
        <v>133</v>
      </c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>
        <f t="shared" ref="AA277:AB277" si="506">IFERROR(AA278/AA280,"na")</f>
        <v>57.40680307736762</v>
      </c>
      <c r="AB277" s="79">
        <f t="shared" si="506"/>
        <v>108.4044942999123</v>
      </c>
      <c r="AC277" s="80">
        <f t="shared" ref="AC277:AI277" ca="1" si="507">AVERAGE(AD277,AB277)</f>
        <v>98.35955048881091</v>
      </c>
      <c r="AD277" s="80">
        <f t="shared" ca="1" si="507"/>
        <v>88.31460667770952</v>
      </c>
      <c r="AE277" s="80">
        <f t="shared" ca="1" si="507"/>
        <v>78.269662866608144</v>
      </c>
      <c r="AF277" s="80">
        <f t="shared" ca="1" si="507"/>
        <v>68.224719055506768</v>
      </c>
      <c r="AG277" s="80">
        <f t="shared" ca="1" si="507"/>
        <v>58.179775244405405</v>
      </c>
      <c r="AH277" s="80">
        <f t="shared" ca="1" si="507"/>
        <v>48.134831433304051</v>
      </c>
      <c r="AI277" s="80">
        <f t="shared" ca="1" si="507"/>
        <v>38.089887622202696</v>
      </c>
      <c r="AJ277" s="80">
        <f ca="1">AVERAGE(AK277,AI277)</f>
        <v>28.044943811101348</v>
      </c>
      <c r="AK277" s="80">
        <v>18</v>
      </c>
      <c r="AL277" s="80">
        <v>18</v>
      </c>
      <c r="AM277" s="80">
        <v>18</v>
      </c>
      <c r="AN277" s="80">
        <v>18</v>
      </c>
    </row>
    <row r="278" spans="1:43">
      <c r="A278" s="5"/>
      <c r="D278" t="s">
        <v>437</v>
      </c>
      <c r="G278" s="178"/>
      <c r="H278" s="178"/>
      <c r="I278" s="75"/>
      <c r="J278" s="75"/>
      <c r="K278" s="75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211">
        <f>1500/1.27</f>
        <v>1181.1023622047244</v>
      </c>
      <c r="AB278" s="211">
        <f>2100/1.32</f>
        <v>1590.9090909090908</v>
      </c>
      <c r="AC278" s="212">
        <f t="shared" ref="AC278:AK278" ca="1" si="508">+AC280*AC277</f>
        <v>2845.0705547980001</v>
      </c>
      <c r="AD278" s="212">
        <f t="shared" ca="1" si="508"/>
        <v>2156.5422135535732</v>
      </c>
      <c r="AE278" s="212">
        <f t="shared" ca="1" si="508"/>
        <v>2331.8660378064756</v>
      </c>
      <c r="AF278" s="212">
        <f t="shared" ca="1" si="508"/>
        <v>2570.5994342857007</v>
      </c>
      <c r="AG278" s="212">
        <f t="shared" ca="1" si="508"/>
        <v>2810.0106042837638</v>
      </c>
      <c r="AH278" s="212">
        <f t="shared" ca="1" si="508"/>
        <v>2987.6346850344826</v>
      </c>
      <c r="AI278" s="212">
        <f t="shared" ca="1" si="508"/>
        <v>2941.4158191511265</v>
      </c>
      <c r="AJ278" s="212">
        <f t="shared" ca="1" si="508"/>
        <v>2646.6966680291789</v>
      </c>
      <c r="AK278" s="212">
        <f t="shared" ca="1" si="508"/>
        <v>2070.4135875452844</v>
      </c>
      <c r="AL278" s="212">
        <f t="shared" ref="AL278" ca="1" si="509">+AL280*AL277</f>
        <v>2474.6831061492207</v>
      </c>
      <c r="AM278" s="212">
        <f t="shared" ref="AM278:AN278" ca="1" si="510">+AM280*AM277</f>
        <v>2977.2091337211814</v>
      </c>
      <c r="AN278" s="212">
        <f t="shared" ca="1" si="510"/>
        <v>3538.2288804505151</v>
      </c>
      <c r="AO278" s="64"/>
      <c r="AP278" s="64"/>
      <c r="AQ278" s="64"/>
    </row>
    <row r="279" spans="1:43">
      <c r="A279" s="5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</row>
    <row r="280" spans="1:43" s="3" customFormat="1">
      <c r="A280" s="33"/>
      <c r="B280"/>
      <c r="C280"/>
      <c r="D280" s="61" t="s">
        <v>169</v>
      </c>
      <c r="E280"/>
      <c r="F280"/>
      <c r="G280" s="75"/>
      <c r="H280" s="75"/>
      <c r="I280" s="75"/>
      <c r="J280" s="75"/>
      <c r="K280" s="75"/>
      <c r="L280" s="75">
        <f t="shared" ref="L280:AL280" si="511">+L187</f>
        <v>2.5549234994115506E-2</v>
      </c>
      <c r="M280" s="75">
        <f t="shared" si="511"/>
        <v>-5.939452186448916E-2</v>
      </c>
      <c r="N280" s="75">
        <f t="shared" si="511"/>
        <v>0.52426606290343447</v>
      </c>
      <c r="O280" s="75">
        <f t="shared" si="511"/>
        <v>0.70754683592926049</v>
      </c>
      <c r="P280" s="75">
        <f t="shared" si="511"/>
        <v>0.48245690613183623</v>
      </c>
      <c r="Q280" s="75">
        <f t="shared" si="511"/>
        <v>1.3934812635048086</v>
      </c>
      <c r="R280" s="75">
        <f t="shared" si="511"/>
        <v>7.4168311584864295</v>
      </c>
      <c r="S280" s="75">
        <f t="shared" si="511"/>
        <v>4.3742004470654052</v>
      </c>
      <c r="T280" s="75">
        <f t="shared" si="511"/>
        <v>4.4008620425235918</v>
      </c>
      <c r="U280" s="75">
        <f t="shared" si="511"/>
        <v>4.8653400674703544</v>
      </c>
      <c r="V280" s="75">
        <f t="shared" si="511"/>
        <v>8.3707500119151454</v>
      </c>
      <c r="W280" s="75">
        <f t="shared" si="511"/>
        <v>9.7550294858370421</v>
      </c>
      <c r="X280" s="75">
        <f t="shared" si="511"/>
        <v>10.471164658710343</v>
      </c>
      <c r="Y280" s="75">
        <f t="shared" si="511"/>
        <v>17.89866045538005</v>
      </c>
      <c r="Z280" s="75">
        <f t="shared" si="511"/>
        <v>15.643042290953037</v>
      </c>
      <c r="AA280" s="75">
        <f t="shared" ref="AA280:AB280" si="512">+AA187</f>
        <v>20.574257734104144</v>
      </c>
      <c r="AB280" s="75">
        <f t="shared" si="512"/>
        <v>14.675674668133919</v>
      </c>
      <c r="AC280" s="75">
        <f t="shared" ca="1" si="511"/>
        <v>28.925208997591412</v>
      </c>
      <c r="AD280" s="75">
        <f t="shared" ca="1" si="511"/>
        <v>24.418862232196087</v>
      </c>
      <c r="AE280" s="75">
        <f t="shared" ca="1" si="511"/>
        <v>29.792718563009295</v>
      </c>
      <c r="AF280" s="75">
        <f t="shared" ca="1" si="511"/>
        <v>37.678417293214359</v>
      </c>
      <c r="AG280" s="75">
        <f t="shared" ca="1" si="511"/>
        <v>48.298753174588697</v>
      </c>
      <c r="AH280" s="75">
        <f t="shared" ca="1" si="511"/>
        <v>62.068040877270754</v>
      </c>
      <c r="AI280" s="75">
        <f t="shared" ca="1" si="511"/>
        <v>77.223011216917456</v>
      </c>
      <c r="AJ280" s="75">
        <f t="shared" ca="1" si="511"/>
        <v>94.37339884559718</v>
      </c>
      <c r="AK280" s="75">
        <f t="shared" ca="1" si="511"/>
        <v>115.02297707071151</v>
      </c>
      <c r="AL280" s="75">
        <f t="shared" ca="1" si="511"/>
        <v>137.48239474809233</v>
      </c>
      <c r="AM280" s="75">
        <f t="shared" ref="AM280:AN280" ca="1" si="513">+AM187</f>
        <v>165.40050734600086</v>
      </c>
      <c r="AN280" s="75">
        <f t="shared" ca="1" si="513"/>
        <v>196.56827097418159</v>
      </c>
    </row>
    <row r="281" spans="1:43" s="3" customFormat="1">
      <c r="A281" s="33"/>
      <c r="B281"/>
      <c r="C281"/>
      <c r="D281" s="61" t="s">
        <v>284</v>
      </c>
      <c r="E281"/>
      <c r="F281"/>
      <c r="G281" s="75"/>
      <c r="H281" s="75"/>
      <c r="I281" s="75"/>
      <c r="J281" s="75"/>
      <c r="K281" s="75"/>
      <c r="L281" s="75">
        <f>+L267</f>
        <v>0.1</v>
      </c>
      <c r="M281" s="75">
        <f>+M267</f>
        <v>0.1</v>
      </c>
      <c r="N281" s="75">
        <f t="shared" ref="N281:X281" si="514">+N267</f>
        <v>0.15</v>
      </c>
      <c r="O281" s="75">
        <f t="shared" si="514"/>
        <v>0.18</v>
      </c>
      <c r="P281" s="75">
        <f t="shared" si="514"/>
        <v>0.22</v>
      </c>
      <c r="Q281" s="75">
        <f t="shared" si="514"/>
        <v>0.26</v>
      </c>
      <c r="R281" s="75">
        <f t="shared" si="514"/>
        <v>2</v>
      </c>
      <c r="S281" s="75">
        <f t="shared" si="514"/>
        <v>3</v>
      </c>
      <c r="T281" s="75">
        <f t="shared" si="514"/>
        <v>4</v>
      </c>
      <c r="U281" s="75">
        <f t="shared" si="514"/>
        <v>4</v>
      </c>
      <c r="V281" s="75">
        <f t="shared" si="514"/>
        <v>4</v>
      </c>
      <c r="W281" s="75">
        <f t="shared" si="514"/>
        <v>4</v>
      </c>
      <c r="X281" s="75">
        <f t="shared" si="514"/>
        <v>4</v>
      </c>
      <c r="Y281" s="75">
        <f>+Y267</f>
        <v>4</v>
      </c>
      <c r="Z281" s="75">
        <f>+Z267</f>
        <v>4</v>
      </c>
      <c r="AA281" s="75">
        <f>+AA267</f>
        <v>4</v>
      </c>
      <c r="AB281" s="75">
        <f>+AB267</f>
        <v>4</v>
      </c>
      <c r="AC281" s="75">
        <f t="shared" ref="AC281:AK281" si="515">+AC267</f>
        <v>4</v>
      </c>
      <c r="AD281" s="75">
        <f t="shared" si="515"/>
        <v>4</v>
      </c>
      <c r="AE281" s="75">
        <f t="shared" si="515"/>
        <v>4</v>
      </c>
      <c r="AF281" s="75">
        <f t="shared" si="515"/>
        <v>4</v>
      </c>
      <c r="AG281" s="75">
        <f t="shared" si="515"/>
        <v>4</v>
      </c>
      <c r="AH281" s="75">
        <f t="shared" si="515"/>
        <v>4</v>
      </c>
      <c r="AI281" s="75">
        <f t="shared" si="515"/>
        <v>4</v>
      </c>
      <c r="AJ281" s="75">
        <f t="shared" si="515"/>
        <v>4</v>
      </c>
      <c r="AK281" s="75">
        <f t="shared" si="515"/>
        <v>4</v>
      </c>
      <c r="AL281" s="75">
        <f t="shared" ref="AL281" si="516">+AL267</f>
        <v>4</v>
      </c>
      <c r="AM281" s="75">
        <f t="shared" ref="AM281:AN281" si="517">+AM267</f>
        <v>4</v>
      </c>
      <c r="AN281" s="75">
        <f t="shared" si="517"/>
        <v>4</v>
      </c>
    </row>
    <row r="282" spans="1:43" s="3" customFormat="1">
      <c r="A282" s="33"/>
      <c r="B282"/>
      <c r="C282"/>
      <c r="D282" s="61" t="s">
        <v>170</v>
      </c>
      <c r="E282"/>
      <c r="F282"/>
      <c r="G282" s="62"/>
      <c r="H282" s="62"/>
      <c r="I282" s="62"/>
      <c r="J282" s="62"/>
      <c r="K282" s="62"/>
      <c r="L282" s="62">
        <f t="shared" ref="L282:X282" si="518">IFERROR(L281/L280,"na")</f>
        <v>3.914011516314754</v>
      </c>
      <c r="M282" s="62">
        <f t="shared" si="518"/>
        <v>-1.6836569579287763</v>
      </c>
      <c r="N282" s="62">
        <f t="shared" si="518"/>
        <v>0.28611426642664217</v>
      </c>
      <c r="O282" s="62">
        <f t="shared" si="518"/>
        <v>0.25440012004801915</v>
      </c>
      <c r="P282" s="62">
        <f t="shared" si="518"/>
        <v>0.45599927621283293</v>
      </c>
      <c r="Q282" s="62">
        <f t="shared" si="518"/>
        <v>0.18658306129359939</v>
      </c>
      <c r="R282" s="62">
        <f t="shared" si="518"/>
        <v>0.26965694071538565</v>
      </c>
      <c r="S282" s="62">
        <f t="shared" si="518"/>
        <v>0.68583962630534256</v>
      </c>
      <c r="T282" s="62">
        <f t="shared" si="518"/>
        <v>0.90891283601934381</v>
      </c>
      <c r="U282" s="62">
        <f t="shared" si="518"/>
        <v>0.82214191495965205</v>
      </c>
      <c r="V282" s="62">
        <f t="shared" si="518"/>
        <v>0.47785443291297613</v>
      </c>
      <c r="W282" s="62">
        <f t="shared" si="518"/>
        <v>0.41004489077223688</v>
      </c>
      <c r="X282" s="62">
        <f t="shared" si="518"/>
        <v>0.38200144209103198</v>
      </c>
      <c r="Y282" s="62">
        <f>IFERROR(Y281/Y280,"na")</f>
        <v>0.22348041128394411</v>
      </c>
      <c r="Z282" s="62">
        <f>IFERROR(Z281/Z280,"na")</f>
        <v>0.25570473604826544</v>
      </c>
      <c r="AA282" s="62">
        <f>IFERROR(AA281/AA280,"na")</f>
        <v>0.19441770642201836</v>
      </c>
      <c r="AB282" s="62">
        <f>IFERROR(AB281/AB280,"na")</f>
        <v>0.27255987138263665</v>
      </c>
      <c r="AC282" s="62">
        <f t="shared" ref="AC282:AL282" ca="1" si="519">IFERROR(AC281/AC280,"na")</f>
        <v>0.13828767841688122</v>
      </c>
      <c r="AD282" s="62">
        <f t="shared" ca="1" si="519"/>
        <v>0.16380779587371724</v>
      </c>
      <c r="AE282" s="62">
        <f t="shared" ca="1" si="519"/>
        <v>0.1342609937236949</v>
      </c>
      <c r="AF282" s="62">
        <f t="shared" ca="1" si="519"/>
        <v>0.10616157172611319</v>
      </c>
      <c r="AG282" s="62">
        <f t="shared" ca="1" si="519"/>
        <v>8.2817872866012415E-2</v>
      </c>
      <c r="AH282" s="62">
        <f t="shared" ca="1" si="519"/>
        <v>6.4445404486172461E-2</v>
      </c>
      <c r="AI282" s="62">
        <f t="shared" ca="1" si="519"/>
        <v>5.1798031920357299E-2</v>
      </c>
      <c r="AJ282" s="62">
        <f t="shared" ca="1" si="519"/>
        <v>4.2384825055886102E-2</v>
      </c>
      <c r="AK282" s="62">
        <f t="shared" ca="1" si="519"/>
        <v>3.4775660497301859E-2</v>
      </c>
      <c r="AL282" s="62">
        <f t="shared" ca="1" si="519"/>
        <v>2.9094634315391155E-2</v>
      </c>
      <c r="AM282" s="62">
        <f t="shared" ref="AM282:AN282" ca="1" si="520">IFERROR(AM281/AM280,"na")</f>
        <v>2.4183722675241926E-2</v>
      </c>
      <c r="AN282" s="62">
        <f t="shared" ca="1" si="520"/>
        <v>2.0349164085211816E-2</v>
      </c>
    </row>
    <row r="283" spans="1:43" s="3" customFormat="1">
      <c r="A283" s="33"/>
      <c r="B283"/>
      <c r="C283"/>
      <c r="D283" s="61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 s="6"/>
      <c r="S283" s="6"/>
      <c r="T283" s="6"/>
      <c r="U283" s="6"/>
      <c r="V283" s="6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</row>
    <row r="284" spans="1:43" s="3" customFormat="1">
      <c r="A284" s="33"/>
      <c r="B284"/>
      <c r="C284"/>
      <c r="D284" s="61" t="s">
        <v>285</v>
      </c>
      <c r="E284"/>
      <c r="F284"/>
      <c r="G284" s="51"/>
      <c r="H284" s="51"/>
      <c r="I284" s="51"/>
      <c r="J284" s="51"/>
      <c r="K284" s="51"/>
      <c r="L284" s="51">
        <v>0</v>
      </c>
      <c r="M284" s="51">
        <v>0</v>
      </c>
      <c r="N284" s="51">
        <v>0</v>
      </c>
      <c r="O284" s="51">
        <v>0</v>
      </c>
      <c r="P284" s="51">
        <v>0</v>
      </c>
      <c r="Q284" s="51">
        <v>0</v>
      </c>
      <c r="R284" s="51">
        <v>0</v>
      </c>
      <c r="S284" s="51">
        <v>0</v>
      </c>
      <c r="T284" s="51">
        <v>0</v>
      </c>
      <c r="U284" s="51">
        <v>0</v>
      </c>
      <c r="V284" s="51">
        <v>0</v>
      </c>
      <c r="W284" s="51">
        <v>0</v>
      </c>
      <c r="X284" s="51">
        <v>0</v>
      </c>
      <c r="Y284" s="51">
        <v>0</v>
      </c>
      <c r="Z284" s="51">
        <v>0</v>
      </c>
      <c r="AA284" s="51">
        <v>0</v>
      </c>
      <c r="AB284" s="51">
        <v>0</v>
      </c>
      <c r="AC284" s="51">
        <v>0</v>
      </c>
      <c r="AD284" s="51">
        <v>0</v>
      </c>
      <c r="AE284" s="51">
        <v>0</v>
      </c>
      <c r="AF284" s="51">
        <v>0</v>
      </c>
      <c r="AG284" s="51">
        <v>0</v>
      </c>
      <c r="AH284" s="51">
        <v>0</v>
      </c>
      <c r="AI284" s="51">
        <v>0</v>
      </c>
      <c r="AJ284" s="51">
        <v>0</v>
      </c>
      <c r="AK284" s="51">
        <v>0</v>
      </c>
      <c r="AL284" s="51">
        <v>0</v>
      </c>
      <c r="AM284" s="51">
        <v>0</v>
      </c>
      <c r="AN284" s="51">
        <v>0</v>
      </c>
    </row>
    <row r="285" spans="1:43" s="3" customFormat="1">
      <c r="A285" s="33"/>
      <c r="B285"/>
      <c r="C285"/>
      <c r="D285" s="61" t="s">
        <v>286</v>
      </c>
      <c r="E285"/>
      <c r="F285"/>
      <c r="G285" s="179"/>
      <c r="H285" s="179"/>
      <c r="I285" s="179"/>
      <c r="J285" s="179"/>
      <c r="K285" s="179"/>
      <c r="L285" s="179" t="str">
        <f t="shared" ref="L285:Y285" si="521">IFERROR((-L284)/L278,"na")</f>
        <v>na</v>
      </c>
      <c r="M285" s="179" t="str">
        <f t="shared" si="521"/>
        <v>na</v>
      </c>
      <c r="N285" s="179" t="str">
        <f t="shared" si="521"/>
        <v>na</v>
      </c>
      <c r="O285" s="179" t="str">
        <f t="shared" si="521"/>
        <v>na</v>
      </c>
      <c r="P285" s="179" t="str">
        <f t="shared" si="521"/>
        <v>na</v>
      </c>
      <c r="Q285" s="179" t="str">
        <f t="shared" si="521"/>
        <v>na</v>
      </c>
      <c r="R285" s="179" t="str">
        <f t="shared" si="521"/>
        <v>na</v>
      </c>
      <c r="S285" s="179" t="str">
        <f t="shared" si="521"/>
        <v>na</v>
      </c>
      <c r="T285" s="179" t="str">
        <f t="shared" si="521"/>
        <v>na</v>
      </c>
      <c r="U285" s="179" t="str">
        <f t="shared" si="521"/>
        <v>na</v>
      </c>
      <c r="V285" s="179" t="str">
        <f t="shared" si="521"/>
        <v>na</v>
      </c>
      <c r="W285" s="179" t="str">
        <f t="shared" si="521"/>
        <v>na</v>
      </c>
      <c r="X285" s="179" t="str">
        <f t="shared" si="521"/>
        <v>na</v>
      </c>
      <c r="Y285" s="179" t="str">
        <f t="shared" si="521"/>
        <v>na</v>
      </c>
      <c r="Z285" s="179" t="str">
        <f>IFERROR((-Z284)/Z278,"na")</f>
        <v>na</v>
      </c>
      <c r="AA285" s="179">
        <f>IFERROR((-AA284)/AA278,"na")</f>
        <v>0</v>
      </c>
      <c r="AB285" s="179">
        <f>IFERROR((-AB284)/AB278,"na")</f>
        <v>0</v>
      </c>
      <c r="AC285" s="179">
        <f t="shared" ref="AC285:AK285" ca="1" si="522">IFERROR((-AC284)/AC278,"na")</f>
        <v>0</v>
      </c>
      <c r="AD285" s="179">
        <f t="shared" ca="1" si="522"/>
        <v>0</v>
      </c>
      <c r="AE285" s="179">
        <f t="shared" ca="1" si="522"/>
        <v>0</v>
      </c>
      <c r="AF285" s="179">
        <f t="shared" ca="1" si="522"/>
        <v>0</v>
      </c>
      <c r="AG285" s="179">
        <f t="shared" ca="1" si="522"/>
        <v>0</v>
      </c>
      <c r="AH285" s="179">
        <f t="shared" ca="1" si="522"/>
        <v>0</v>
      </c>
      <c r="AI285" s="179">
        <f t="shared" ca="1" si="522"/>
        <v>0</v>
      </c>
      <c r="AJ285" s="179">
        <f t="shared" ca="1" si="522"/>
        <v>0</v>
      </c>
      <c r="AK285" s="179">
        <f t="shared" ca="1" si="522"/>
        <v>0</v>
      </c>
      <c r="AL285" s="179">
        <f t="shared" ref="AL285" ca="1" si="523">IFERROR((-AL284)/AL278,"na")</f>
        <v>0</v>
      </c>
      <c r="AM285" s="179">
        <f t="shared" ref="AM285:AN285" ca="1" si="524">IFERROR((-AM284)/AM278,"na")</f>
        <v>0</v>
      </c>
      <c r="AN285" s="179">
        <f t="shared" ca="1" si="524"/>
        <v>0</v>
      </c>
    </row>
    <row r="286" spans="1:43" s="3" customFormat="1">
      <c r="A286" s="99"/>
      <c r="B286"/>
      <c r="C286"/>
      <c r="D286" s="61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55"/>
    </row>
    <row r="287" spans="1:43" s="3" customFormat="1">
      <c r="A287" s="99"/>
      <c r="B287"/>
      <c r="C287"/>
      <c r="D287" s="61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55"/>
    </row>
    <row r="288" spans="1:43">
      <c r="B288" s="124" t="s">
        <v>203</v>
      </c>
      <c r="C288" s="43" t="s">
        <v>203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</row>
    <row r="289" spans="1:41">
      <c r="C289" s="94"/>
      <c r="D289" s="95" t="s">
        <v>159</v>
      </c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</row>
    <row r="290" spans="1:41" ht="5.15" customHeight="1"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56"/>
      <c r="X290" s="56"/>
      <c r="Y290" s="56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"/>
    </row>
    <row r="291" spans="1:41" s="3" customFormat="1">
      <c r="A291" s="99"/>
      <c r="B291"/>
      <c r="C291"/>
      <c r="D291" s="61" t="s">
        <v>160</v>
      </c>
      <c r="E291"/>
      <c r="F291"/>
      <c r="G291"/>
      <c r="H291"/>
      <c r="I291" s="6"/>
      <c r="J291" s="6"/>
      <c r="K291" s="6"/>
      <c r="L291" s="6">
        <f t="shared" ref="L291:Y291" si="525">+L247+L242</f>
        <v>0</v>
      </c>
      <c r="M291" s="6">
        <f t="shared" si="525"/>
        <v>0</v>
      </c>
      <c r="N291" s="6">
        <f t="shared" si="525"/>
        <v>19.341999999999999</v>
      </c>
      <c r="O291" s="6">
        <f t="shared" si="525"/>
        <v>60.2</v>
      </c>
      <c r="P291" s="6">
        <f t="shared" si="525"/>
        <v>43</v>
      </c>
      <c r="Q291" s="6">
        <f t="shared" si="525"/>
        <v>46.040999999999997</v>
      </c>
      <c r="R291" s="6">
        <f t="shared" si="525"/>
        <v>0</v>
      </c>
      <c r="S291" s="6">
        <f t="shared" si="525"/>
        <v>44.356000000000002</v>
      </c>
      <c r="T291" s="6">
        <f t="shared" si="525"/>
        <v>477.17</v>
      </c>
      <c r="U291" s="6">
        <f t="shared" si="525"/>
        <v>294.62199999999996</v>
      </c>
      <c r="V291" s="6">
        <f t="shared" si="525"/>
        <v>355.17500000000001</v>
      </c>
      <c r="W291" s="6">
        <f t="shared" si="525"/>
        <v>346.56700000000001</v>
      </c>
      <c r="X291" s="6">
        <f t="shared" si="525"/>
        <v>332.9</v>
      </c>
      <c r="Y291" s="6">
        <f t="shared" si="525"/>
        <v>368.4</v>
      </c>
      <c r="Z291" s="6">
        <f>+Z247+Z242</f>
        <v>495</v>
      </c>
      <c r="AA291" s="6">
        <f>+AA247+AA242</f>
        <v>450</v>
      </c>
      <c r="AB291" s="6">
        <f>+AB247+AB242</f>
        <v>1118</v>
      </c>
      <c r="AC291" s="237">
        <f>+AC306</f>
        <v>1826</v>
      </c>
      <c r="AD291" s="85">
        <f t="shared" ref="AD291:AK291" si="526">+AD294*AD293</f>
        <v>1875.6458695741426</v>
      </c>
      <c r="AE291" s="85">
        <f t="shared" ca="1" si="526"/>
        <v>2223.6850031134659</v>
      </c>
      <c r="AF291" s="85">
        <f t="shared" ca="1" si="526"/>
        <v>2619.9897934523588</v>
      </c>
      <c r="AG291" s="85">
        <f t="shared" ca="1" si="526"/>
        <v>3027.8424759670193</v>
      </c>
      <c r="AH291" s="85">
        <f t="shared" ca="1" si="526"/>
        <v>3463.9311410201826</v>
      </c>
      <c r="AI291" s="85">
        <f t="shared" ca="1" si="526"/>
        <v>3923.6263122171445</v>
      </c>
      <c r="AJ291" s="85">
        <f t="shared" ca="1" si="526"/>
        <v>4381.0311500415037</v>
      </c>
      <c r="AK291" s="85">
        <f t="shared" si="526"/>
        <v>4844.2229846462469</v>
      </c>
      <c r="AL291" s="85">
        <f t="shared" ref="AL291" si="527">+AL294*AL293</f>
        <v>5400.9218391481663</v>
      </c>
      <c r="AM291" s="85">
        <f t="shared" ref="AM291:AN291" si="528">+AM294*AM293</f>
        <v>5965.2081541839834</v>
      </c>
      <c r="AN291" s="85">
        <f t="shared" si="528"/>
        <v>6557.0947024404568</v>
      </c>
      <c r="AO291" s="55"/>
    </row>
    <row r="292" spans="1:41" s="3" customFormat="1">
      <c r="A292" s="99"/>
      <c r="B292"/>
      <c r="C292"/>
      <c r="D292" s="61" t="s">
        <v>161</v>
      </c>
      <c r="E292"/>
      <c r="F292"/>
      <c r="G292"/>
      <c r="H292"/>
      <c r="I292" s="6"/>
      <c r="J292" s="6"/>
      <c r="K292" s="6"/>
      <c r="L292" s="6">
        <f t="shared" ref="L292" si="529">+L291-L227-L304</f>
        <v>-18.285</v>
      </c>
      <c r="M292" s="6">
        <f t="shared" ref="M292" si="530">+M291-M227-M304</f>
        <v>-25.806999999999999</v>
      </c>
      <c r="N292" s="6">
        <f t="shared" ref="N292" si="531">+N291-N227-N304</f>
        <v>-0.45400000000000063</v>
      </c>
      <c r="O292" s="6">
        <f t="shared" ref="O292" si="532">+O291-O227-O304</f>
        <v>29.795000000000002</v>
      </c>
      <c r="P292" s="6">
        <f t="shared" ref="P292" si="533">+P291-P227-P304</f>
        <v>9.7509999999999977</v>
      </c>
      <c r="Q292" s="6">
        <f t="shared" ref="Q292" si="534">+Q291-Q227-Q304</f>
        <v>15.129999999999995</v>
      </c>
      <c r="R292" s="6">
        <f t="shared" ref="R292" si="535">+R291-R227-R304</f>
        <v>-33.491999999999997</v>
      </c>
      <c r="S292" s="6">
        <f t="shared" ref="S292" si="536">+S291-S227-S304</f>
        <v>3.0429999999999993</v>
      </c>
      <c r="T292" s="6">
        <f t="shared" ref="T292" si="537">+T291-T227-T304</f>
        <v>399.20300000000003</v>
      </c>
      <c r="U292" s="6">
        <f t="shared" ref="U292" si="538">+U291-U227-U304</f>
        <v>223.94299999999996</v>
      </c>
      <c r="V292" s="6">
        <f t="shared" ref="V292" si="539">+V291-V227-V304</f>
        <v>176.70400000000001</v>
      </c>
      <c r="W292" s="6">
        <f t="shared" ref="W292" si="540">+W291-W227-W304</f>
        <v>-6.9320000000000164</v>
      </c>
      <c r="X292" s="6">
        <f t="shared" ref="X292" si="541">+X291-X227-X304</f>
        <v>-156.10000000000002</v>
      </c>
      <c r="Y292" s="6">
        <f t="shared" ref="Y292" si="542">+Y291-Y227-Y304</f>
        <v>-220.20000000000005</v>
      </c>
      <c r="Z292" s="6">
        <f t="shared" ref="Z292" si="543">+Z291-Z227-Z304</f>
        <v>179</v>
      </c>
      <c r="AA292" s="6">
        <f t="shared" ref="AA292" si="544">+AA291-AA227-AA304</f>
        <v>-308</v>
      </c>
      <c r="AB292" s="6">
        <f t="shared" ref="AB292" si="545">+AB291-AB227-AB304</f>
        <v>-39</v>
      </c>
      <c r="AC292" s="6">
        <f t="shared" ref="AC292:AN292" ca="1" si="546">+AC291-AC227-AC304</f>
        <v>563.75089960329842</v>
      </c>
      <c r="AD292" s="6">
        <f t="shared" ca="1" si="546"/>
        <v>793.55321614411082</v>
      </c>
      <c r="AE292" s="6">
        <f t="shared" ca="1" si="546"/>
        <v>820.92732847887009</v>
      </c>
      <c r="AF292" s="6">
        <f t="shared" ca="1" si="546"/>
        <v>731.17974569666239</v>
      </c>
      <c r="AG292" s="6">
        <f t="shared" ca="1" si="546"/>
        <v>639.35033317377292</v>
      </c>
      <c r="AH292" s="6">
        <f t="shared" ca="1" si="546"/>
        <v>499.50217037468974</v>
      </c>
      <c r="AI292" s="6">
        <f t="shared" ca="1" si="546"/>
        <v>244.73237877478687</v>
      </c>
      <c r="AJ292" s="6">
        <f t="shared" ca="1" si="546"/>
        <v>-212.57374506850738</v>
      </c>
      <c r="AK292" s="6">
        <f t="shared" ca="1" si="546"/>
        <v>-894.27134326190662</v>
      </c>
      <c r="AL292" s="6">
        <f t="shared" ca="1" si="546"/>
        <v>-1870.8526278634445</v>
      </c>
      <c r="AM292" s="6">
        <f t="shared" ca="1" si="546"/>
        <v>-3220.3702795248901</v>
      </c>
      <c r="AN292" s="6">
        <f t="shared" ca="1" si="546"/>
        <v>-4954.1214223926572</v>
      </c>
      <c r="AO292" s="55"/>
    </row>
    <row r="293" spans="1:41" s="3" customFormat="1">
      <c r="A293" s="99"/>
      <c r="B293"/>
      <c r="C293"/>
      <c r="D293" s="61" t="s">
        <v>93</v>
      </c>
      <c r="E293"/>
      <c r="F293"/>
      <c r="G293" s="78"/>
      <c r="H293" s="78"/>
      <c r="I293" s="78"/>
      <c r="J293" s="78"/>
      <c r="K293" s="78"/>
      <c r="L293" s="78">
        <f t="shared" ref="L293:AL293" si="547">+L165</f>
        <v>23.488000000000003</v>
      </c>
      <c r="M293" s="78">
        <f t="shared" si="547"/>
        <v>30.842999999999982</v>
      </c>
      <c r="N293" s="78">
        <f t="shared" si="547"/>
        <v>41.152000000000022</v>
      </c>
      <c r="O293" s="78">
        <f t="shared" si="547"/>
        <v>64.34</v>
      </c>
      <c r="P293" s="78">
        <f t="shared" si="547"/>
        <v>88.125999999999991</v>
      </c>
      <c r="Q293" s="78">
        <f t="shared" si="547"/>
        <v>116.41800000000006</v>
      </c>
      <c r="R293" s="78">
        <f t="shared" si="547"/>
        <v>168.67799999999994</v>
      </c>
      <c r="S293" s="78">
        <f t="shared" si="547"/>
        <v>185.92999999999995</v>
      </c>
      <c r="T293" s="78">
        <f t="shared" si="547"/>
        <v>243.79999999999998</v>
      </c>
      <c r="U293" s="78">
        <f t="shared" si="547"/>
        <v>364.6</v>
      </c>
      <c r="V293" s="78">
        <f t="shared" si="547"/>
        <v>462.70900000000017</v>
      </c>
      <c r="W293" s="78">
        <f t="shared" si="547"/>
        <v>552.38600000000019</v>
      </c>
      <c r="X293" s="78">
        <f t="shared" si="547"/>
        <v>643.80000000000007</v>
      </c>
      <c r="Y293" s="78">
        <f t="shared" si="547"/>
        <v>783.69999999999982</v>
      </c>
      <c r="Z293" s="78">
        <f t="shared" si="547"/>
        <v>933.5</v>
      </c>
      <c r="AA293" s="78">
        <f t="shared" ref="AA293:AB293" si="548">+AA165</f>
        <v>1232</v>
      </c>
      <c r="AB293" s="78">
        <f t="shared" si="548"/>
        <v>1513</v>
      </c>
      <c r="AC293" s="78">
        <f t="shared" si="547"/>
        <v>1669.6101580163781</v>
      </c>
      <c r="AD293" s="78">
        <f t="shared" si="547"/>
        <v>2084.0509661934916</v>
      </c>
      <c r="AE293" s="78">
        <f t="shared" si="547"/>
        <v>2510.6121002893969</v>
      </c>
      <c r="AF293" s="78">
        <f t="shared" si="547"/>
        <v>3006.5456646174616</v>
      </c>
      <c r="AG293" s="78">
        <f t="shared" si="547"/>
        <v>3532.4828886281903</v>
      </c>
      <c r="AH293" s="78">
        <f t="shared" si="547"/>
        <v>4109.748811379879</v>
      </c>
      <c r="AI293" s="78">
        <f t="shared" si="547"/>
        <v>4735.4110664689688</v>
      </c>
      <c r="AJ293" s="78">
        <f t="shared" si="547"/>
        <v>5380.2136930334264</v>
      </c>
      <c r="AK293" s="78">
        <f t="shared" si="547"/>
        <v>6055.2787308078086</v>
      </c>
      <c r="AL293" s="78">
        <f t="shared" si="547"/>
        <v>6751.152298935207</v>
      </c>
      <c r="AM293" s="78">
        <f t="shared" ref="AM293:AN293" si="549">+AM165</f>
        <v>7456.5101927299784</v>
      </c>
      <c r="AN293" s="78">
        <f t="shared" si="549"/>
        <v>8196.3683780505708</v>
      </c>
      <c r="AO293" s="55"/>
    </row>
    <row r="294" spans="1:41" s="3" customFormat="1">
      <c r="A294" s="99"/>
      <c r="B294"/>
      <c r="C294"/>
      <c r="D294" s="61" t="s">
        <v>162</v>
      </c>
      <c r="E294"/>
      <c r="F294"/>
      <c r="G294" s="125"/>
      <c r="H294" s="125"/>
      <c r="I294" s="125"/>
      <c r="J294" s="125"/>
      <c r="K294" s="125"/>
      <c r="L294" s="125">
        <f t="shared" ref="L294:Z294" si="550">IFERROR(L291/L293,"na")</f>
        <v>0</v>
      </c>
      <c r="M294" s="125">
        <f t="shared" si="550"/>
        <v>0</v>
      </c>
      <c r="N294" s="125">
        <f t="shared" si="550"/>
        <v>0.47001360808709147</v>
      </c>
      <c r="O294" s="125">
        <f t="shared" si="550"/>
        <v>0.93565433633820327</v>
      </c>
      <c r="P294" s="125">
        <f t="shared" si="550"/>
        <v>0.48793772552935577</v>
      </c>
      <c r="Q294" s="125">
        <f t="shared" si="550"/>
        <v>0.39548008039993793</v>
      </c>
      <c r="R294" s="125">
        <f t="shared" si="550"/>
        <v>0</v>
      </c>
      <c r="S294" s="125">
        <f t="shared" si="550"/>
        <v>0.23856290001613517</v>
      </c>
      <c r="T294" s="125">
        <f t="shared" si="550"/>
        <v>1.9572190319934375</v>
      </c>
      <c r="U294" s="125">
        <f t="shared" si="550"/>
        <v>0.80806911684037286</v>
      </c>
      <c r="V294" s="125">
        <f t="shared" si="550"/>
        <v>0.76759907414811446</v>
      </c>
      <c r="W294" s="125">
        <f t="shared" si="550"/>
        <v>0.62740004272374728</v>
      </c>
      <c r="X294" s="125">
        <f t="shared" si="550"/>
        <v>0.51708605156881005</v>
      </c>
      <c r="Y294" s="125">
        <f t="shared" si="550"/>
        <v>0.47007783590659702</v>
      </c>
      <c r="Z294" s="125">
        <f t="shared" si="550"/>
        <v>0.53026245313336906</v>
      </c>
      <c r="AA294" s="125">
        <f t="shared" ref="AA294:AC294" si="551">IFERROR(AA291/AA293,"na")</f>
        <v>0.36525974025974028</v>
      </c>
      <c r="AB294" s="125">
        <f t="shared" si="551"/>
        <v>0.73892927957699939</v>
      </c>
      <c r="AC294" s="125">
        <f t="shared" si="551"/>
        <v>1.0936684777777255</v>
      </c>
      <c r="AD294" s="184">
        <v>0.9</v>
      </c>
      <c r="AE294" s="184">
        <f t="shared" ref="AE294:AJ294" ca="1" si="552">+AVERAGE(AF294,AD294)</f>
        <v>0.88571428571428568</v>
      </c>
      <c r="AF294" s="184">
        <f t="shared" ca="1" si="552"/>
        <v>0.87142857142857122</v>
      </c>
      <c r="AG294" s="184">
        <f t="shared" ca="1" si="552"/>
        <v>0.85714285714285687</v>
      </c>
      <c r="AH294" s="184">
        <f t="shared" ca="1" si="552"/>
        <v>0.84285714285714253</v>
      </c>
      <c r="AI294" s="184">
        <f t="shared" ca="1" si="552"/>
        <v>0.82857142857142829</v>
      </c>
      <c r="AJ294" s="184">
        <f t="shared" ca="1" si="552"/>
        <v>0.81428571428571417</v>
      </c>
      <c r="AK294" s="241">
        <v>0.8</v>
      </c>
      <c r="AL294" s="184">
        <f>+AK294</f>
        <v>0.8</v>
      </c>
      <c r="AM294" s="184">
        <f t="shared" ref="AM294:AN294" si="553">+AL294</f>
        <v>0.8</v>
      </c>
      <c r="AN294" s="184">
        <f t="shared" si="553"/>
        <v>0.8</v>
      </c>
      <c r="AO294" s="55"/>
    </row>
    <row r="295" spans="1:41" s="3" customFormat="1">
      <c r="A295" s="99"/>
      <c r="B295"/>
      <c r="C295"/>
      <c r="D295" s="61" t="s">
        <v>78</v>
      </c>
      <c r="E295"/>
      <c r="F295"/>
      <c r="G295" s="125"/>
      <c r="H295" s="125"/>
      <c r="I295" s="125"/>
      <c r="J295" s="125"/>
      <c r="K295" s="125"/>
      <c r="L295" s="125">
        <f t="shared" ref="L295:AK295" si="554">IFERROR(L292/L293,"na")</f>
        <v>-0.77848262942779278</v>
      </c>
      <c r="M295" s="125">
        <f t="shared" si="554"/>
        <v>-0.83672146029893379</v>
      </c>
      <c r="N295" s="125">
        <f t="shared" si="554"/>
        <v>-1.1032270606531891E-2</v>
      </c>
      <c r="O295" s="125">
        <f t="shared" si="554"/>
        <v>0.46308672676406593</v>
      </c>
      <c r="P295" s="125">
        <f t="shared" si="554"/>
        <v>0.11064838980550575</v>
      </c>
      <c r="Q295" s="125">
        <f t="shared" si="554"/>
        <v>0.12996272054149691</v>
      </c>
      <c r="R295" s="125">
        <f t="shared" si="554"/>
        <v>-0.19855582826450402</v>
      </c>
      <c r="S295" s="125">
        <f t="shared" si="554"/>
        <v>1.6366374441994298E-2</v>
      </c>
      <c r="T295" s="125">
        <f t="shared" si="554"/>
        <v>1.6374200164068911</v>
      </c>
      <c r="U295" s="125">
        <f t="shared" si="554"/>
        <v>0.61421557871640142</v>
      </c>
      <c r="V295" s="125">
        <f t="shared" si="554"/>
        <v>0.3818901296495204</v>
      </c>
      <c r="W295" s="125">
        <f t="shared" si="554"/>
        <v>-1.2549195671143031E-2</v>
      </c>
      <c r="X295" s="125">
        <f t="shared" si="554"/>
        <v>-0.24246660453557006</v>
      </c>
      <c r="Y295" s="125">
        <f t="shared" si="554"/>
        <v>-0.28097486283016471</v>
      </c>
      <c r="Z295" s="125">
        <f t="shared" si="554"/>
        <v>0.19175147295125872</v>
      </c>
      <c r="AA295" s="125">
        <f t="shared" ref="AA295:AB295" si="555">IFERROR(AA292/AA293,"na")</f>
        <v>-0.25</v>
      </c>
      <c r="AB295" s="125">
        <f t="shared" si="555"/>
        <v>-2.5776602775941838E-2</v>
      </c>
      <c r="AC295" s="125">
        <f t="shared" ca="1" si="554"/>
        <v>0.33765421041345167</v>
      </c>
      <c r="AD295" s="125">
        <f t="shared" ca="1" si="554"/>
        <v>0.38077438076935888</v>
      </c>
      <c r="AE295" s="125">
        <f t="shared" ca="1" si="554"/>
        <v>0.32698294108605713</v>
      </c>
      <c r="AF295" s="125">
        <f t="shared" ca="1" si="554"/>
        <v>0.24319595551185288</v>
      </c>
      <c r="AG295" s="125">
        <f t="shared" ca="1" si="554"/>
        <v>0.18099177075477899</v>
      </c>
      <c r="AH295" s="125">
        <f t="shared" ca="1" si="554"/>
        <v>0.12154080292974843</v>
      </c>
      <c r="AI295" s="125">
        <f t="shared" ca="1" si="554"/>
        <v>5.168133776341307E-2</v>
      </c>
      <c r="AJ295" s="125">
        <f t="shared" ca="1" si="554"/>
        <v>-3.9510279181616641E-2</v>
      </c>
      <c r="AK295" s="125">
        <f t="shared" ca="1" si="554"/>
        <v>-0.14768458778157775</v>
      </c>
      <c r="AL295" s="125">
        <f t="shared" ref="AL295" ca="1" si="556">IFERROR(AL292/AL293,"na")</f>
        <v>-0.27711604553174068</v>
      </c>
      <c r="AM295" s="125">
        <f t="shared" ref="AM295:AN295" ca="1" si="557">IFERROR(AM292/AM293,"na")</f>
        <v>-0.43188706194819104</v>
      </c>
      <c r="AN295" s="125">
        <f t="shared" ca="1" si="557"/>
        <v>-0.6044288389550091</v>
      </c>
      <c r="AO295" s="55"/>
    </row>
    <row r="296" spans="1:41" s="3" customFormat="1">
      <c r="A296" s="99"/>
      <c r="B296"/>
      <c r="C296"/>
      <c r="D296"/>
      <c r="E296"/>
      <c r="F296"/>
      <c r="G296"/>
      <c r="H29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59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55"/>
    </row>
    <row r="297" spans="1:41" s="3" customFormat="1">
      <c r="A297" s="99"/>
      <c r="B297"/>
      <c r="C297"/>
      <c r="D297"/>
      <c r="E297"/>
      <c r="F297"/>
      <c r="G297"/>
      <c r="H29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59"/>
      <c r="Z297" s="6"/>
      <c r="AA297" s="6"/>
      <c r="AB297" s="6"/>
      <c r="AC297" s="55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55"/>
    </row>
    <row r="298" spans="1:41" s="3" customFormat="1">
      <c r="A298" s="33"/>
      <c r="B298"/>
      <c r="C298"/>
      <c r="D298" s="61" t="s">
        <v>287</v>
      </c>
      <c r="E298"/>
      <c r="F298" s="15">
        <v>0.05</v>
      </c>
      <c r="G298"/>
      <c r="H298"/>
      <c r="I298" s="136"/>
      <c r="J298" s="136"/>
      <c r="K298" s="136"/>
      <c r="L298" s="136"/>
      <c r="M298" s="136"/>
      <c r="N298" s="136"/>
      <c r="O298" s="136"/>
      <c r="P298" s="136"/>
      <c r="Q298" s="136"/>
      <c r="R298" s="67"/>
      <c r="S298" s="67"/>
      <c r="T298" s="67">
        <v>477.17</v>
      </c>
      <c r="U298" s="67">
        <v>63.893999999999998</v>
      </c>
      <c r="V298" s="67">
        <v>0</v>
      </c>
      <c r="W298" s="67">
        <v>0</v>
      </c>
      <c r="X298" s="67">
        <v>0</v>
      </c>
      <c r="Y298" s="67">
        <v>0</v>
      </c>
      <c r="Z298" s="67">
        <f>65</f>
        <v>65</v>
      </c>
      <c r="AA298" s="67">
        <v>0</v>
      </c>
      <c r="AB298" s="67">
        <v>0</v>
      </c>
      <c r="AC298" s="67">
        <v>205</v>
      </c>
      <c r="AD298" s="63">
        <f t="shared" ref="AD298:AL304" si="558">+AC298</f>
        <v>205</v>
      </c>
      <c r="AE298" s="63">
        <f t="shared" si="558"/>
        <v>205</v>
      </c>
      <c r="AF298" s="63">
        <f t="shared" si="558"/>
        <v>205</v>
      </c>
      <c r="AG298" s="63">
        <f t="shared" si="558"/>
        <v>205</v>
      </c>
      <c r="AH298" s="63">
        <f t="shared" si="558"/>
        <v>205</v>
      </c>
      <c r="AI298" s="63">
        <f t="shared" si="558"/>
        <v>205</v>
      </c>
      <c r="AJ298" s="63">
        <f t="shared" si="558"/>
        <v>205</v>
      </c>
      <c r="AK298" s="63">
        <f t="shared" si="558"/>
        <v>205</v>
      </c>
      <c r="AL298" s="63">
        <f t="shared" si="558"/>
        <v>205</v>
      </c>
      <c r="AM298" s="63">
        <f t="shared" ref="AM298:AN304" si="559">+AL298</f>
        <v>205</v>
      </c>
      <c r="AN298" s="63">
        <f t="shared" ref="AN298:AN304" si="560">+AM298</f>
        <v>205</v>
      </c>
    </row>
    <row r="299" spans="1:41" s="3" customFormat="1">
      <c r="A299" s="33"/>
      <c r="B299"/>
      <c r="C299"/>
      <c r="D299" s="61" t="s">
        <v>461</v>
      </c>
      <c r="E299"/>
      <c r="F299" s="15">
        <v>0.03</v>
      </c>
      <c r="G299"/>
      <c r="H299"/>
      <c r="I299" s="136"/>
      <c r="J299" s="136"/>
      <c r="K299" s="136"/>
      <c r="L299" s="136"/>
      <c r="M299" s="136"/>
      <c r="N299" s="136"/>
      <c r="O299" s="136"/>
      <c r="P299" s="136"/>
      <c r="Q299" s="136"/>
      <c r="R299" s="67"/>
      <c r="S299" s="67"/>
      <c r="T299" s="67">
        <v>0</v>
      </c>
      <c r="U299" s="67">
        <v>0</v>
      </c>
      <c r="V299" s="67">
        <v>0</v>
      </c>
      <c r="W299" s="67">
        <v>0</v>
      </c>
      <c r="X299" s="67">
        <v>0</v>
      </c>
      <c r="Y299" s="67">
        <v>0</v>
      </c>
      <c r="Z299" s="67">
        <v>0</v>
      </c>
      <c r="AA299" s="67">
        <v>0</v>
      </c>
      <c r="AB299" s="67">
        <v>88</v>
      </c>
      <c r="AC299" s="67">
        <v>72</v>
      </c>
      <c r="AD299" s="63">
        <f t="shared" si="558"/>
        <v>72</v>
      </c>
      <c r="AE299" s="63">
        <f t="shared" si="558"/>
        <v>72</v>
      </c>
      <c r="AF299" s="63">
        <f t="shared" si="558"/>
        <v>72</v>
      </c>
      <c r="AG299" s="63">
        <f t="shared" si="558"/>
        <v>72</v>
      </c>
      <c r="AH299" s="63">
        <f t="shared" si="558"/>
        <v>72</v>
      </c>
      <c r="AI299" s="63">
        <f t="shared" si="558"/>
        <v>72</v>
      </c>
      <c r="AJ299" s="63">
        <f t="shared" si="558"/>
        <v>72</v>
      </c>
      <c r="AK299" s="63">
        <f t="shared" si="558"/>
        <v>72</v>
      </c>
      <c r="AL299" s="63">
        <f t="shared" si="558"/>
        <v>72</v>
      </c>
      <c r="AM299" s="63">
        <f t="shared" si="559"/>
        <v>72</v>
      </c>
      <c r="AN299" s="63">
        <f t="shared" si="559"/>
        <v>72</v>
      </c>
    </row>
    <row r="300" spans="1:41" s="3" customFormat="1">
      <c r="A300" s="33"/>
      <c r="B300"/>
      <c r="C300"/>
      <c r="D300" s="61" t="s">
        <v>288</v>
      </c>
      <c r="E300"/>
      <c r="F300" s="15">
        <v>0.06</v>
      </c>
      <c r="G300"/>
      <c r="H300"/>
      <c r="I300" s="136"/>
      <c r="J300" s="136"/>
      <c r="K300" s="136"/>
      <c r="L300" s="136"/>
      <c r="M300" s="136"/>
      <c r="N300" s="136"/>
      <c r="O300" s="136"/>
      <c r="P300" s="136"/>
      <c r="Q300" s="136"/>
      <c r="R300" s="67"/>
      <c r="S300" s="67"/>
      <c r="T300" s="67">
        <v>0</v>
      </c>
      <c r="U300" s="67">
        <f>2.432+149.654</f>
        <v>152.08599999999998</v>
      </c>
      <c r="V300" s="67">
        <f>8.752+126.407</f>
        <v>135.15899999999999</v>
      </c>
      <c r="W300" s="67">
        <f>7.361+115.336</f>
        <v>122.697</v>
      </c>
      <c r="X300" s="67">
        <v>96.397999999999996</v>
      </c>
      <c r="Y300" s="67">
        <f>+X300</f>
        <v>96.397999999999996</v>
      </c>
      <c r="Z300" s="67">
        <f>+Y300</f>
        <v>96.397999999999996</v>
      </c>
      <c r="AA300" s="67">
        <f>+Z300+9</f>
        <v>105.398</v>
      </c>
      <c r="AB300" s="136" t="s">
        <v>41</v>
      </c>
      <c r="AC300" s="136" t="s">
        <v>41</v>
      </c>
      <c r="AD300" s="66" t="str">
        <f t="shared" si="558"/>
        <v>na</v>
      </c>
      <c r="AE300" s="66" t="str">
        <f t="shared" si="558"/>
        <v>na</v>
      </c>
      <c r="AF300" s="66" t="str">
        <f t="shared" si="558"/>
        <v>na</v>
      </c>
      <c r="AG300" s="66" t="str">
        <f t="shared" si="558"/>
        <v>na</v>
      </c>
      <c r="AH300" s="66" t="str">
        <f t="shared" si="558"/>
        <v>na</v>
      </c>
      <c r="AI300" s="66" t="str">
        <f t="shared" si="558"/>
        <v>na</v>
      </c>
      <c r="AJ300" s="66" t="str">
        <f t="shared" si="558"/>
        <v>na</v>
      </c>
      <c r="AK300" s="66" t="str">
        <f t="shared" si="558"/>
        <v>na</v>
      </c>
      <c r="AL300" s="66" t="str">
        <f t="shared" si="558"/>
        <v>na</v>
      </c>
      <c r="AM300" s="66" t="str">
        <f t="shared" si="559"/>
        <v>na</v>
      </c>
      <c r="AN300" s="66" t="str">
        <f t="shared" si="560"/>
        <v>na</v>
      </c>
    </row>
    <row r="301" spans="1:41" s="3" customFormat="1">
      <c r="A301" s="33"/>
      <c r="B301"/>
      <c r="C301"/>
      <c r="D301" s="61" t="s">
        <v>289</v>
      </c>
      <c r="E301"/>
      <c r="F301" s="15">
        <v>0.06</v>
      </c>
      <c r="G301"/>
      <c r="H301"/>
      <c r="I301" s="136"/>
      <c r="J301" s="136"/>
      <c r="K301" s="136"/>
      <c r="L301" s="136"/>
      <c r="M301" s="136"/>
      <c r="N301" s="136"/>
      <c r="O301" s="136"/>
      <c r="P301" s="136"/>
      <c r="Q301" s="136"/>
      <c r="R301" s="67"/>
      <c r="S301" s="67"/>
      <c r="T301" s="67">
        <v>0</v>
      </c>
      <c r="U301" s="67">
        <v>0</v>
      </c>
      <c r="V301" s="67">
        <v>0</v>
      </c>
      <c r="W301" s="67">
        <v>0</v>
      </c>
      <c r="X301" s="67">
        <v>0</v>
      </c>
      <c r="Y301" s="67">
        <f>51.2-Y300+102.5</f>
        <v>57.302000000000007</v>
      </c>
      <c r="Z301" s="67">
        <f>215-Z300-2</f>
        <v>116.602</v>
      </c>
      <c r="AA301" s="67">
        <f>222-AA300+19</f>
        <v>135.602</v>
      </c>
      <c r="AB301" s="136" t="s">
        <v>41</v>
      </c>
      <c r="AC301" s="136" t="s">
        <v>41</v>
      </c>
      <c r="AD301" s="66" t="str">
        <f t="shared" si="558"/>
        <v>na</v>
      </c>
      <c r="AE301" s="66" t="str">
        <f t="shared" si="558"/>
        <v>na</v>
      </c>
      <c r="AF301" s="66" t="str">
        <f t="shared" si="558"/>
        <v>na</v>
      </c>
      <c r="AG301" s="66" t="str">
        <f t="shared" si="558"/>
        <v>na</v>
      </c>
      <c r="AH301" s="66" t="str">
        <f t="shared" si="558"/>
        <v>na</v>
      </c>
      <c r="AI301" s="66" t="str">
        <f t="shared" si="558"/>
        <v>na</v>
      </c>
      <c r="AJ301" s="66" t="str">
        <f t="shared" si="558"/>
        <v>na</v>
      </c>
      <c r="AK301" s="66" t="str">
        <f t="shared" si="558"/>
        <v>na</v>
      </c>
      <c r="AL301" s="66" t="str">
        <f t="shared" si="558"/>
        <v>na</v>
      </c>
      <c r="AM301" s="66" t="str">
        <f t="shared" si="559"/>
        <v>na</v>
      </c>
      <c r="AN301" s="66" t="str">
        <f t="shared" si="560"/>
        <v>na</v>
      </c>
    </row>
    <row r="302" spans="1:41" s="3" customFormat="1">
      <c r="A302" s="33"/>
      <c r="B302"/>
      <c r="C302"/>
      <c r="D302" s="61" t="s">
        <v>464</v>
      </c>
      <c r="E302"/>
      <c r="F302" s="15">
        <v>0.06</v>
      </c>
      <c r="G302"/>
      <c r="H302"/>
      <c r="I302" s="136"/>
      <c r="J302" s="136"/>
      <c r="K302" s="136"/>
      <c r="L302" s="136"/>
      <c r="M302" s="136"/>
      <c r="N302" s="136"/>
      <c r="O302" s="136"/>
      <c r="P302" s="136"/>
      <c r="Q302" s="136"/>
      <c r="R302" s="67"/>
      <c r="S302" s="67"/>
      <c r="T302" s="136" t="s">
        <v>41</v>
      </c>
      <c r="U302" s="136" t="s">
        <v>41</v>
      </c>
      <c r="V302" s="136" t="s">
        <v>41</v>
      </c>
      <c r="W302" s="136" t="s">
        <v>41</v>
      </c>
      <c r="X302" s="136" t="s">
        <v>41</v>
      </c>
      <c r="Y302" s="136" t="s">
        <v>41</v>
      </c>
      <c r="Z302" s="136" t="s">
        <v>41</v>
      </c>
      <c r="AA302" s="136" t="s">
        <v>41</v>
      </c>
      <c r="AB302" s="136">
        <f>363+51</f>
        <v>414</v>
      </c>
      <c r="AC302" s="67">
        <f>792+147</f>
        <v>939</v>
      </c>
      <c r="AD302" s="63">
        <f>+AC302</f>
        <v>939</v>
      </c>
      <c r="AE302" s="63">
        <f t="shared" si="558"/>
        <v>939</v>
      </c>
      <c r="AF302" s="63">
        <f t="shared" si="558"/>
        <v>939</v>
      </c>
      <c r="AG302" s="63">
        <f t="shared" si="558"/>
        <v>939</v>
      </c>
      <c r="AH302" s="63">
        <f t="shared" si="558"/>
        <v>939</v>
      </c>
      <c r="AI302" s="63">
        <f t="shared" si="558"/>
        <v>939</v>
      </c>
      <c r="AJ302" s="63">
        <f t="shared" si="558"/>
        <v>939</v>
      </c>
      <c r="AK302" s="63">
        <f t="shared" si="558"/>
        <v>939</v>
      </c>
      <c r="AL302" s="63">
        <f t="shared" si="558"/>
        <v>939</v>
      </c>
      <c r="AM302" s="63">
        <f t="shared" si="559"/>
        <v>939</v>
      </c>
      <c r="AN302" s="63">
        <f t="shared" si="560"/>
        <v>939</v>
      </c>
    </row>
    <row r="303" spans="1:41" s="3" customFormat="1">
      <c r="A303" s="33"/>
      <c r="B303"/>
      <c r="C303"/>
      <c r="D303" s="61" t="s">
        <v>290</v>
      </c>
      <c r="E303"/>
      <c r="F303" s="15">
        <v>0.13</v>
      </c>
      <c r="G303"/>
      <c r="H303"/>
      <c r="I303" s="136"/>
      <c r="J303" s="136"/>
      <c r="K303" s="136"/>
      <c r="L303" s="136"/>
      <c r="M303" s="136"/>
      <c r="N303" s="136"/>
      <c r="O303" s="136"/>
      <c r="P303" s="136"/>
      <c r="Q303" s="136"/>
      <c r="R303" s="67"/>
      <c r="S303" s="67"/>
      <c r="T303" s="67">
        <v>0</v>
      </c>
      <c r="U303" s="67">
        <v>78.641999999999996</v>
      </c>
      <c r="V303" s="67">
        <v>220.04300000000001</v>
      </c>
      <c r="W303" s="67">
        <v>223.87</v>
      </c>
      <c r="X303" s="67">
        <v>236.46199999999999</v>
      </c>
      <c r="Y303" s="67">
        <v>214.7</v>
      </c>
      <c r="Z303" s="67">
        <v>217</v>
      </c>
      <c r="AA303" s="67">
        <v>209</v>
      </c>
      <c r="AB303" s="67">
        <v>222</v>
      </c>
      <c r="AC303" s="67">
        <v>205</v>
      </c>
      <c r="AD303" s="63">
        <f t="shared" si="558"/>
        <v>205</v>
      </c>
      <c r="AE303" s="63">
        <f t="shared" si="558"/>
        <v>205</v>
      </c>
      <c r="AF303" s="63">
        <f t="shared" si="558"/>
        <v>205</v>
      </c>
      <c r="AG303" s="63">
        <f t="shared" si="558"/>
        <v>205</v>
      </c>
      <c r="AH303" s="63">
        <f t="shared" si="558"/>
        <v>205</v>
      </c>
      <c r="AI303" s="63">
        <f t="shared" si="558"/>
        <v>205</v>
      </c>
      <c r="AJ303" s="63">
        <f t="shared" si="558"/>
        <v>205</v>
      </c>
      <c r="AK303" s="63">
        <f t="shared" si="558"/>
        <v>205</v>
      </c>
      <c r="AL303" s="63">
        <f t="shared" si="558"/>
        <v>205</v>
      </c>
      <c r="AM303" s="63">
        <f t="shared" si="559"/>
        <v>205</v>
      </c>
      <c r="AN303" s="63">
        <f t="shared" si="560"/>
        <v>205</v>
      </c>
    </row>
    <row r="304" spans="1:41" s="3" customFormat="1">
      <c r="A304" s="33"/>
      <c r="B304"/>
      <c r="C304"/>
      <c r="D304" s="61" t="s">
        <v>470</v>
      </c>
      <c r="E304"/>
      <c r="F304" s="15">
        <v>0.06</v>
      </c>
      <c r="G304"/>
      <c r="H304"/>
      <c r="I304" s="136"/>
      <c r="J304" s="136"/>
      <c r="K304" s="136"/>
      <c r="L304" s="136"/>
      <c r="M304" s="136"/>
      <c r="N304" s="136"/>
      <c r="O304" s="136"/>
      <c r="P304" s="136"/>
      <c r="Q304" s="136"/>
      <c r="R304" s="67"/>
      <c r="S304" s="67"/>
      <c r="T304" s="67"/>
      <c r="U304" s="67"/>
      <c r="V304" s="67"/>
      <c r="W304" s="67"/>
      <c r="X304" s="67"/>
      <c r="Y304" s="67"/>
      <c r="Z304" s="67"/>
      <c r="AA304" s="67">
        <v>0</v>
      </c>
      <c r="AB304" s="67">
        <f>395-1</f>
        <v>394</v>
      </c>
      <c r="AC304" s="67">
        <f>405</f>
        <v>405</v>
      </c>
      <c r="AD304" s="67">
        <f>+AC304</f>
        <v>405</v>
      </c>
      <c r="AE304" s="67">
        <f t="shared" si="558"/>
        <v>405</v>
      </c>
      <c r="AF304" s="67">
        <f t="shared" si="558"/>
        <v>405</v>
      </c>
      <c r="AG304" s="67">
        <f t="shared" si="558"/>
        <v>405</v>
      </c>
      <c r="AH304" s="67">
        <f t="shared" si="558"/>
        <v>405</v>
      </c>
      <c r="AI304" s="67">
        <f t="shared" si="558"/>
        <v>405</v>
      </c>
      <c r="AJ304" s="67">
        <f t="shared" si="558"/>
        <v>405</v>
      </c>
      <c r="AK304" s="67">
        <f t="shared" si="558"/>
        <v>405</v>
      </c>
      <c r="AL304" s="67">
        <f t="shared" si="558"/>
        <v>405</v>
      </c>
      <c r="AM304" s="67">
        <f t="shared" si="559"/>
        <v>405</v>
      </c>
      <c r="AN304" s="67">
        <f t="shared" si="560"/>
        <v>405</v>
      </c>
    </row>
    <row r="305" spans="1:46" s="3" customFormat="1">
      <c r="A305" s="33"/>
      <c r="B305"/>
      <c r="C305"/>
      <c r="D305" s="61" t="s">
        <v>121</v>
      </c>
      <c r="E305"/>
      <c r="F305" s="238">
        <f>+DCF!C29</f>
        <v>7.0000000000000007E-2</v>
      </c>
      <c r="G305"/>
      <c r="H305"/>
      <c r="I305" s="136"/>
      <c r="J305" s="136"/>
      <c r="K305" s="136"/>
      <c r="L305" s="136"/>
      <c r="M305" s="136"/>
      <c r="N305" s="136"/>
      <c r="O305" s="136"/>
      <c r="P305" s="136"/>
      <c r="Q305" s="136"/>
      <c r="R305" s="67"/>
      <c r="S305" s="67"/>
      <c r="T305" s="67">
        <v>0</v>
      </c>
      <c r="U305" s="67">
        <v>0</v>
      </c>
      <c r="V305" s="67">
        <v>0</v>
      </c>
      <c r="W305" s="67">
        <v>0</v>
      </c>
      <c r="X305" s="67">
        <v>0</v>
      </c>
      <c r="Y305" s="67">
        <v>0</v>
      </c>
      <c r="Z305" s="67">
        <v>0</v>
      </c>
      <c r="AA305" s="67">
        <v>0</v>
      </c>
      <c r="AB305" s="67">
        <v>0</v>
      </c>
      <c r="AC305" s="67">
        <v>0</v>
      </c>
      <c r="AD305" s="63">
        <f t="shared" ref="AD305:AL305" si="561">+AD306-SUM(AD298:AD304)</f>
        <v>49.64586957414258</v>
      </c>
      <c r="AE305" s="63">
        <f t="shared" ca="1" si="561"/>
        <v>397.68500311346588</v>
      </c>
      <c r="AF305" s="63">
        <f t="shared" ca="1" si="561"/>
        <v>793.98979345235875</v>
      </c>
      <c r="AG305" s="63">
        <f t="shared" ca="1" si="561"/>
        <v>1201.8424759670193</v>
      </c>
      <c r="AH305" s="63">
        <f t="shared" ca="1" si="561"/>
        <v>1637.9311410201826</v>
      </c>
      <c r="AI305" s="63">
        <f t="shared" ca="1" si="561"/>
        <v>2097.6263122171445</v>
      </c>
      <c r="AJ305" s="63">
        <f t="shared" ca="1" si="561"/>
        <v>2555.0311500415037</v>
      </c>
      <c r="AK305" s="63">
        <f t="shared" si="561"/>
        <v>3018.2229846462469</v>
      </c>
      <c r="AL305" s="63">
        <f t="shared" si="561"/>
        <v>3574.9218391481663</v>
      </c>
      <c r="AM305" s="63">
        <f t="shared" ref="AM305:AN305" si="562">+AM306-SUM(AM298:AM304)</f>
        <v>4139.2081541839834</v>
      </c>
      <c r="AN305" s="63">
        <f t="shared" si="562"/>
        <v>4731.0947024404568</v>
      </c>
    </row>
    <row r="306" spans="1:46" s="3" customFormat="1">
      <c r="A306" s="33"/>
      <c r="B306"/>
      <c r="C306"/>
      <c r="D306" s="149" t="s">
        <v>163</v>
      </c>
      <c r="E306" s="2"/>
      <c r="F306" s="2"/>
      <c r="G306" s="2"/>
      <c r="H306" s="2"/>
      <c r="I306" s="2"/>
      <c r="J306" s="2"/>
      <c r="K306" s="2"/>
      <c r="L306" s="180"/>
      <c r="M306" s="180"/>
      <c r="N306" s="180"/>
      <c r="O306" s="180"/>
      <c r="P306" s="180"/>
      <c r="Q306" s="180"/>
      <c r="R306" s="180"/>
      <c r="S306" s="180"/>
      <c r="T306" s="180">
        <f t="shared" ref="T306:Z306" si="563">SUM(T298:T305)</f>
        <v>477.17</v>
      </c>
      <c r="U306" s="180">
        <f t="shared" si="563"/>
        <v>294.62199999999996</v>
      </c>
      <c r="V306" s="180">
        <f t="shared" si="563"/>
        <v>355.202</v>
      </c>
      <c r="W306" s="180">
        <f t="shared" si="563"/>
        <v>346.56700000000001</v>
      </c>
      <c r="X306" s="180">
        <f t="shared" si="563"/>
        <v>332.86</v>
      </c>
      <c r="Y306" s="180">
        <f t="shared" si="563"/>
        <v>368.4</v>
      </c>
      <c r="Z306" s="180">
        <f t="shared" si="563"/>
        <v>495</v>
      </c>
      <c r="AA306" s="180">
        <f t="shared" ref="AA306:AC306" si="564">SUM(AA298:AA305)</f>
        <v>450</v>
      </c>
      <c r="AB306" s="7">
        <f t="shared" si="564"/>
        <v>1118</v>
      </c>
      <c r="AC306" s="7">
        <f t="shared" si="564"/>
        <v>1826</v>
      </c>
      <c r="AD306" s="87">
        <f t="shared" ref="AD306:AL306" si="565">+AD291</f>
        <v>1875.6458695741426</v>
      </c>
      <c r="AE306" s="87">
        <f t="shared" ca="1" si="565"/>
        <v>2223.6850031134659</v>
      </c>
      <c r="AF306" s="87">
        <f t="shared" ca="1" si="565"/>
        <v>2619.9897934523588</v>
      </c>
      <c r="AG306" s="87">
        <f t="shared" ca="1" si="565"/>
        <v>3027.8424759670193</v>
      </c>
      <c r="AH306" s="87">
        <f t="shared" ca="1" si="565"/>
        <v>3463.9311410201826</v>
      </c>
      <c r="AI306" s="87">
        <f t="shared" ca="1" si="565"/>
        <v>3923.6263122171445</v>
      </c>
      <c r="AJ306" s="87">
        <f t="shared" ca="1" si="565"/>
        <v>4381.0311500415037</v>
      </c>
      <c r="AK306" s="87">
        <f t="shared" si="565"/>
        <v>4844.2229846462469</v>
      </c>
      <c r="AL306" s="87">
        <f t="shared" si="565"/>
        <v>5400.9218391481663</v>
      </c>
      <c r="AM306" s="87">
        <f t="shared" ref="AM306:AN306" si="566">+AM291</f>
        <v>5965.2081541839834</v>
      </c>
      <c r="AN306" s="87">
        <f t="shared" si="566"/>
        <v>6557.0947024404568</v>
      </c>
    </row>
    <row r="307" spans="1:46" s="82" customFormat="1">
      <c r="A307" s="181"/>
      <c r="B307" s="54"/>
      <c r="C307" s="54"/>
      <c r="D307" s="182" t="s">
        <v>111</v>
      </c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 t="b">
        <f t="shared" ref="T307:Y307" si="567">ABS(T306-T291)&lt;1</f>
        <v>1</v>
      </c>
      <c r="U307" s="73" t="b">
        <f t="shared" si="567"/>
        <v>1</v>
      </c>
      <c r="V307" s="73" t="b">
        <f t="shared" si="567"/>
        <v>1</v>
      </c>
      <c r="W307" s="73" t="b">
        <f t="shared" si="567"/>
        <v>1</v>
      </c>
      <c r="X307" s="73" t="b">
        <f t="shared" si="567"/>
        <v>1</v>
      </c>
      <c r="Y307" s="73" t="b">
        <f t="shared" si="567"/>
        <v>1</v>
      </c>
      <c r="Z307" s="73" t="b">
        <f>ABS(Z306-Z291)&lt;1</f>
        <v>1</v>
      </c>
      <c r="AA307" s="73" t="b">
        <f>ABS(AA306-AA291)&lt;1</f>
        <v>1</v>
      </c>
      <c r="AB307" s="73" t="b">
        <f t="shared" ref="AB307" si="568">ABS(AB306-AB291)&lt;1</f>
        <v>1</v>
      </c>
      <c r="AC307" s="73" t="b">
        <f t="shared" ref="AC307:AL307" si="569">ABS(AC306-AC291)&lt;1</f>
        <v>1</v>
      </c>
      <c r="AD307" s="73" t="b">
        <f t="shared" si="569"/>
        <v>1</v>
      </c>
      <c r="AE307" s="73" t="b">
        <f t="shared" ca="1" si="569"/>
        <v>1</v>
      </c>
      <c r="AF307" s="73" t="b">
        <f t="shared" ca="1" si="569"/>
        <v>1</v>
      </c>
      <c r="AG307" s="73" t="b">
        <f t="shared" ca="1" si="569"/>
        <v>1</v>
      </c>
      <c r="AH307" s="73" t="b">
        <f t="shared" ca="1" si="569"/>
        <v>1</v>
      </c>
      <c r="AI307" s="73" t="b">
        <f t="shared" ca="1" si="569"/>
        <v>1</v>
      </c>
      <c r="AJ307" s="73" t="b">
        <f t="shared" ca="1" si="569"/>
        <v>1</v>
      </c>
      <c r="AK307" s="73" t="b">
        <f t="shared" si="569"/>
        <v>1</v>
      </c>
      <c r="AL307" s="73" t="b">
        <f t="shared" si="569"/>
        <v>1</v>
      </c>
      <c r="AM307" s="73" t="b">
        <f t="shared" ref="AM307:AN307" si="570">ABS(AM306-AM291)&lt;1</f>
        <v>1</v>
      </c>
      <c r="AN307" s="73" t="b">
        <f t="shared" si="570"/>
        <v>1</v>
      </c>
    </row>
    <row r="308" spans="1:46" s="3" customFormat="1">
      <c r="A308" s="33"/>
      <c r="B308"/>
      <c r="C308"/>
      <c r="D308" s="61" t="s">
        <v>164</v>
      </c>
      <c r="E308"/>
      <c r="F308"/>
      <c r="G308"/>
      <c r="H308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>
        <f>+AVERAGE(S306:T306)</f>
        <v>477.17</v>
      </c>
      <c r="U308" s="6">
        <f t="shared" ref="U308:AL308" si="571">+AVERAGE(T306:U306)</f>
        <v>385.89599999999996</v>
      </c>
      <c r="V308" s="6">
        <f t="shared" si="571"/>
        <v>324.91199999999998</v>
      </c>
      <c r="W308" s="6">
        <f t="shared" si="571"/>
        <v>350.8845</v>
      </c>
      <c r="X308" s="6">
        <f t="shared" si="571"/>
        <v>339.71350000000001</v>
      </c>
      <c r="Y308" s="6">
        <f t="shared" si="571"/>
        <v>350.63</v>
      </c>
      <c r="Z308" s="6">
        <f t="shared" si="571"/>
        <v>431.7</v>
      </c>
      <c r="AA308" s="6">
        <f t="shared" si="571"/>
        <v>472.5</v>
      </c>
      <c r="AB308" s="6">
        <f t="shared" si="571"/>
        <v>784</v>
      </c>
      <c r="AC308" s="6">
        <f t="shared" si="571"/>
        <v>1472</v>
      </c>
      <c r="AD308" s="6">
        <f t="shared" si="571"/>
        <v>1850.8229347870713</v>
      </c>
      <c r="AE308" s="6">
        <f t="shared" ca="1" si="571"/>
        <v>2049.6654363438042</v>
      </c>
      <c r="AF308" s="6">
        <f t="shared" ca="1" si="571"/>
        <v>2421.8373982829125</v>
      </c>
      <c r="AG308" s="6">
        <f t="shared" ca="1" si="571"/>
        <v>2823.9161347096888</v>
      </c>
      <c r="AH308" s="6">
        <f t="shared" ca="1" si="571"/>
        <v>3245.8868084936012</v>
      </c>
      <c r="AI308" s="6">
        <f t="shared" ca="1" si="571"/>
        <v>3693.7787266186633</v>
      </c>
      <c r="AJ308" s="6">
        <f t="shared" ca="1" si="571"/>
        <v>4152.3287311293243</v>
      </c>
      <c r="AK308" s="6">
        <f t="shared" ca="1" si="571"/>
        <v>4612.6270673438758</v>
      </c>
      <c r="AL308" s="6">
        <f t="shared" si="571"/>
        <v>5122.5724118972066</v>
      </c>
      <c r="AM308" s="6">
        <f t="shared" ref="AM308" si="572">+AVERAGE(AL306:AM306)</f>
        <v>5683.0649966660749</v>
      </c>
      <c r="AN308" s="6">
        <f t="shared" ref="AN308" si="573">+AVERAGE(AM306:AN306)</f>
        <v>6261.1514283122197</v>
      </c>
    </row>
    <row r="309" spans="1:46" s="3" customFormat="1">
      <c r="A309" s="33"/>
      <c r="B309"/>
      <c r="C309"/>
      <c r="D309" s="61" t="s">
        <v>165</v>
      </c>
      <c r="E309"/>
      <c r="F309"/>
      <c r="G309"/>
      <c r="H309"/>
      <c r="I309" s="88"/>
      <c r="J309" s="88"/>
      <c r="K309" s="88"/>
      <c r="L309" s="88"/>
      <c r="M309" s="6"/>
      <c r="N309" s="88"/>
      <c r="O309" s="88"/>
      <c r="P309" s="88"/>
      <c r="Q309" s="88"/>
      <c r="R309" s="88"/>
      <c r="S309" s="88"/>
      <c r="T309" s="88">
        <f>+SUMPRODUCT(T298:T305,$F$298:$F$305)/T306</f>
        <v>0.05</v>
      </c>
      <c r="U309" s="88">
        <f t="shared" ref="U309:AL309" si="574">+SUMPRODUCT(U298:U305,$F$298:$F$305)/U306</f>
        <v>7.651607822905282E-2</v>
      </c>
      <c r="V309" s="88">
        <f t="shared" si="574"/>
        <v>0.10336408578780526</v>
      </c>
      <c r="W309" s="88">
        <f t="shared" si="574"/>
        <v>0.10521751926755865</v>
      </c>
      <c r="X309" s="88">
        <f t="shared" si="574"/>
        <v>0.10972763323919965</v>
      </c>
      <c r="Y309" s="88">
        <f t="shared" si="574"/>
        <v>0.10079533116178067</v>
      </c>
      <c r="Z309" s="88">
        <f t="shared" si="574"/>
        <v>8.9373737373737383E-2</v>
      </c>
      <c r="AA309" s="88">
        <f t="shared" ref="AA309:AB309" si="575">+SUMPRODUCT(AA298:AA305,$F$298:$F$305)/AA306</f>
        <v>9.2511111111111113E-2</v>
      </c>
      <c r="AB309" s="88">
        <f t="shared" si="575"/>
        <v>7.1538461538461537E-2</v>
      </c>
      <c r="AC309" s="88">
        <f t="shared" si="574"/>
        <v>6.555312157721796E-2</v>
      </c>
      <c r="AD309" s="88">
        <f t="shared" si="574"/>
        <v>6.567082457743284E-2</v>
      </c>
      <c r="AE309" s="88">
        <f t="shared" ca="1" si="574"/>
        <v>6.6348403668401376E-2</v>
      </c>
      <c r="AF309" s="88">
        <f t="shared" ca="1" si="574"/>
        <v>6.6900751285255855E-2</v>
      </c>
      <c r="AG309" s="88">
        <f t="shared" ca="1" si="574"/>
        <v>6.7318222442398795E-2</v>
      </c>
      <c r="AH309" s="88">
        <f t="shared" ca="1" si="574"/>
        <v>6.7655842547260189E-2</v>
      </c>
      <c r="AI309" s="88">
        <f t="shared" ca="1" si="574"/>
        <v>6.7930485893950593E-2</v>
      </c>
      <c r="AJ309" s="88">
        <f t="shared" ca="1" si="574"/>
        <v>6.8146555063886491E-2</v>
      </c>
      <c r="AK309" s="88">
        <f t="shared" si="574"/>
        <v>6.8323776583832679E-2</v>
      </c>
      <c r="AL309" s="88">
        <f t="shared" si="574"/>
        <v>6.8496552951175335E-2</v>
      </c>
      <c r="AM309" s="88">
        <f t="shared" ref="AM309:AN309" si="576">+SUMPRODUCT(AM298:AM305,$F$298:$F$305)/AM306</f>
        <v>6.8638773402348974E-2</v>
      </c>
      <c r="AN309" s="88">
        <f t="shared" si="576"/>
        <v>6.8761646679134009E-2</v>
      </c>
    </row>
    <row r="310" spans="1:46" s="3" customFormat="1">
      <c r="A310" s="33"/>
      <c r="B310"/>
      <c r="C310"/>
      <c r="D310" s="61" t="s">
        <v>166</v>
      </c>
      <c r="E310"/>
      <c r="F310"/>
      <c r="G310"/>
      <c r="H310"/>
      <c r="I310" s="88"/>
      <c r="J310" s="88"/>
      <c r="K310" s="88"/>
      <c r="L310" s="88"/>
      <c r="M310" s="6"/>
      <c r="N310" s="88"/>
      <c r="O310" s="88"/>
      <c r="P310" s="88"/>
      <c r="Q310" s="88"/>
      <c r="R310" s="88"/>
      <c r="S310" s="88"/>
      <c r="T310" s="88">
        <f t="shared" ref="T310:Z310" si="577">+T312/T308</f>
        <v>1.4929689628434309E-2</v>
      </c>
      <c r="U310" s="88">
        <f t="shared" si="577"/>
        <v>4.322408109957087E-2</v>
      </c>
      <c r="V310" s="88">
        <f t="shared" si="577"/>
        <v>6.189368198158271E-2</v>
      </c>
      <c r="W310" s="88">
        <f t="shared" si="577"/>
        <v>6.1481769642147202E-2</v>
      </c>
      <c r="X310" s="88">
        <f t="shared" si="577"/>
        <v>7.3002691974266551E-2</v>
      </c>
      <c r="Y310" s="88">
        <f t="shared" si="577"/>
        <v>7.3867039329207421E-2</v>
      </c>
      <c r="Z310" s="88">
        <f t="shared" si="577"/>
        <v>9.7289784572619872E-2</v>
      </c>
      <c r="AA310" s="88">
        <f t="shared" ref="AA310:AB310" si="578">+AA312/AA308</f>
        <v>9.735449735449736E-2</v>
      </c>
      <c r="AB310" s="88">
        <f t="shared" si="578"/>
        <v>8.673469387755102E-2</v>
      </c>
      <c r="AC310" s="183">
        <f>+AC309+AC311</f>
        <v>8.0749353916307443E-2</v>
      </c>
      <c r="AD310" s="183">
        <f t="shared" ref="AD310:AN310" si="579">+AD309+AD311</f>
        <v>8.0867056916522323E-2</v>
      </c>
      <c r="AE310" s="183">
        <f t="shared" ca="1" si="579"/>
        <v>8.1544636007490859E-2</v>
      </c>
      <c r="AF310" s="183">
        <f t="shared" ca="1" si="579"/>
        <v>8.2096983624345338E-2</v>
      </c>
      <c r="AG310" s="183">
        <f t="shared" ca="1" si="579"/>
        <v>8.2514454781488278E-2</v>
      </c>
      <c r="AH310" s="183">
        <f t="shared" ca="1" si="579"/>
        <v>8.2852074886349672E-2</v>
      </c>
      <c r="AI310" s="183">
        <f t="shared" ca="1" si="579"/>
        <v>8.3126718233040076E-2</v>
      </c>
      <c r="AJ310" s="183">
        <f t="shared" ca="1" si="579"/>
        <v>8.3342787402975974E-2</v>
      </c>
      <c r="AK310" s="183">
        <f t="shared" si="579"/>
        <v>8.3520008922922162E-2</v>
      </c>
      <c r="AL310" s="183">
        <f t="shared" si="579"/>
        <v>8.3692785290264818E-2</v>
      </c>
      <c r="AM310" s="183">
        <f t="shared" si="579"/>
        <v>8.3835005741438456E-2</v>
      </c>
      <c r="AN310" s="183">
        <f t="shared" si="579"/>
        <v>8.3957879018223491E-2</v>
      </c>
    </row>
    <row r="311" spans="1:46" s="3" customFormat="1">
      <c r="A311" s="33"/>
      <c r="B311"/>
      <c r="C311"/>
      <c r="D311" s="61" t="s">
        <v>315</v>
      </c>
      <c r="E311"/>
      <c r="F311"/>
      <c r="G311"/>
      <c r="H311"/>
      <c r="I311" s="88"/>
      <c r="J311" s="88"/>
      <c r="K311" s="88"/>
      <c r="L311" s="88"/>
      <c r="M311" s="6"/>
      <c r="N311" s="88"/>
      <c r="O311" s="88"/>
      <c r="P311" s="88"/>
      <c r="Q311" s="88"/>
      <c r="R311" s="88"/>
      <c r="S311" s="88"/>
      <c r="T311" s="88">
        <f t="shared" ref="T311:Z311" si="580">+T310-T309</f>
        <v>-3.5070310371565695E-2</v>
      </c>
      <c r="U311" s="88">
        <f t="shared" si="580"/>
        <v>-3.329199712948195E-2</v>
      </c>
      <c r="V311" s="88">
        <f t="shared" si="580"/>
        <v>-4.147040380622255E-2</v>
      </c>
      <c r="W311" s="88">
        <f t="shared" si="580"/>
        <v>-4.3735749625411449E-2</v>
      </c>
      <c r="X311" s="88">
        <f t="shared" si="580"/>
        <v>-3.67249412649331E-2</v>
      </c>
      <c r="Y311" s="88">
        <f t="shared" si="580"/>
        <v>-2.6928291832573253E-2</v>
      </c>
      <c r="Z311" s="88">
        <f t="shared" si="580"/>
        <v>7.9160471988824893E-3</v>
      </c>
      <c r="AA311" s="88">
        <f t="shared" ref="AA311:AB311" si="581">+AA310-AA309</f>
        <v>4.8433862433862468E-3</v>
      </c>
      <c r="AB311" s="88">
        <f t="shared" si="581"/>
        <v>1.5196232339089483E-2</v>
      </c>
      <c r="AC311" s="240">
        <f>+AB311</f>
        <v>1.5196232339089483E-2</v>
      </c>
      <c r="AD311" s="240">
        <f t="shared" ref="AD311:AN311" si="582">+AC311</f>
        <v>1.5196232339089483E-2</v>
      </c>
      <c r="AE311" s="240">
        <f t="shared" si="582"/>
        <v>1.5196232339089483E-2</v>
      </c>
      <c r="AF311" s="240">
        <f t="shared" si="582"/>
        <v>1.5196232339089483E-2</v>
      </c>
      <c r="AG311" s="240">
        <f t="shared" si="582"/>
        <v>1.5196232339089483E-2</v>
      </c>
      <c r="AH311" s="240">
        <f t="shared" si="582"/>
        <v>1.5196232339089483E-2</v>
      </c>
      <c r="AI311" s="240">
        <f t="shared" si="582"/>
        <v>1.5196232339089483E-2</v>
      </c>
      <c r="AJ311" s="240">
        <f t="shared" si="582"/>
        <v>1.5196232339089483E-2</v>
      </c>
      <c r="AK311" s="240">
        <f t="shared" si="582"/>
        <v>1.5196232339089483E-2</v>
      </c>
      <c r="AL311" s="240">
        <f t="shared" si="582"/>
        <v>1.5196232339089483E-2</v>
      </c>
      <c r="AM311" s="240">
        <f t="shared" si="582"/>
        <v>1.5196232339089483E-2</v>
      </c>
      <c r="AN311" s="240">
        <f t="shared" si="582"/>
        <v>1.5196232339089483E-2</v>
      </c>
    </row>
    <row r="312" spans="1:46" s="3" customFormat="1">
      <c r="A312" s="33"/>
      <c r="B312"/>
      <c r="C312"/>
      <c r="D312" s="61" t="s">
        <v>100</v>
      </c>
      <c r="E312"/>
      <c r="F312"/>
      <c r="G312"/>
      <c r="H31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>
        <f t="shared" ref="T312:Z312" si="583">-T173</f>
        <v>7.1239999999999997</v>
      </c>
      <c r="U312" s="6">
        <f t="shared" si="583"/>
        <v>16.68</v>
      </c>
      <c r="V312" s="6">
        <f t="shared" si="583"/>
        <v>20.11</v>
      </c>
      <c r="W312" s="6">
        <f t="shared" si="583"/>
        <v>21.573</v>
      </c>
      <c r="X312" s="6">
        <f t="shared" si="583"/>
        <v>24.8</v>
      </c>
      <c r="Y312" s="6">
        <f t="shared" si="583"/>
        <v>25.9</v>
      </c>
      <c r="Z312" s="6">
        <f t="shared" si="583"/>
        <v>42</v>
      </c>
      <c r="AA312" s="6">
        <f t="shared" ref="AA312" si="584">-AA173</f>
        <v>46</v>
      </c>
      <c r="AB312" s="67">
        <v>68</v>
      </c>
      <c r="AC312" s="60">
        <f t="shared" ref="AC312:AJ312" si="585">IFERROR(AC310*AC308,0)</f>
        <v>118.86304896480456</v>
      </c>
      <c r="AD312" s="60">
        <f t="shared" si="585"/>
        <v>149.67060360983098</v>
      </c>
      <c r="AE312" s="60">
        <f t="shared" ca="1" si="585"/>
        <v>167.13922194379043</v>
      </c>
      <c r="AF312" s="60">
        <f t="shared" ca="1" si="585"/>
        <v>198.82554522765938</v>
      </c>
      <c r="AG312" s="60">
        <f t="shared" ca="1" si="585"/>
        <v>233.01390020421778</v>
      </c>
      <c r="AH312" s="60">
        <f t="shared" ca="1" si="585"/>
        <v>268.92845692992637</v>
      </c>
      <c r="AI312" s="60">
        <f t="shared" ca="1" si="585"/>
        <v>307.05170342282719</v>
      </c>
      <c r="AJ312" s="60">
        <f t="shared" ca="1" si="585"/>
        <v>346.06665066578023</v>
      </c>
      <c r="AK312" s="60">
        <f ca="1">IFERROR(AK310*AK308,0)</f>
        <v>385.24665382267278</v>
      </c>
      <c r="AL312" s="60">
        <f t="shared" ref="AL312:AN312" si="586">IFERROR(AL310*AL308,0)</f>
        <v>428.7223530027469</v>
      </c>
      <c r="AM312" s="60">
        <f t="shared" si="586"/>
        <v>476.4397866244683</v>
      </c>
      <c r="AN312" s="60">
        <f t="shared" si="586"/>
        <v>525.67299413301453</v>
      </c>
    </row>
    <row r="313" spans="1:46" s="3" customFormat="1">
      <c r="A313" s="99"/>
      <c r="B313"/>
      <c r="C313"/>
      <c r="D313" s="61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55"/>
    </row>
    <row r="314" spans="1:46" s="3" customFormat="1">
      <c r="A314" s="99"/>
      <c r="B314"/>
      <c r="C314"/>
      <c r="D314" s="61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 s="6"/>
      <c r="S314" s="6"/>
      <c r="T314" s="6"/>
      <c r="U314" s="6"/>
      <c r="V314" s="6"/>
      <c r="W314" s="6"/>
      <c r="X314" s="47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55"/>
    </row>
    <row r="315" spans="1:46" s="3" customFormat="1">
      <c r="A315" s="99"/>
      <c r="B315"/>
      <c r="C315"/>
      <c r="D315" s="61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55"/>
    </row>
    <row r="316" spans="1:46">
      <c r="C316" s="94"/>
      <c r="D316" s="95" t="s">
        <v>171</v>
      </c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</row>
    <row r="317" spans="1:46" ht="5.15" customHeight="1"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56"/>
      <c r="X317" s="56"/>
      <c r="Y317" s="56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"/>
      <c r="AT317" s="3"/>
    </row>
    <row r="318" spans="1:46" s="3" customFormat="1">
      <c r="A318" s="33"/>
      <c r="B318"/>
      <c r="C318"/>
      <c r="D318" s="58" t="s">
        <v>206</v>
      </c>
      <c r="E318"/>
      <c r="F318"/>
      <c r="G318"/>
      <c r="H318"/>
      <c r="I318"/>
      <c r="J318" s="6"/>
      <c r="K318" s="6"/>
      <c r="L318" s="6"/>
      <c r="M318" s="6"/>
      <c r="N318" s="6"/>
      <c r="O318" s="6"/>
      <c r="P318" s="6">
        <f t="shared" ref="P318:AN318" si="587">+P161</f>
        <v>437.94</v>
      </c>
      <c r="Q318" s="6">
        <f t="shared" si="587"/>
        <v>633.96500000000003</v>
      </c>
      <c r="R318" s="6">
        <f t="shared" si="587"/>
        <v>773.34099999999989</v>
      </c>
      <c r="S318" s="6">
        <f t="shared" si="587"/>
        <v>891.3</v>
      </c>
      <c r="T318" s="6">
        <f t="shared" si="587"/>
        <v>1210.8</v>
      </c>
      <c r="U318" s="6">
        <f t="shared" si="587"/>
        <v>1669.3</v>
      </c>
      <c r="V318" s="6">
        <f t="shared" si="587"/>
        <v>1838.3090000000002</v>
      </c>
      <c r="W318" s="6">
        <f t="shared" si="587"/>
        <v>2125.0860000000002</v>
      </c>
      <c r="X318" s="6">
        <f t="shared" si="587"/>
        <v>2479.4</v>
      </c>
      <c r="Y318" s="6">
        <f t="shared" si="587"/>
        <v>3060.1</v>
      </c>
      <c r="Z318" s="6">
        <f t="shared" si="587"/>
        <v>3489.5</v>
      </c>
      <c r="AA318" s="6">
        <f t="shared" si="587"/>
        <v>3969</v>
      </c>
      <c r="AB318" s="6">
        <f t="shared" si="587"/>
        <v>5107</v>
      </c>
      <c r="AC318" s="6">
        <f t="shared" si="587"/>
        <v>6540.0749999999998</v>
      </c>
      <c r="AD318" s="6">
        <f t="shared" si="587"/>
        <v>7770.6579000000002</v>
      </c>
      <c r="AE318" s="6">
        <f t="shared" si="587"/>
        <v>9221.6304645</v>
      </c>
      <c r="AF318" s="6">
        <f t="shared" si="587"/>
        <v>10894.601046247501</v>
      </c>
      <c r="AG318" s="6">
        <f t="shared" si="587"/>
        <v>12656.947516412063</v>
      </c>
      <c r="AH318" s="6">
        <f t="shared" si="587"/>
        <v>14582.022995874502</v>
      </c>
      <c r="AI318" s="6">
        <f t="shared" si="587"/>
        <v>16658.716523076258</v>
      </c>
      <c r="AJ318" s="6">
        <f t="shared" si="587"/>
        <v>18786.345174664901</v>
      </c>
      <c r="AK318" s="6">
        <f t="shared" si="587"/>
        <v>21003.324228556859</v>
      </c>
      <c r="AL318" s="6">
        <f t="shared" si="587"/>
        <v>23277.736111965427</v>
      </c>
      <c r="AM318" s="6">
        <f t="shared" si="587"/>
        <v>25571.833857699814</v>
      </c>
      <c r="AN318" s="6">
        <f t="shared" si="587"/>
        <v>27970.624515081414</v>
      </c>
    </row>
    <row r="319" spans="1:46" s="3" customFormat="1">
      <c r="A319" s="33"/>
      <c r="B319"/>
      <c r="C319"/>
      <c r="D319" s="58"/>
      <c r="E319"/>
      <c r="F319"/>
      <c r="G319"/>
      <c r="H319"/>
      <c r="I319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spans="1:46" s="3" customFormat="1">
      <c r="A320" s="33"/>
      <c r="B320"/>
      <c r="C320"/>
      <c r="D320" s="204" t="s">
        <v>404</v>
      </c>
      <c r="E320"/>
      <c r="F320"/>
      <c r="G320"/>
      <c r="H320"/>
      <c r="I320"/>
      <c r="J320" s="6"/>
      <c r="K320" s="6"/>
      <c r="L320" s="6"/>
      <c r="M320" s="6"/>
      <c r="N320" s="6"/>
      <c r="O320" s="6"/>
      <c r="P320" s="6"/>
      <c r="Q320" s="81"/>
      <c r="R320" s="81"/>
      <c r="S320" s="81"/>
      <c r="T320" s="81"/>
      <c r="U320" s="81"/>
      <c r="V320" s="81"/>
      <c r="W320" s="81"/>
      <c r="X320" s="81"/>
      <c r="Y320" s="81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  <c r="AL320" s="60"/>
      <c r="AM320" s="60"/>
      <c r="AN320" s="60"/>
    </row>
    <row r="321" spans="1:40" s="3" customFormat="1">
      <c r="A321" s="33"/>
      <c r="B321"/>
      <c r="C321"/>
      <c r="D321" s="58" t="s">
        <v>125</v>
      </c>
      <c r="E321"/>
      <c r="F321"/>
      <c r="G321"/>
      <c r="H321"/>
      <c r="I321"/>
      <c r="J321" s="6"/>
      <c r="K321" s="6"/>
      <c r="L321" s="6"/>
      <c r="M321" s="6"/>
      <c r="N321" s="6"/>
      <c r="O321" s="6"/>
      <c r="P321" s="6"/>
      <c r="Q321" s="6">
        <f t="shared" ref="Q321:AN321" si="588">-Q207</f>
        <v>82.932000000000002</v>
      </c>
      <c r="R321" s="6">
        <f t="shared" si="588"/>
        <v>45.856000000000002</v>
      </c>
      <c r="S321" s="6">
        <f t="shared" si="588"/>
        <v>138.81</v>
      </c>
      <c r="T321" s="6">
        <f t="shared" si="588"/>
        <v>517.17599999999993</v>
      </c>
      <c r="U321" s="6">
        <f t="shared" si="588"/>
        <v>121.48699999999999</v>
      </c>
      <c r="V321" s="6">
        <f t="shared" si="588"/>
        <v>248.77199999999999</v>
      </c>
      <c r="W321" s="6">
        <f t="shared" si="588"/>
        <v>178.101</v>
      </c>
      <c r="X321" s="6">
        <f t="shared" si="588"/>
        <v>256</v>
      </c>
      <c r="Y321" s="6">
        <f t="shared" si="588"/>
        <v>484.70000000000005</v>
      </c>
      <c r="Z321" s="6">
        <f t="shared" si="588"/>
        <v>505</v>
      </c>
      <c r="AA321" s="6">
        <f t="shared" si="588"/>
        <v>485</v>
      </c>
      <c r="AB321" s="6">
        <f t="shared" si="588"/>
        <v>1183</v>
      </c>
      <c r="AC321" s="6">
        <f t="shared" si="588"/>
        <v>1718.675</v>
      </c>
      <c r="AD321" s="6">
        <f t="shared" si="588"/>
        <v>1700.4195000000004</v>
      </c>
      <c r="AE321" s="6">
        <f t="shared" si="588"/>
        <v>1853.3019091500009</v>
      </c>
      <c r="AF321" s="6">
        <f t="shared" si="588"/>
        <v>1988.1835281462006</v>
      </c>
      <c r="AG321" s="6">
        <f t="shared" si="588"/>
        <v>2089.5844806702726</v>
      </c>
      <c r="AH321" s="6">
        <f t="shared" si="588"/>
        <v>2287.110416215658</v>
      </c>
      <c r="AI321" s="6">
        <f t="shared" si="588"/>
        <v>2467.2782909019647</v>
      </c>
      <c r="AJ321" s="6">
        <f t="shared" si="588"/>
        <v>2492.5604597652837</v>
      </c>
      <c r="AK321" s="6">
        <f t="shared" si="588"/>
        <v>2569.9720198941568</v>
      </c>
      <c r="AL321" s="6">
        <f t="shared" si="588"/>
        <v>2593.1229175682024</v>
      </c>
      <c r="AM321" s="6">
        <f t="shared" si="588"/>
        <v>2557.6412553021919</v>
      </c>
      <c r="AN321" s="6">
        <f t="shared" si="588"/>
        <v>2622.3915621071169</v>
      </c>
    </row>
    <row r="322" spans="1:40" s="3" customFormat="1">
      <c r="A322" s="33"/>
      <c r="B322"/>
      <c r="C322"/>
      <c r="D322" s="58" t="s">
        <v>411</v>
      </c>
      <c r="E322"/>
      <c r="F322"/>
      <c r="G322"/>
      <c r="H322"/>
      <c r="I322"/>
      <c r="J322" s="6"/>
      <c r="K322" s="6"/>
      <c r="L322" s="6"/>
      <c r="M322" s="6"/>
      <c r="N322" s="6"/>
      <c r="O322" s="6"/>
      <c r="P322" s="6"/>
      <c r="Q322" s="6">
        <f t="shared" ref="Q322:Y322" si="589">+Q344</f>
        <v>99.976999999999975</v>
      </c>
      <c r="R322" s="6">
        <f t="shared" si="589"/>
        <v>65.109000000000009</v>
      </c>
      <c r="S322" s="6">
        <f t="shared" si="589"/>
        <v>187.92900000000003</v>
      </c>
      <c r="T322" s="6">
        <f t="shared" si="589"/>
        <v>568.66300000000001</v>
      </c>
      <c r="U322" s="6">
        <f t="shared" si="589"/>
        <v>80.021999999999935</v>
      </c>
      <c r="V322" s="6">
        <f t="shared" si="589"/>
        <v>248.83100000000002</v>
      </c>
      <c r="W322" s="6">
        <f t="shared" si="589"/>
        <v>221.995</v>
      </c>
      <c r="X322" s="6">
        <f t="shared" si="589"/>
        <v>385.35899999999992</v>
      </c>
      <c r="Y322" s="6">
        <f t="shared" si="589"/>
        <v>604.10000000000014</v>
      </c>
      <c r="Z322" s="6">
        <f>+Z344</f>
        <v>719.59999999999991</v>
      </c>
      <c r="AA322" s="6">
        <f>+AA344</f>
        <v>657</v>
      </c>
      <c r="AB322" s="6">
        <f>+AB344</f>
        <v>1442</v>
      </c>
      <c r="AC322" s="60">
        <f t="shared" ref="AC322:AL322" si="590">+AC$321*AC335</f>
        <v>1770.23525</v>
      </c>
      <c r="AD322" s="60">
        <f t="shared" si="590"/>
        <v>1751.4320850000004</v>
      </c>
      <c r="AE322" s="60">
        <f t="shared" si="590"/>
        <v>1908.9009664245011</v>
      </c>
      <c r="AF322" s="60">
        <f t="shared" si="590"/>
        <v>2047.8290339905866</v>
      </c>
      <c r="AG322" s="60">
        <f t="shared" si="590"/>
        <v>2152.2720150903806</v>
      </c>
      <c r="AH322" s="60">
        <f t="shared" si="590"/>
        <v>2355.723728702128</v>
      </c>
      <c r="AI322" s="60">
        <f t="shared" si="590"/>
        <v>2541.296639629024</v>
      </c>
      <c r="AJ322" s="60">
        <f t="shared" si="590"/>
        <v>2567.337273558242</v>
      </c>
      <c r="AK322" s="60">
        <f t="shared" si="590"/>
        <v>2647.0711804909815</v>
      </c>
      <c r="AL322" s="60">
        <f t="shared" si="590"/>
        <v>2670.9166050952485</v>
      </c>
      <c r="AM322" s="60">
        <f t="shared" ref="AM322:AN322" si="591">+AM$321*AM335</f>
        <v>2634.3704929612577</v>
      </c>
      <c r="AN322" s="60">
        <f t="shared" si="591"/>
        <v>2701.0633089703306</v>
      </c>
    </row>
    <row r="323" spans="1:40" s="3" customFormat="1">
      <c r="A323" s="33"/>
      <c r="B323"/>
      <c r="C323"/>
      <c r="D323" s="58" t="s">
        <v>412</v>
      </c>
      <c r="E323"/>
      <c r="F323"/>
      <c r="G323"/>
      <c r="H323"/>
      <c r="I323"/>
      <c r="J323" s="6"/>
      <c r="K323" s="6"/>
      <c r="L323" s="6"/>
      <c r="M323" s="6"/>
      <c r="N323" s="6"/>
      <c r="O323" s="6"/>
      <c r="P323" s="6"/>
      <c r="Q323" s="6">
        <f t="shared" ref="Q323:Y323" si="592">+Q350</f>
        <v>9.6570000000000036</v>
      </c>
      <c r="R323" s="6">
        <f t="shared" si="592"/>
        <v>9.8349999999999937</v>
      </c>
      <c r="S323" s="6">
        <f t="shared" si="592"/>
        <v>31.733999999999995</v>
      </c>
      <c r="T323" s="6">
        <f t="shared" si="592"/>
        <v>129.744</v>
      </c>
      <c r="U323" s="6">
        <f t="shared" si="592"/>
        <v>-1.0490000000000066</v>
      </c>
      <c r="V323" s="6">
        <f t="shared" si="592"/>
        <v>-3.6569999999999823</v>
      </c>
      <c r="W323" s="6">
        <f t="shared" si="592"/>
        <v>10.239000000000004</v>
      </c>
      <c r="X323" s="6">
        <f t="shared" si="592"/>
        <v>32.697999999999979</v>
      </c>
      <c r="Y323" s="6">
        <f t="shared" si="592"/>
        <v>42.699999999999989</v>
      </c>
      <c r="Z323" s="6">
        <f>+Z350</f>
        <v>59.100000000000023</v>
      </c>
      <c r="AA323" s="6">
        <f>+AA350</f>
        <v>86</v>
      </c>
      <c r="AB323" s="6">
        <f>+AB350</f>
        <v>191</v>
      </c>
      <c r="AC323" s="60">
        <f t="shared" ref="AC323:AL323" si="593">+AC$321*AC336</f>
        <v>189.05425</v>
      </c>
      <c r="AD323" s="60">
        <f t="shared" si="593"/>
        <v>187.04614500000005</v>
      </c>
      <c r="AE323" s="60">
        <f t="shared" si="593"/>
        <v>203.86321000650011</v>
      </c>
      <c r="AF323" s="60">
        <f t="shared" si="593"/>
        <v>218.70018809608206</v>
      </c>
      <c r="AG323" s="60">
        <f t="shared" si="593"/>
        <v>229.85429287372997</v>
      </c>
      <c r="AH323" s="60">
        <f t="shared" si="593"/>
        <v>251.58214578372238</v>
      </c>
      <c r="AI323" s="60">
        <f t="shared" si="593"/>
        <v>271.4006119992161</v>
      </c>
      <c r="AJ323" s="60">
        <f t="shared" si="593"/>
        <v>274.18165057418122</v>
      </c>
      <c r="AK323" s="60">
        <f t="shared" si="593"/>
        <v>282.69692218835723</v>
      </c>
      <c r="AL323" s="60">
        <f t="shared" si="593"/>
        <v>285.24352093250229</v>
      </c>
      <c r="AM323" s="60">
        <f t="shared" ref="AM323:AN323" si="594">+AM$321*AM336</f>
        <v>281.34053808324109</v>
      </c>
      <c r="AN323" s="60">
        <f t="shared" si="594"/>
        <v>288.46307183178288</v>
      </c>
    </row>
    <row r="324" spans="1:40" s="3" customFormat="1">
      <c r="A324" s="33"/>
      <c r="B324"/>
      <c r="C324"/>
      <c r="D324" s="58" t="s">
        <v>413</v>
      </c>
      <c r="E324"/>
      <c r="F324"/>
      <c r="G324"/>
      <c r="H324"/>
      <c r="I324"/>
      <c r="J324" s="6"/>
      <c r="K324" s="6"/>
      <c r="L324" s="6"/>
      <c r="M324" s="6"/>
      <c r="N324" s="6"/>
      <c r="O324" s="6"/>
      <c r="P324" s="6"/>
      <c r="Q324" s="6">
        <f t="shared" ref="Q324:AB324" si="595">+Q263</f>
        <v>-23.39700000000003</v>
      </c>
      <c r="R324" s="6">
        <f t="shared" si="595"/>
        <v>-45.396000000000001</v>
      </c>
      <c r="S324" s="6">
        <f t="shared" si="595"/>
        <v>-78.71699999999997</v>
      </c>
      <c r="T324" s="6">
        <f t="shared" si="595"/>
        <v>-81.383999999999958</v>
      </c>
      <c r="U324" s="6">
        <f t="shared" si="595"/>
        <v>-55.902999999999999</v>
      </c>
      <c r="V324" s="6">
        <f t="shared" si="595"/>
        <v>-27.679000000000073</v>
      </c>
      <c r="W324" s="6">
        <f t="shared" si="595"/>
        <v>-83.154999999999987</v>
      </c>
      <c r="X324" s="6">
        <f t="shared" si="595"/>
        <v>-136.84</v>
      </c>
      <c r="Y324" s="6">
        <f t="shared" si="595"/>
        <v>-89.099999999999937</v>
      </c>
      <c r="Z324" s="6">
        <f t="shared" si="595"/>
        <v>-218.70000000000005</v>
      </c>
      <c r="AA324" s="6">
        <f t="shared" si="595"/>
        <v>-203</v>
      </c>
      <c r="AB324" s="6">
        <f t="shared" si="595"/>
        <v>42</v>
      </c>
      <c r="AC324" s="60">
        <f t="shared" ref="AC324:AL324" si="596">+AC$321*AC337</f>
        <v>-343.73500000000001</v>
      </c>
      <c r="AD324" s="60">
        <f t="shared" si="596"/>
        <v>-340.08390000000009</v>
      </c>
      <c r="AE324" s="60">
        <f t="shared" si="596"/>
        <v>-370.66038183000023</v>
      </c>
      <c r="AF324" s="60">
        <f t="shared" si="596"/>
        <v>-397.63670562924017</v>
      </c>
      <c r="AG324" s="60">
        <f t="shared" si="596"/>
        <v>-417.91689613405453</v>
      </c>
      <c r="AH324" s="60">
        <f t="shared" si="596"/>
        <v>-457.42208324313162</v>
      </c>
      <c r="AI324" s="60">
        <f t="shared" si="596"/>
        <v>-493.45565818039296</v>
      </c>
      <c r="AJ324" s="60">
        <f t="shared" si="596"/>
        <v>-498.51209195305677</v>
      </c>
      <c r="AK324" s="60">
        <f t="shared" si="596"/>
        <v>-513.99440397883143</v>
      </c>
      <c r="AL324" s="60">
        <f t="shared" si="596"/>
        <v>-518.62458351364046</v>
      </c>
      <c r="AM324" s="60">
        <f t="shared" ref="AM324:AN324" si="597">+AM$321*AM337</f>
        <v>-511.52825106043838</v>
      </c>
      <c r="AN324" s="60">
        <f t="shared" si="597"/>
        <v>-524.47831242142342</v>
      </c>
    </row>
    <row r="325" spans="1:40" s="3" customFormat="1">
      <c r="A325" s="33"/>
      <c r="B325"/>
      <c r="C325"/>
      <c r="D325" s="58" t="s">
        <v>427</v>
      </c>
      <c r="E325"/>
      <c r="F325"/>
      <c r="G325"/>
      <c r="H325"/>
      <c r="I325"/>
      <c r="J325" s="6"/>
      <c r="K325" s="6"/>
      <c r="L325" s="6"/>
      <c r="M325" s="6"/>
      <c r="N325" s="6"/>
      <c r="O325" s="6"/>
      <c r="P325" s="6"/>
      <c r="Q325" s="67">
        <v>0</v>
      </c>
      <c r="R325" s="67">
        <v>0</v>
      </c>
      <c r="S325" s="67">
        <v>0</v>
      </c>
      <c r="T325" s="67">
        <v>0</v>
      </c>
      <c r="U325" s="67">
        <v>0</v>
      </c>
      <c r="V325" s="67">
        <v>0</v>
      </c>
      <c r="W325" s="67">
        <v>0</v>
      </c>
      <c r="X325" s="67">
        <v>0</v>
      </c>
      <c r="Y325" s="67">
        <v>0</v>
      </c>
      <c r="Z325" s="67">
        <v>40</v>
      </c>
      <c r="AA325" s="67">
        <v>40</v>
      </c>
      <c r="AB325" s="67">
        <v>40</v>
      </c>
      <c r="AC325" s="60">
        <f t="shared" ref="AC325:AL325" si="598">+AC$321*AC338</f>
        <v>68.747</v>
      </c>
      <c r="AD325" s="60">
        <f t="shared" si="598"/>
        <v>68.016780000000011</v>
      </c>
      <c r="AE325" s="60">
        <f t="shared" si="598"/>
        <v>74.132076366000035</v>
      </c>
      <c r="AF325" s="60">
        <f t="shared" si="598"/>
        <v>79.527341125848025</v>
      </c>
      <c r="AG325" s="60">
        <f t="shared" si="598"/>
        <v>83.583379226810905</v>
      </c>
      <c r="AH325" s="60">
        <f t="shared" si="598"/>
        <v>91.484416648626322</v>
      </c>
      <c r="AI325" s="60">
        <f t="shared" si="598"/>
        <v>98.691131636078595</v>
      </c>
      <c r="AJ325" s="60">
        <f t="shared" si="598"/>
        <v>99.702418390611342</v>
      </c>
      <c r="AK325" s="60">
        <f t="shared" si="598"/>
        <v>102.79888079576628</v>
      </c>
      <c r="AL325" s="60">
        <f t="shared" si="598"/>
        <v>103.72491670272809</v>
      </c>
      <c r="AM325" s="60">
        <f t="shared" ref="AM325:AN325" si="599">+AM$321*AM338</f>
        <v>102.30565021208768</v>
      </c>
      <c r="AN325" s="60">
        <f t="shared" si="599"/>
        <v>104.89566248428468</v>
      </c>
    </row>
    <row r="326" spans="1:40" s="3" customFormat="1">
      <c r="A326" s="33"/>
      <c r="B326"/>
      <c r="C326"/>
      <c r="D326" s="58" t="s">
        <v>414</v>
      </c>
      <c r="E326"/>
      <c r="F326"/>
      <c r="G326"/>
      <c r="H326"/>
      <c r="I326"/>
      <c r="J326" s="6"/>
      <c r="K326" s="6"/>
      <c r="L326" s="6"/>
      <c r="M326" s="6"/>
      <c r="N326" s="6"/>
      <c r="O326" s="6"/>
      <c r="P326" s="6"/>
      <c r="Q326" s="6">
        <f t="shared" ref="Q326:Z326" si="600">+Q363</f>
        <v>2.5939999999999994</v>
      </c>
      <c r="R326" s="6">
        <f t="shared" si="600"/>
        <v>1.6400000000000006</v>
      </c>
      <c r="S326" s="6">
        <f t="shared" si="600"/>
        <v>8.2090000000000014</v>
      </c>
      <c r="T326" s="6">
        <f t="shared" si="600"/>
        <v>13.517000000000003</v>
      </c>
      <c r="U326" s="6">
        <f t="shared" si="600"/>
        <v>3.8419999999999916</v>
      </c>
      <c r="V326" s="6">
        <f t="shared" si="600"/>
        <v>8.9510000000000076</v>
      </c>
      <c r="W326" s="6">
        <f t="shared" si="600"/>
        <v>7.625</v>
      </c>
      <c r="X326" s="6">
        <f t="shared" si="600"/>
        <v>10.305</v>
      </c>
      <c r="Y326" s="6">
        <f t="shared" si="600"/>
        <v>15.300000000000011</v>
      </c>
      <c r="Z326" s="6">
        <f t="shared" si="600"/>
        <v>8.5999999999999943</v>
      </c>
      <c r="AA326" s="6">
        <f>+AA363</f>
        <v>30</v>
      </c>
      <c r="AB326" s="6">
        <f>+AB363</f>
        <v>36</v>
      </c>
      <c r="AC326" s="60">
        <f t="shared" ref="AC326:AL326" si="601">+AC$321*AC339</f>
        <v>34.373499999999645</v>
      </c>
      <c r="AD326" s="60">
        <f t="shared" si="601"/>
        <v>34.008389999999665</v>
      </c>
      <c r="AE326" s="60">
        <f t="shared" si="601"/>
        <v>37.066038182999641</v>
      </c>
      <c r="AF326" s="60">
        <f t="shared" si="601"/>
        <v>39.763670562923608</v>
      </c>
      <c r="AG326" s="60">
        <f t="shared" si="601"/>
        <v>41.791689613405026</v>
      </c>
      <c r="AH326" s="60">
        <f t="shared" si="601"/>
        <v>45.742208324312692</v>
      </c>
      <c r="AI326" s="60">
        <f t="shared" si="601"/>
        <v>49.345565818038793</v>
      </c>
      <c r="AJ326" s="60">
        <f t="shared" si="601"/>
        <v>49.851209195305167</v>
      </c>
      <c r="AK326" s="60">
        <f t="shared" si="601"/>
        <v>51.399440397882614</v>
      </c>
      <c r="AL326" s="60">
        <f t="shared" si="601"/>
        <v>51.862458351363522</v>
      </c>
      <c r="AM326" s="60">
        <f t="shared" ref="AM326:AN326" si="602">+AM$321*AM339</f>
        <v>51.152825106043316</v>
      </c>
      <c r="AN326" s="60">
        <f t="shared" si="602"/>
        <v>52.447831242141802</v>
      </c>
    </row>
    <row r="327" spans="1:40" s="3" customFormat="1">
      <c r="A327" s="33"/>
      <c r="B327"/>
      <c r="C327"/>
      <c r="D327" s="58"/>
      <c r="E327"/>
      <c r="F327"/>
      <c r="G327"/>
      <c r="H327"/>
      <c r="I327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  <c r="AL327" s="60"/>
      <c r="AM327" s="60"/>
      <c r="AN327" s="60"/>
    </row>
    <row r="328" spans="1:40" s="3" customFormat="1">
      <c r="A328" s="33"/>
      <c r="B328"/>
      <c r="C328"/>
      <c r="D328" s="204" t="s">
        <v>430</v>
      </c>
      <c r="E328"/>
      <c r="F328"/>
      <c r="G328"/>
      <c r="H328"/>
      <c r="I328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</row>
    <row r="329" spans="1:40" s="3" customFormat="1">
      <c r="A329" s="33"/>
      <c r="B329"/>
      <c r="C329"/>
      <c r="D329" s="58" t="s">
        <v>143</v>
      </c>
      <c r="E329"/>
      <c r="F329"/>
      <c r="G329"/>
      <c r="H329"/>
      <c r="I329"/>
      <c r="J329" s="6"/>
      <c r="K329" s="6"/>
      <c r="L329" s="6"/>
      <c r="M329" s="6"/>
      <c r="N329" s="6"/>
      <c r="O329" s="6"/>
      <c r="P329" s="6"/>
      <c r="Q329" s="56">
        <f t="shared" ref="Q329:AL329" si="603">+Q345/Q318</f>
        <v>0.34677308684233354</v>
      </c>
      <c r="R329" s="56">
        <f t="shared" si="603"/>
        <v>0.2693520710786057</v>
      </c>
      <c r="S329" s="56">
        <f t="shared" si="603"/>
        <v>0.34907438572871091</v>
      </c>
      <c r="T329" s="56">
        <f t="shared" si="603"/>
        <v>0.62825652461182691</v>
      </c>
      <c r="U329" s="56">
        <f t="shared" si="603"/>
        <v>0.3998771940334272</v>
      </c>
      <c r="V329" s="56">
        <f t="shared" si="603"/>
        <v>0.40028417420575102</v>
      </c>
      <c r="W329" s="56">
        <f t="shared" si="603"/>
        <v>0.36103997673505916</v>
      </c>
      <c r="X329" s="56">
        <f t="shared" si="603"/>
        <v>0.37190449302250539</v>
      </c>
      <c r="Y329" s="56">
        <f t="shared" si="603"/>
        <v>0.40763373745956016</v>
      </c>
      <c r="Z329" s="56">
        <f t="shared" si="603"/>
        <v>0.46883507665854707</v>
      </c>
      <c r="AA329" s="56">
        <f>+AA345/AA318</f>
        <v>0.47619047619047616</v>
      </c>
      <c r="AB329" s="56">
        <f>+AB345/AB318</f>
        <v>0.55100841981593895</v>
      </c>
      <c r="AC329" s="56">
        <f t="shared" si="603"/>
        <v>0.59061964709296744</v>
      </c>
      <c r="AD329" s="56">
        <f t="shared" si="603"/>
        <v>0.59820606390948627</v>
      </c>
      <c r="AE329" s="56">
        <f t="shared" si="603"/>
        <v>0.58506377960534006</v>
      </c>
      <c r="AF329" s="56">
        <f t="shared" si="603"/>
        <v>0.55938354129569168</v>
      </c>
      <c r="AG329" s="56">
        <f t="shared" si="603"/>
        <v>0.53116815030346543</v>
      </c>
      <c r="AH329" s="56">
        <f t="shared" si="603"/>
        <v>0.50733353536615655</v>
      </c>
      <c r="AI329" s="56">
        <f t="shared" si="603"/>
        <v>0.48561715951457013</v>
      </c>
      <c r="AJ329" s="56">
        <f t="shared" si="603"/>
        <v>0.45962405899599401</v>
      </c>
      <c r="AK329" s="56">
        <f t="shared" si="603"/>
        <v>0.43436282982511931</v>
      </c>
      <c r="AL329" s="56">
        <f t="shared" si="603"/>
        <v>0.40868296083754552</v>
      </c>
      <c r="AM329" s="56">
        <f t="shared" ref="AM329:AN329" si="604">+AM345/AM318</f>
        <v>0.38203287000061942</v>
      </c>
      <c r="AN329" s="56">
        <f t="shared" si="604"/>
        <v>0.35851985047528695</v>
      </c>
    </row>
    <row r="330" spans="1:40" s="3" customFormat="1">
      <c r="A330" s="33"/>
      <c r="B330"/>
      <c r="C330"/>
      <c r="D330" s="58" t="s">
        <v>142</v>
      </c>
      <c r="E330"/>
      <c r="F330"/>
      <c r="G330"/>
      <c r="H330"/>
      <c r="I330"/>
      <c r="J330" s="6"/>
      <c r="K330" s="6"/>
      <c r="L330" s="6"/>
      <c r="M330" s="6"/>
      <c r="N330" s="6"/>
      <c r="O330" s="6"/>
      <c r="P330" s="6"/>
      <c r="Q330" s="56">
        <f t="shared" ref="Q330:AL330" si="605">+Q351/Q318</f>
        <v>7.9097426514082012E-2</v>
      </c>
      <c r="R330" s="56">
        <f t="shared" si="605"/>
        <v>7.6927254600493197E-2</v>
      </c>
      <c r="S330" s="56">
        <f t="shared" si="605"/>
        <v>0.10235049927072815</v>
      </c>
      <c r="T330" s="56">
        <f t="shared" si="605"/>
        <v>0.1824983481995375</v>
      </c>
      <c r="U330" s="56">
        <f t="shared" si="605"/>
        <v>0.13174384472533396</v>
      </c>
      <c r="V330" s="56">
        <f t="shared" si="605"/>
        <v>0.11764235501213342</v>
      </c>
      <c r="W330" s="56">
        <f t="shared" si="605"/>
        <v>0.10658486291848894</v>
      </c>
      <c r="X330" s="56">
        <f t="shared" si="605"/>
        <v>0.10454142131160764</v>
      </c>
      <c r="Y330" s="56">
        <f t="shared" si="605"/>
        <v>9.8656906637037994E-2</v>
      </c>
      <c r="Z330" s="56">
        <f t="shared" si="605"/>
        <v>0.10345321679323685</v>
      </c>
      <c r="AA330" s="56">
        <f>+AA351/AA318</f>
        <v>0.10959939531368103</v>
      </c>
      <c r="AB330" s="56">
        <f>+AB351/AB318</f>
        <v>0.1202271392206775</v>
      </c>
      <c r="AC330" s="56">
        <f t="shared" si="605"/>
        <v>0.12278976158530293</v>
      </c>
      <c r="AD330" s="56">
        <f t="shared" si="605"/>
        <v>0.12741525978128571</v>
      </c>
      <c r="AE330" s="56">
        <f t="shared" si="605"/>
        <v>0.12947424098187796</v>
      </c>
      <c r="AF330" s="56">
        <f t="shared" si="605"/>
        <v>0.1296664088116522</v>
      </c>
      <c r="AG330" s="56">
        <f t="shared" si="605"/>
        <v>0.12977205474277939</v>
      </c>
      <c r="AH330" s="56">
        <f t="shared" si="605"/>
        <v>0.12989282984232756</v>
      </c>
      <c r="AI330" s="56">
        <f t="shared" si="605"/>
        <v>0.12999205795713734</v>
      </c>
      <c r="AJ330" s="56">
        <f t="shared" si="605"/>
        <v>0.12986466881400466</v>
      </c>
      <c r="AK330" s="56">
        <f t="shared" si="605"/>
        <v>0.12961659720609112</v>
      </c>
      <c r="AL330" s="56">
        <f t="shared" si="605"/>
        <v>0.12920598992048399</v>
      </c>
      <c r="AM330" s="56">
        <f t="shared" ref="AM330:AN330" si="606">+AM351/AM318</f>
        <v>0.1286166449320649</v>
      </c>
      <c r="AN330" s="56">
        <f t="shared" si="606"/>
        <v>0.1278994162407926</v>
      </c>
    </row>
    <row r="331" spans="1:40" s="3" customFormat="1">
      <c r="A331" s="33"/>
      <c r="B331"/>
      <c r="C331"/>
      <c r="D331" s="58" t="s">
        <v>405</v>
      </c>
      <c r="E331"/>
      <c r="F331"/>
      <c r="G331"/>
      <c r="H331"/>
      <c r="I331"/>
      <c r="J331" s="6"/>
      <c r="K331" s="6"/>
      <c r="L331" s="6"/>
      <c r="M331" s="6"/>
      <c r="N331" s="6"/>
      <c r="O331" s="6"/>
      <c r="P331" s="6"/>
      <c r="Q331" s="56">
        <f t="shared" ref="Q331:AN331" si="607">+Q259/Q318</f>
        <v>-0.19799515746137408</v>
      </c>
      <c r="R331" s="56">
        <f t="shared" si="607"/>
        <v>-0.20045749546448466</v>
      </c>
      <c r="S331" s="56">
        <f t="shared" si="607"/>
        <v>-0.24273420845955346</v>
      </c>
      <c r="T331" s="56">
        <f t="shared" si="607"/>
        <v>-0.24632639577139079</v>
      </c>
      <c r="U331" s="56">
        <f t="shared" si="607"/>
        <v>-0.2111316120529563</v>
      </c>
      <c r="V331" s="56">
        <f t="shared" si="607"/>
        <v>-0.20845298586907859</v>
      </c>
      <c r="W331" s="56">
        <f t="shared" si="607"/>
        <v>-0.2116902563002156</v>
      </c>
      <c r="X331" s="56">
        <f t="shared" si="607"/>
        <v>-0.23053964668871502</v>
      </c>
      <c r="Y331" s="56">
        <f t="shared" si="607"/>
        <v>-0.22035227606940949</v>
      </c>
      <c r="Z331" s="56">
        <f t="shared" si="607"/>
        <v>-0.24788651669293596</v>
      </c>
      <c r="AA331" s="56">
        <f t="shared" si="607"/>
        <v>-0.29856386999244144</v>
      </c>
      <c r="AB331" s="56">
        <f t="shared" si="607"/>
        <v>-0.23262189152144117</v>
      </c>
      <c r="AC331" s="56">
        <f t="shared" si="607"/>
        <v>-0.23378500097904831</v>
      </c>
      <c r="AD331" s="56">
        <f t="shared" si="607"/>
        <v>-0.23495392598394352</v>
      </c>
      <c r="AE331" s="56">
        <f t="shared" si="607"/>
        <v>-0.23612869561386327</v>
      </c>
      <c r="AF331" s="56">
        <f t="shared" si="607"/>
        <v>-0.23730933909193253</v>
      </c>
      <c r="AG331" s="56">
        <f t="shared" si="607"/>
        <v>-0.2384958857873922</v>
      </c>
      <c r="AH331" s="56">
        <f t="shared" si="607"/>
        <v>-0.23968836521632911</v>
      </c>
      <c r="AI331" s="56">
        <f t="shared" si="607"/>
        <v>-0.24088680704241072</v>
      </c>
      <c r="AJ331" s="56">
        <f t="shared" si="607"/>
        <v>-0.24209124107762275</v>
      </c>
      <c r="AK331" s="56">
        <f t="shared" si="607"/>
        <v>-0.24330169728301085</v>
      </c>
      <c r="AL331" s="56">
        <f t="shared" si="607"/>
        <v>-0.24451820576942587</v>
      </c>
      <c r="AM331" s="56">
        <f t="shared" si="607"/>
        <v>-0.24574079679827299</v>
      </c>
      <c r="AN331" s="56">
        <f t="shared" si="607"/>
        <v>-0.24696950078226432</v>
      </c>
    </row>
    <row r="332" spans="1:40" s="3" customFormat="1">
      <c r="A332" s="33"/>
      <c r="B332"/>
      <c r="C332"/>
      <c r="D332" s="58" t="s">
        <v>431</v>
      </c>
      <c r="E332"/>
      <c r="F332"/>
      <c r="G332"/>
      <c r="H332"/>
      <c r="I332"/>
      <c r="J332" s="6"/>
      <c r="K332" s="6"/>
      <c r="L332" s="6"/>
      <c r="M332" s="6"/>
      <c r="N332" s="6"/>
      <c r="O332" s="6"/>
      <c r="P332" s="6"/>
      <c r="Q332" s="56">
        <f t="shared" ref="Q332:AL332" si="608">+Q369/Q318</f>
        <v>0</v>
      </c>
      <c r="R332" s="56">
        <f t="shared" si="608"/>
        <v>0</v>
      </c>
      <c r="S332" s="56">
        <f t="shared" si="608"/>
        <v>0</v>
      </c>
      <c r="T332" s="56">
        <f t="shared" si="608"/>
        <v>0</v>
      </c>
      <c r="U332" s="56">
        <f t="shared" si="608"/>
        <v>0</v>
      </c>
      <c r="V332" s="56">
        <f t="shared" si="608"/>
        <v>0</v>
      </c>
      <c r="W332" s="56">
        <f t="shared" si="608"/>
        <v>0</v>
      </c>
      <c r="X332" s="56">
        <f t="shared" si="608"/>
        <v>0</v>
      </c>
      <c r="Y332" s="56">
        <f t="shared" si="608"/>
        <v>0</v>
      </c>
      <c r="Z332" s="56">
        <f t="shared" si="608"/>
        <v>6.7058317810574586E-2</v>
      </c>
      <c r="AA332" s="56">
        <f>+AA369/AA318</f>
        <v>6.3240110859158483E-2</v>
      </c>
      <c r="AB332" s="56">
        <f>+AB369/AB318</f>
        <v>4.7973369884472296E-2</v>
      </c>
      <c r="AC332" s="56">
        <f t="shared" si="608"/>
        <v>4.9000000000000002E-2</v>
      </c>
      <c r="AD332" s="56">
        <f t="shared" si="608"/>
        <v>0.05</v>
      </c>
      <c r="AE332" s="56">
        <f t="shared" si="608"/>
        <v>0.05</v>
      </c>
      <c r="AF332" s="56">
        <f t="shared" si="608"/>
        <v>0.05</v>
      </c>
      <c r="AG332" s="56">
        <f t="shared" si="608"/>
        <v>5.000000000000001E-2</v>
      </c>
      <c r="AH332" s="56">
        <f t="shared" si="608"/>
        <v>0.05</v>
      </c>
      <c r="AI332" s="56">
        <f t="shared" si="608"/>
        <v>0.05</v>
      </c>
      <c r="AJ332" s="56">
        <f t="shared" si="608"/>
        <v>0.05</v>
      </c>
      <c r="AK332" s="56">
        <f t="shared" si="608"/>
        <v>5.000000000000001E-2</v>
      </c>
      <c r="AL332" s="56">
        <f t="shared" si="608"/>
        <v>0.05</v>
      </c>
      <c r="AM332" s="56">
        <f t="shared" ref="AM332:AN332" si="609">+AM369/AM318</f>
        <v>0.05</v>
      </c>
      <c r="AN332" s="56">
        <f t="shared" si="609"/>
        <v>5.000000000000001E-2</v>
      </c>
    </row>
    <row r="333" spans="1:40" s="3" customFormat="1">
      <c r="A333" s="33"/>
      <c r="B333"/>
      <c r="C333"/>
      <c r="D333" s="58" t="s">
        <v>141</v>
      </c>
      <c r="E333"/>
      <c r="F333"/>
      <c r="G333"/>
      <c r="H333"/>
      <c r="I333"/>
      <c r="J333" s="6"/>
      <c r="K333" s="6"/>
      <c r="L333" s="6"/>
      <c r="M333" s="6"/>
      <c r="N333" s="6"/>
      <c r="O333" s="6"/>
      <c r="P333" s="6"/>
      <c r="Q333" s="56">
        <f t="shared" ref="Q333:AL333" si="610">+Q356/Q318</f>
        <v>2.1245652362512125E-2</v>
      </c>
      <c r="R333" s="56">
        <f t="shared" si="610"/>
        <v>1.8867485365446808E-2</v>
      </c>
      <c r="S333" s="56">
        <f t="shared" si="610"/>
        <v>2.3897677549646584E-2</v>
      </c>
      <c r="T333" s="56">
        <f t="shared" si="610"/>
        <v>2.974644862900562E-2</v>
      </c>
      <c r="U333" s="56">
        <f t="shared" si="610"/>
        <v>2.2300964476127717E-2</v>
      </c>
      <c r="V333" s="56">
        <f t="shared" si="610"/>
        <v>2.2886250352905847E-2</v>
      </c>
      <c r="W333" s="56">
        <f t="shared" si="610"/>
        <v>2.183205762025631E-2</v>
      </c>
      <c r="X333" s="56">
        <f t="shared" si="610"/>
        <v>2.1698798096313622E-2</v>
      </c>
      <c r="Y333" s="56">
        <f t="shared" si="610"/>
        <v>2.202542400575145E-2</v>
      </c>
      <c r="Z333" s="56">
        <f t="shared" si="610"/>
        <v>2.2352772603524862E-2</v>
      </c>
      <c r="AA333" s="56">
        <f>+AA356/AA318</f>
        <v>2.1667926429831192E-2</v>
      </c>
      <c r="AB333" s="56">
        <f>+AB356/AB318</f>
        <v>1.8210299588799685E-2</v>
      </c>
      <c r="AC333" s="56">
        <f t="shared" si="610"/>
        <v>1.7000000000000001E-2</v>
      </c>
      <c r="AD333" s="56">
        <f t="shared" si="610"/>
        <v>1.7499999999999998E-2</v>
      </c>
      <c r="AE333" s="56">
        <f t="shared" si="610"/>
        <v>1.7999999999999999E-2</v>
      </c>
      <c r="AF333" s="56">
        <f t="shared" si="610"/>
        <v>1.8499999999999999E-2</v>
      </c>
      <c r="AG333" s="56">
        <f t="shared" si="610"/>
        <v>1.9E-2</v>
      </c>
      <c r="AH333" s="56">
        <f t="shared" si="610"/>
        <v>0.02</v>
      </c>
      <c r="AI333" s="56">
        <f t="shared" si="610"/>
        <v>0.02</v>
      </c>
      <c r="AJ333" s="56">
        <f t="shared" si="610"/>
        <v>0.02</v>
      </c>
      <c r="AK333" s="56">
        <f t="shared" si="610"/>
        <v>0.02</v>
      </c>
      <c r="AL333" s="56">
        <f t="shared" si="610"/>
        <v>0.02</v>
      </c>
      <c r="AM333" s="56">
        <f t="shared" ref="AM333:AN333" si="611">+AM356/AM318</f>
        <v>2.0000000000000004E-2</v>
      </c>
      <c r="AN333" s="56">
        <f t="shared" si="611"/>
        <v>2.0000000000000004E-2</v>
      </c>
    </row>
    <row r="334" spans="1:40" s="3" customFormat="1">
      <c r="A334" s="33"/>
      <c r="B334"/>
      <c r="C334"/>
      <c r="D334" s="58"/>
      <c r="E334"/>
      <c r="F334"/>
      <c r="G334"/>
      <c r="H334"/>
      <c r="I334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</row>
    <row r="335" spans="1:40" s="3" customFormat="1">
      <c r="A335" s="33"/>
      <c r="B335"/>
      <c r="C335"/>
      <c r="D335" s="58" t="s">
        <v>407</v>
      </c>
      <c r="E335"/>
      <c r="F335"/>
      <c r="G335"/>
      <c r="H335"/>
      <c r="I335"/>
      <c r="J335" s="6"/>
      <c r="K335" s="6"/>
      <c r="L335" s="6"/>
      <c r="M335" s="6"/>
      <c r="N335" s="6"/>
      <c r="O335" s="6"/>
      <c r="P335" s="6"/>
      <c r="Q335" s="81"/>
      <c r="R335" s="12"/>
      <c r="S335" s="12"/>
      <c r="T335" s="12"/>
      <c r="U335" s="12"/>
      <c r="V335" s="12"/>
      <c r="W335" s="12"/>
      <c r="X335" s="12"/>
      <c r="Y335" s="12"/>
      <c r="Z335" s="12"/>
      <c r="AA335" s="12">
        <f>SUM(Q322:AA322)/SUM($Q$321:$AA$321)</f>
        <v>1.2528697703596212</v>
      </c>
      <c r="AB335" s="12">
        <f>SUM(R322:AB322)/SUM($Q$321:$AB$321)</f>
        <v>1.2198753235939999</v>
      </c>
      <c r="AC335" s="42">
        <v>1.03</v>
      </c>
      <c r="AD335" s="42">
        <v>1.03</v>
      </c>
      <c r="AE335" s="42">
        <v>1.03</v>
      </c>
      <c r="AF335" s="42">
        <v>1.03</v>
      </c>
      <c r="AG335" s="42">
        <v>1.03</v>
      </c>
      <c r="AH335" s="42">
        <v>1.03</v>
      </c>
      <c r="AI335" s="42">
        <v>1.03</v>
      </c>
      <c r="AJ335" s="42">
        <v>1.03</v>
      </c>
      <c r="AK335" s="42">
        <v>1.03</v>
      </c>
      <c r="AL335" s="42">
        <v>1.03</v>
      </c>
      <c r="AM335" s="42">
        <v>1.03</v>
      </c>
      <c r="AN335" s="42">
        <v>1.03</v>
      </c>
    </row>
    <row r="336" spans="1:40" s="3" customFormat="1">
      <c r="A336" s="33"/>
      <c r="B336"/>
      <c r="C336"/>
      <c r="D336" s="58" t="s">
        <v>408</v>
      </c>
      <c r="E336"/>
      <c r="F336"/>
      <c r="G336"/>
      <c r="H336"/>
      <c r="I336"/>
      <c r="J336" s="6"/>
      <c r="K336" s="6"/>
      <c r="L336" s="6"/>
      <c r="M336" s="6"/>
      <c r="N336" s="6"/>
      <c r="O336" s="6"/>
      <c r="P336" s="6"/>
      <c r="Q336" s="81"/>
      <c r="R336" s="12"/>
      <c r="S336" s="12"/>
      <c r="T336" s="12"/>
      <c r="U336" s="12"/>
      <c r="V336" s="12"/>
      <c r="W336" s="12"/>
      <c r="X336" s="12"/>
      <c r="Y336" s="12"/>
      <c r="Z336" s="12"/>
      <c r="AA336" s="12">
        <f>SUM(Q323:AA323)/SUM($Q$321:$AA$321)</f>
        <v>0.13284042151108708</v>
      </c>
      <c r="AB336" s="12">
        <f t="shared" ref="AB336:AB339" si="612">SUM(R323:AB323)/SUM($Q$321:$AB$321)</f>
        <v>0.13853708433152792</v>
      </c>
      <c r="AC336" s="42">
        <v>0.11</v>
      </c>
      <c r="AD336" s="42">
        <v>0.11</v>
      </c>
      <c r="AE336" s="42">
        <v>0.11</v>
      </c>
      <c r="AF336" s="42">
        <v>0.11</v>
      </c>
      <c r="AG336" s="42">
        <v>0.11</v>
      </c>
      <c r="AH336" s="42">
        <v>0.11</v>
      </c>
      <c r="AI336" s="42">
        <v>0.11</v>
      </c>
      <c r="AJ336" s="42">
        <v>0.11</v>
      </c>
      <c r="AK336" s="42">
        <v>0.11</v>
      </c>
      <c r="AL336" s="42">
        <v>0.11</v>
      </c>
      <c r="AM336" s="42">
        <v>0.11</v>
      </c>
      <c r="AN336" s="42">
        <v>0.11</v>
      </c>
    </row>
    <row r="337" spans="1:40" s="3" customFormat="1">
      <c r="A337" s="33"/>
      <c r="B337"/>
      <c r="C337"/>
      <c r="D337" s="58" t="s">
        <v>409</v>
      </c>
      <c r="E337"/>
      <c r="F337"/>
      <c r="G337"/>
      <c r="H337"/>
      <c r="I337"/>
      <c r="J337" s="6"/>
      <c r="K337" s="6"/>
      <c r="L337" s="6"/>
      <c r="M337" s="6"/>
      <c r="N337" s="6"/>
      <c r="O337" s="6"/>
      <c r="P337" s="6"/>
      <c r="Q337" s="81"/>
      <c r="R337" s="12"/>
      <c r="S337" s="12"/>
      <c r="T337" s="12"/>
      <c r="U337" s="12"/>
      <c r="V337" s="12"/>
      <c r="W337" s="12"/>
      <c r="X337" s="12"/>
      <c r="Y337" s="12"/>
      <c r="Z337" s="12"/>
      <c r="AA337" s="12">
        <f>SUM(Q324:AA324)/SUM($Q$321:$AA$321)</f>
        <v>-0.34051159429655786</v>
      </c>
      <c r="AB337" s="12">
        <f t="shared" si="612"/>
        <v>-0.23025952980502651</v>
      </c>
      <c r="AC337" s="42">
        <v>-0.2</v>
      </c>
      <c r="AD337" s="42">
        <v>-0.2</v>
      </c>
      <c r="AE337" s="42">
        <v>-0.2</v>
      </c>
      <c r="AF337" s="42">
        <v>-0.2</v>
      </c>
      <c r="AG337" s="42">
        <v>-0.2</v>
      </c>
      <c r="AH337" s="42">
        <v>-0.2</v>
      </c>
      <c r="AI337" s="42">
        <v>-0.2</v>
      </c>
      <c r="AJ337" s="42">
        <v>-0.2</v>
      </c>
      <c r="AK337" s="42">
        <v>-0.2</v>
      </c>
      <c r="AL337" s="42">
        <v>-0.2</v>
      </c>
      <c r="AM337" s="42">
        <v>-0.2</v>
      </c>
      <c r="AN337" s="42">
        <v>-0.2</v>
      </c>
    </row>
    <row r="338" spans="1:40" s="3" customFormat="1">
      <c r="A338" s="33"/>
      <c r="B338"/>
      <c r="C338"/>
      <c r="D338" s="58" t="s">
        <v>428</v>
      </c>
      <c r="E338"/>
      <c r="F338"/>
      <c r="G338"/>
      <c r="H338"/>
      <c r="I338"/>
      <c r="J338" s="6"/>
      <c r="K338" s="6"/>
      <c r="L338" s="6"/>
      <c r="M338" s="6"/>
      <c r="N338" s="6"/>
      <c r="O338" s="6"/>
      <c r="P338" s="6"/>
      <c r="Q338" s="81"/>
      <c r="R338" s="12"/>
      <c r="S338" s="12"/>
      <c r="T338" s="12"/>
      <c r="U338" s="12"/>
      <c r="V338" s="12"/>
      <c r="W338" s="12"/>
      <c r="X338" s="12"/>
      <c r="Y338" s="12"/>
      <c r="Z338" s="12"/>
      <c r="AA338" s="12">
        <f>SUM(Q325:AA325)/SUM($Q$321:$AA$321)</f>
        <v>2.6111075208382701E-2</v>
      </c>
      <c r="AB338" s="12">
        <f t="shared" si="612"/>
        <v>2.8256343431365578E-2</v>
      </c>
      <c r="AC338" s="42">
        <v>0.04</v>
      </c>
      <c r="AD338" s="42">
        <v>0.04</v>
      </c>
      <c r="AE338" s="42">
        <v>0.04</v>
      </c>
      <c r="AF338" s="42">
        <v>0.04</v>
      </c>
      <c r="AG338" s="42">
        <v>0.04</v>
      </c>
      <c r="AH338" s="42">
        <v>0.04</v>
      </c>
      <c r="AI338" s="42">
        <v>0.04</v>
      </c>
      <c r="AJ338" s="42">
        <v>0.04</v>
      </c>
      <c r="AK338" s="42">
        <v>0.04</v>
      </c>
      <c r="AL338" s="42">
        <v>0.04</v>
      </c>
      <c r="AM338" s="42">
        <v>0.04</v>
      </c>
      <c r="AN338" s="42">
        <v>0.04</v>
      </c>
    </row>
    <row r="339" spans="1:40" s="3" customFormat="1">
      <c r="A339" s="33"/>
      <c r="B339"/>
      <c r="C339"/>
      <c r="D339" s="58" t="s">
        <v>410</v>
      </c>
      <c r="E339"/>
      <c r="F339"/>
      <c r="G339"/>
      <c r="H339"/>
      <c r="I339"/>
      <c r="J339" s="6"/>
      <c r="K339" s="6"/>
      <c r="L339" s="6"/>
      <c r="M339" s="6"/>
      <c r="N339" s="6"/>
      <c r="O339" s="6"/>
      <c r="P339" s="6"/>
      <c r="Q339" s="81"/>
      <c r="R339" s="12"/>
      <c r="S339" s="12"/>
      <c r="T339" s="12"/>
      <c r="U339" s="12"/>
      <c r="V339" s="12"/>
      <c r="W339" s="12"/>
      <c r="X339" s="12"/>
      <c r="Y339" s="12"/>
      <c r="Z339" s="12"/>
      <c r="AA339" s="12">
        <f>SUM(Q326:AA326)/SUM($Q$321:$AA$321)</f>
        <v>3.6093012872107304E-2</v>
      </c>
      <c r="AB339" s="12">
        <f t="shared" si="612"/>
        <v>3.3905021952824153E-2</v>
      </c>
      <c r="AC339" s="42">
        <f t="shared" ref="AC339:AL339" si="613">1-SUM(AC335:AC338)</f>
        <v>1.9999999999999796E-2</v>
      </c>
      <c r="AD339" s="42">
        <f t="shared" si="613"/>
        <v>1.9999999999999796E-2</v>
      </c>
      <c r="AE339" s="42">
        <f t="shared" si="613"/>
        <v>1.9999999999999796E-2</v>
      </c>
      <c r="AF339" s="42">
        <f t="shared" si="613"/>
        <v>1.9999999999999796E-2</v>
      </c>
      <c r="AG339" s="42">
        <f t="shared" si="613"/>
        <v>1.9999999999999796E-2</v>
      </c>
      <c r="AH339" s="42">
        <f t="shared" si="613"/>
        <v>1.9999999999999796E-2</v>
      </c>
      <c r="AI339" s="42">
        <f t="shared" si="613"/>
        <v>1.9999999999999796E-2</v>
      </c>
      <c r="AJ339" s="42">
        <f t="shared" si="613"/>
        <v>1.9999999999999796E-2</v>
      </c>
      <c r="AK339" s="42">
        <f t="shared" si="613"/>
        <v>1.9999999999999796E-2</v>
      </c>
      <c r="AL339" s="42">
        <f t="shared" si="613"/>
        <v>1.9999999999999796E-2</v>
      </c>
      <c r="AM339" s="42">
        <f t="shared" ref="AM339:AN339" si="614">1-SUM(AM335:AM338)</f>
        <v>1.9999999999999796E-2</v>
      </c>
      <c r="AN339" s="42">
        <f t="shared" si="614"/>
        <v>1.9999999999999796E-2</v>
      </c>
    </row>
    <row r="340" spans="1:40" s="3" customFormat="1">
      <c r="A340" s="33"/>
      <c r="B340"/>
      <c r="C340"/>
      <c r="D340" s="58"/>
      <c r="E340"/>
      <c r="F340"/>
      <c r="G340"/>
      <c r="H340"/>
      <c r="I340"/>
      <c r="J340" s="6"/>
      <c r="K340" s="6"/>
      <c r="L340" s="6"/>
      <c r="M340" s="6"/>
      <c r="N340" s="6"/>
      <c r="O340" s="6"/>
      <c r="P340" s="6"/>
      <c r="Q340" s="81"/>
      <c r="R340" s="12"/>
      <c r="S340" s="12"/>
      <c r="T340" s="12"/>
      <c r="U340" s="12"/>
      <c r="V340" s="12"/>
      <c r="W340" s="12"/>
      <c r="X340" s="12"/>
      <c r="Y340" s="12"/>
      <c r="Z340" s="17"/>
      <c r="AA340" s="17">
        <f>SUM(AA335:AA339)</f>
        <v>1.1074026856546402</v>
      </c>
      <c r="AB340" s="17">
        <f>SUM(AB335:AB339)</f>
        <v>1.1903142435046909</v>
      </c>
      <c r="AC340" s="17">
        <f t="shared" ref="AC340:AL340" si="615">SUM(AC335:AC339)</f>
        <v>1</v>
      </c>
      <c r="AD340" s="17">
        <f t="shared" si="615"/>
        <v>1</v>
      </c>
      <c r="AE340" s="17">
        <f t="shared" si="615"/>
        <v>1</v>
      </c>
      <c r="AF340" s="17">
        <f t="shared" si="615"/>
        <v>1</v>
      </c>
      <c r="AG340" s="17">
        <f t="shared" si="615"/>
        <v>1</v>
      </c>
      <c r="AH340" s="17">
        <f t="shared" si="615"/>
        <v>1</v>
      </c>
      <c r="AI340" s="17">
        <f t="shared" si="615"/>
        <v>1</v>
      </c>
      <c r="AJ340" s="17">
        <f t="shared" si="615"/>
        <v>1</v>
      </c>
      <c r="AK340" s="17">
        <f t="shared" si="615"/>
        <v>1</v>
      </c>
      <c r="AL340" s="17">
        <f t="shared" si="615"/>
        <v>1</v>
      </c>
      <c r="AM340" s="17">
        <f t="shared" ref="AM340:AN340" si="616">SUM(AM335:AM339)</f>
        <v>1</v>
      </c>
      <c r="AN340" s="17">
        <f t="shared" si="616"/>
        <v>1</v>
      </c>
    </row>
    <row r="341" spans="1:40" s="3" customFormat="1">
      <c r="A341" s="33"/>
      <c r="B341"/>
      <c r="C341"/>
      <c r="D341" s="58"/>
      <c r="E341"/>
      <c r="F341"/>
      <c r="G341"/>
      <c r="H341"/>
      <c r="I341"/>
      <c r="J341" s="6"/>
      <c r="K341" s="6"/>
      <c r="L341" s="6"/>
      <c r="M341" s="6"/>
      <c r="N341" s="6"/>
      <c r="O341" s="6"/>
      <c r="P341" s="6"/>
      <c r="Q341" s="81"/>
      <c r="R341" s="81"/>
      <c r="S341" s="81"/>
      <c r="T341" s="81"/>
      <c r="U341" s="81"/>
      <c r="V341" s="81"/>
      <c r="W341" s="81"/>
      <c r="X341" s="81"/>
      <c r="Y341" s="81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</row>
    <row r="342" spans="1:40" s="3" customFormat="1">
      <c r="A342" s="33"/>
      <c r="B342"/>
      <c r="C342"/>
      <c r="D342" s="58" t="s">
        <v>415</v>
      </c>
      <c r="E342"/>
      <c r="F342"/>
      <c r="G342"/>
      <c r="H342"/>
      <c r="I342"/>
      <c r="J342" s="6"/>
      <c r="K342" s="6"/>
      <c r="L342" s="6"/>
      <c r="M342" s="6"/>
      <c r="N342" s="6"/>
      <c r="O342" s="6"/>
      <c r="P342" s="6"/>
      <c r="Q342" s="6">
        <f t="shared" ref="Q342" si="617">+P345</f>
        <v>187.78800000000001</v>
      </c>
      <c r="R342" s="6">
        <f t="shared" ref="R342:X342" si="618">+Q345</f>
        <v>219.84200000000001</v>
      </c>
      <c r="S342" s="6">
        <f t="shared" si="618"/>
        <v>208.30099999999999</v>
      </c>
      <c r="T342" s="6">
        <f t="shared" si="618"/>
        <v>311.13</v>
      </c>
      <c r="U342" s="6">
        <f t="shared" si="618"/>
        <v>760.69299999999998</v>
      </c>
      <c r="V342" s="6">
        <f t="shared" si="618"/>
        <v>667.51499999999999</v>
      </c>
      <c r="W342" s="6">
        <f t="shared" si="618"/>
        <v>735.846</v>
      </c>
      <c r="X342" s="6">
        <f t="shared" si="618"/>
        <v>767.24099999999999</v>
      </c>
      <c r="Y342" s="6">
        <f>+X345</f>
        <v>922.09999999999991</v>
      </c>
      <c r="Z342" s="6">
        <f>+Y345</f>
        <v>1247.4000000000001</v>
      </c>
      <c r="AA342" s="6">
        <f>+Z345</f>
        <v>1636</v>
      </c>
      <c r="AB342" s="6">
        <f>+AA345</f>
        <v>1890</v>
      </c>
      <c r="AC342" s="6">
        <f t="shared" ref="AC342:AL342" si="619">+AB345</f>
        <v>2814</v>
      </c>
      <c r="AD342" s="6">
        <f t="shared" si="619"/>
        <v>3862.6967884615387</v>
      </c>
      <c r="AE342" s="6">
        <f t="shared" si="619"/>
        <v>4648.4546763461549</v>
      </c>
      <c r="AF342" s="6">
        <f t="shared" si="619"/>
        <v>5395.2419736841175</v>
      </c>
      <c r="AG342" s="6">
        <f t="shared" si="619"/>
        <v>6094.260514253674</v>
      </c>
      <c r="AH342" s="6">
        <f t="shared" si="619"/>
        <v>6722.9674007806361</v>
      </c>
      <c r="AI342" s="6">
        <f t="shared" si="619"/>
        <v>7397.9492792876053</v>
      </c>
      <c r="AJ342" s="6">
        <f t="shared" si="619"/>
        <v>8089.7585990947282</v>
      </c>
      <c r="AK342" s="6">
        <f t="shared" si="619"/>
        <v>8634.6562228792882</v>
      </c>
      <c r="AL342" s="6">
        <f t="shared" si="619"/>
        <v>9123.0633476504481</v>
      </c>
      <c r="AM342" s="6">
        <f t="shared" ref="AM342" si="620">+AL345</f>
        <v>9513.2141158330851</v>
      </c>
      <c r="AN342" s="6">
        <f t="shared" ref="AN342" si="621">+AM345</f>
        <v>9769.2810798360715</v>
      </c>
    </row>
    <row r="343" spans="1:40" s="3" customFormat="1">
      <c r="A343" s="33"/>
      <c r="B343"/>
      <c r="C343"/>
      <c r="D343" s="58" t="s">
        <v>311</v>
      </c>
      <c r="E343"/>
      <c r="F343"/>
      <c r="G343"/>
      <c r="H343"/>
      <c r="I343"/>
      <c r="J343" s="6"/>
      <c r="K343" s="6"/>
      <c r="L343" s="6"/>
      <c r="M343" s="6"/>
      <c r="N343" s="6"/>
      <c r="O343" s="6"/>
      <c r="P343" s="6"/>
      <c r="Q343" s="6">
        <f t="shared" ref="Q343:AB343" si="622">-Q43</f>
        <v>-67.923000000000002</v>
      </c>
      <c r="R343" s="6">
        <f t="shared" si="622"/>
        <v>-76.650000000000006</v>
      </c>
      <c r="S343" s="6">
        <f t="shared" si="622"/>
        <v>-85.1</v>
      </c>
      <c r="T343" s="6">
        <f t="shared" si="622"/>
        <v>-119.1</v>
      </c>
      <c r="U343" s="6">
        <f t="shared" si="622"/>
        <v>-173.2</v>
      </c>
      <c r="V343" s="6">
        <f t="shared" si="622"/>
        <v>-180.5</v>
      </c>
      <c r="W343" s="6">
        <f t="shared" si="622"/>
        <v>-190.6</v>
      </c>
      <c r="X343" s="6">
        <f t="shared" si="622"/>
        <v>-230.5</v>
      </c>
      <c r="Y343" s="6">
        <f t="shared" si="622"/>
        <v>-278.8</v>
      </c>
      <c r="Z343" s="6">
        <f t="shared" si="622"/>
        <v>-331</v>
      </c>
      <c r="AA343" s="6">
        <f t="shared" si="622"/>
        <v>-403</v>
      </c>
      <c r="AB343" s="6">
        <f t="shared" si="622"/>
        <v>-518</v>
      </c>
      <c r="AC343" s="60">
        <f t="shared" ref="AC343:AL343" si="623">-AC342/AC346</f>
        <v>-721.53846153846155</v>
      </c>
      <c r="AD343" s="60">
        <f t="shared" si="623"/>
        <v>-965.67419711538469</v>
      </c>
      <c r="AE343" s="60">
        <f t="shared" si="623"/>
        <v>-1162.1136690865387</v>
      </c>
      <c r="AF343" s="60">
        <f t="shared" si="623"/>
        <v>-1348.8104934210294</v>
      </c>
      <c r="AG343" s="60">
        <f t="shared" si="623"/>
        <v>-1523.5651285634185</v>
      </c>
      <c r="AH343" s="60">
        <f t="shared" si="623"/>
        <v>-1680.741850195159</v>
      </c>
      <c r="AI343" s="60">
        <f t="shared" si="623"/>
        <v>-1849.4873198219013</v>
      </c>
      <c r="AJ343" s="60">
        <f t="shared" si="623"/>
        <v>-2022.439649773682</v>
      </c>
      <c r="AK343" s="60">
        <f t="shared" si="623"/>
        <v>-2158.664055719822</v>
      </c>
      <c r="AL343" s="60">
        <f t="shared" si="623"/>
        <v>-2280.765836912612</v>
      </c>
      <c r="AM343" s="60">
        <f t="shared" ref="AM343:AN343" si="624">-AM342/AM346</f>
        <v>-2378.3035289582713</v>
      </c>
      <c r="AN343" s="60">
        <f t="shared" si="624"/>
        <v>-2442.3202699590179</v>
      </c>
    </row>
    <row r="344" spans="1:40" s="3" customFormat="1">
      <c r="A344" s="33"/>
      <c r="B344"/>
      <c r="C344"/>
      <c r="D344" s="58" t="s">
        <v>416</v>
      </c>
      <c r="E344"/>
      <c r="F344"/>
      <c r="G344"/>
      <c r="H344"/>
      <c r="I344"/>
      <c r="J344" s="6"/>
      <c r="K344" s="6"/>
      <c r="L344" s="6"/>
      <c r="M344" s="6"/>
      <c r="N344" s="6"/>
      <c r="O344" s="6"/>
      <c r="P344" s="6"/>
      <c r="Q344" s="6">
        <f t="shared" ref="Q344" si="625">+Q345-Q343-Q342</f>
        <v>99.976999999999975</v>
      </c>
      <c r="R344" s="6">
        <f t="shared" ref="R344:Z344" si="626">+R345-R343-R342</f>
        <v>65.109000000000009</v>
      </c>
      <c r="S344" s="6">
        <f t="shared" si="626"/>
        <v>187.92900000000003</v>
      </c>
      <c r="T344" s="6">
        <f t="shared" si="626"/>
        <v>568.66300000000001</v>
      </c>
      <c r="U344" s="6">
        <f t="shared" si="626"/>
        <v>80.021999999999935</v>
      </c>
      <c r="V344" s="6">
        <f t="shared" si="626"/>
        <v>248.83100000000002</v>
      </c>
      <c r="W344" s="6">
        <f t="shared" si="626"/>
        <v>221.995</v>
      </c>
      <c r="X344" s="6">
        <f t="shared" si="626"/>
        <v>385.35899999999992</v>
      </c>
      <c r="Y344" s="6">
        <f t="shared" si="626"/>
        <v>604.10000000000014</v>
      </c>
      <c r="Z344" s="6">
        <f t="shared" si="626"/>
        <v>719.59999999999991</v>
      </c>
      <c r="AA344" s="6">
        <f t="shared" ref="AA344:AB344" si="627">+AA345-AA343-AA342</f>
        <v>657</v>
      </c>
      <c r="AB344" s="6">
        <f t="shared" si="627"/>
        <v>1442</v>
      </c>
      <c r="AC344" s="60">
        <f t="shared" ref="AC344:AL344" si="628">+AC322</f>
        <v>1770.23525</v>
      </c>
      <c r="AD344" s="60">
        <f t="shared" si="628"/>
        <v>1751.4320850000004</v>
      </c>
      <c r="AE344" s="60">
        <f t="shared" si="628"/>
        <v>1908.9009664245011</v>
      </c>
      <c r="AF344" s="60">
        <f t="shared" si="628"/>
        <v>2047.8290339905866</v>
      </c>
      <c r="AG344" s="60">
        <f t="shared" si="628"/>
        <v>2152.2720150903806</v>
      </c>
      <c r="AH344" s="60">
        <f t="shared" si="628"/>
        <v>2355.723728702128</v>
      </c>
      <c r="AI344" s="60">
        <f t="shared" si="628"/>
        <v>2541.296639629024</v>
      </c>
      <c r="AJ344" s="60">
        <f t="shared" si="628"/>
        <v>2567.337273558242</v>
      </c>
      <c r="AK344" s="60">
        <f t="shared" si="628"/>
        <v>2647.0711804909815</v>
      </c>
      <c r="AL344" s="60">
        <f t="shared" si="628"/>
        <v>2670.9166050952485</v>
      </c>
      <c r="AM344" s="60">
        <f t="shared" ref="AM344:AN344" si="629">+AM322</f>
        <v>2634.3704929612577</v>
      </c>
      <c r="AN344" s="60">
        <f t="shared" si="629"/>
        <v>2701.0633089703306</v>
      </c>
    </row>
    <row r="345" spans="1:40" s="3" customFormat="1">
      <c r="A345" s="33"/>
      <c r="D345" s="149" t="s">
        <v>310</v>
      </c>
      <c r="E345" s="2"/>
      <c r="F345" s="2"/>
      <c r="G345" s="2"/>
      <c r="H345" s="2"/>
      <c r="I345" s="2"/>
      <c r="J345" s="7"/>
      <c r="K345" s="7"/>
      <c r="L345" s="7"/>
      <c r="M345" s="7"/>
      <c r="N345" s="7"/>
      <c r="O345" s="7"/>
      <c r="P345" s="7">
        <f t="shared" ref="P345:AB345" si="630">+P235</f>
        <v>187.78800000000001</v>
      </c>
      <c r="Q345" s="7">
        <f t="shared" si="630"/>
        <v>219.84200000000001</v>
      </c>
      <c r="R345" s="7">
        <f t="shared" si="630"/>
        <v>208.30099999999999</v>
      </c>
      <c r="S345" s="7">
        <f t="shared" si="630"/>
        <v>311.13</v>
      </c>
      <c r="T345" s="7">
        <f t="shared" si="630"/>
        <v>760.69299999999998</v>
      </c>
      <c r="U345" s="7">
        <f t="shared" si="630"/>
        <v>667.51499999999999</v>
      </c>
      <c r="V345" s="7">
        <f t="shared" si="630"/>
        <v>735.846</v>
      </c>
      <c r="W345" s="7">
        <f t="shared" si="630"/>
        <v>767.24099999999999</v>
      </c>
      <c r="X345" s="7">
        <f t="shared" si="630"/>
        <v>922.09999999999991</v>
      </c>
      <c r="Y345" s="7">
        <f t="shared" si="630"/>
        <v>1247.4000000000001</v>
      </c>
      <c r="Z345" s="7">
        <f t="shared" si="630"/>
        <v>1636</v>
      </c>
      <c r="AA345" s="7">
        <f t="shared" si="630"/>
        <v>1890</v>
      </c>
      <c r="AB345" s="7">
        <f t="shared" si="630"/>
        <v>2814</v>
      </c>
      <c r="AC345" s="87">
        <f t="shared" ref="AC345:AL345" si="631">SUM(AC342:AC344)</f>
        <v>3862.6967884615387</v>
      </c>
      <c r="AD345" s="87">
        <f t="shared" si="631"/>
        <v>4648.4546763461549</v>
      </c>
      <c r="AE345" s="87">
        <f t="shared" si="631"/>
        <v>5395.2419736841175</v>
      </c>
      <c r="AF345" s="87">
        <f t="shared" si="631"/>
        <v>6094.260514253674</v>
      </c>
      <c r="AG345" s="87">
        <f t="shared" si="631"/>
        <v>6722.9674007806361</v>
      </c>
      <c r="AH345" s="87">
        <f t="shared" si="631"/>
        <v>7397.9492792876053</v>
      </c>
      <c r="AI345" s="87">
        <f t="shared" si="631"/>
        <v>8089.7585990947282</v>
      </c>
      <c r="AJ345" s="87">
        <f t="shared" si="631"/>
        <v>8634.6562228792882</v>
      </c>
      <c r="AK345" s="87">
        <f t="shared" si="631"/>
        <v>9123.0633476504481</v>
      </c>
      <c r="AL345" s="87">
        <f t="shared" si="631"/>
        <v>9513.2141158330851</v>
      </c>
      <c r="AM345" s="87">
        <f t="shared" ref="AM345:AN345" si="632">SUM(AM342:AM344)</f>
        <v>9769.2810798360715</v>
      </c>
      <c r="AN345" s="87">
        <f t="shared" si="632"/>
        <v>10028.024118847385</v>
      </c>
    </row>
    <row r="346" spans="1:40" s="3" customFormat="1">
      <c r="A346" s="33"/>
      <c r="B346"/>
      <c r="C346"/>
      <c r="D346" s="58" t="s">
        <v>417</v>
      </c>
      <c r="E346"/>
      <c r="F346"/>
      <c r="G346"/>
      <c r="H346"/>
      <c r="I346"/>
      <c r="J346" s="6"/>
      <c r="K346" s="6"/>
      <c r="L346" s="6"/>
      <c r="M346" s="6"/>
      <c r="N346" s="6"/>
      <c r="O346" s="6"/>
      <c r="P346" s="81"/>
      <c r="Q346" s="81">
        <f t="shared" ref="Q346" si="633">P345/-Q343</f>
        <v>2.7647188728413057</v>
      </c>
      <c r="R346" s="81">
        <f>Q345/-R343</f>
        <v>2.8681278538812784</v>
      </c>
      <c r="S346" s="81">
        <f t="shared" ref="S346:AB346" si="634">R345/-S343</f>
        <v>2.4477203290246767</v>
      </c>
      <c r="T346" s="81">
        <f t="shared" si="634"/>
        <v>2.6123425692695217</v>
      </c>
      <c r="U346" s="81">
        <f t="shared" si="634"/>
        <v>4.3919919168591228</v>
      </c>
      <c r="V346" s="81">
        <f t="shared" si="634"/>
        <v>3.6981440443213294</v>
      </c>
      <c r="W346" s="81">
        <f t="shared" si="634"/>
        <v>3.860682056663169</v>
      </c>
      <c r="X346" s="81">
        <f t="shared" si="634"/>
        <v>3.3285943600867678</v>
      </c>
      <c r="Y346" s="81">
        <f t="shared" si="634"/>
        <v>3.3073888091822088</v>
      </c>
      <c r="Z346" s="81">
        <f t="shared" si="634"/>
        <v>3.7685800604229609</v>
      </c>
      <c r="AA346" s="81">
        <f t="shared" si="634"/>
        <v>4.0595533498759302</v>
      </c>
      <c r="AB346" s="81">
        <f t="shared" si="634"/>
        <v>3.6486486486486487</v>
      </c>
      <c r="AC346" s="89">
        <v>3.9</v>
      </c>
      <c r="AD346" s="89">
        <v>4</v>
      </c>
      <c r="AE346" s="89">
        <v>4</v>
      </c>
      <c r="AF346" s="89">
        <v>4</v>
      </c>
      <c r="AG346" s="89">
        <v>4</v>
      </c>
      <c r="AH346" s="89">
        <v>4</v>
      </c>
      <c r="AI346" s="89">
        <v>4</v>
      </c>
      <c r="AJ346" s="89">
        <v>4</v>
      </c>
      <c r="AK346" s="89">
        <v>4</v>
      </c>
      <c r="AL346" s="89">
        <v>4</v>
      </c>
      <c r="AM346" s="89">
        <v>4</v>
      </c>
      <c r="AN346" s="89">
        <v>4</v>
      </c>
    </row>
    <row r="347" spans="1:40" s="3" customFormat="1">
      <c r="A347" s="33"/>
      <c r="B347"/>
      <c r="C347"/>
      <c r="D347" s="58"/>
      <c r="E347"/>
      <c r="F347"/>
      <c r="G347"/>
      <c r="H347"/>
      <c r="I347"/>
      <c r="J347" s="6"/>
      <c r="K347" s="6"/>
      <c r="L347" s="6"/>
      <c r="M347" s="6"/>
      <c r="N347" s="6"/>
      <c r="O347" s="6"/>
      <c r="P347" s="81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140"/>
      <c r="AK347" s="140"/>
      <c r="AL347" s="140"/>
      <c r="AM347" s="140"/>
      <c r="AN347" s="140"/>
    </row>
    <row r="348" spans="1:40" s="3" customFormat="1">
      <c r="A348" s="33"/>
      <c r="B348"/>
      <c r="C348"/>
      <c r="D348" s="58" t="s">
        <v>418</v>
      </c>
      <c r="E348"/>
      <c r="F348"/>
      <c r="G348"/>
      <c r="H348"/>
      <c r="I348"/>
      <c r="J348" s="6"/>
      <c r="K348" s="6"/>
      <c r="L348" s="6"/>
      <c r="M348" s="6"/>
      <c r="N348" s="6"/>
      <c r="O348" s="6"/>
      <c r="P348" s="6"/>
      <c r="Q348" s="6">
        <f t="shared" ref="Q348" si="635">+P351</f>
        <v>40.976999999999997</v>
      </c>
      <c r="R348" s="6">
        <f t="shared" ref="R348:X348" si="636">+Q351</f>
        <v>50.145000000000003</v>
      </c>
      <c r="S348" s="6">
        <f t="shared" si="636"/>
        <v>59.491</v>
      </c>
      <c r="T348" s="6">
        <f t="shared" si="636"/>
        <v>91.224999999999994</v>
      </c>
      <c r="U348" s="6">
        <f t="shared" si="636"/>
        <v>220.96899999999999</v>
      </c>
      <c r="V348" s="6">
        <f t="shared" si="636"/>
        <v>219.92</v>
      </c>
      <c r="W348" s="6">
        <f t="shared" si="636"/>
        <v>216.26300000000001</v>
      </c>
      <c r="X348" s="6">
        <f t="shared" si="636"/>
        <v>226.50200000000001</v>
      </c>
      <c r="Y348" s="6">
        <f>+X351</f>
        <v>259.2</v>
      </c>
      <c r="Z348" s="6">
        <f>+Y351</f>
        <v>301.89999999999998</v>
      </c>
      <c r="AA348" s="6">
        <f>+Z351</f>
        <v>361</v>
      </c>
      <c r="AB348" s="6">
        <f>+AA351</f>
        <v>435</v>
      </c>
      <c r="AC348" s="6">
        <f t="shared" ref="AC348:AL348" si="637">+AB351</f>
        <v>614</v>
      </c>
      <c r="AD348" s="6">
        <f t="shared" si="637"/>
        <v>803.05425000000002</v>
      </c>
      <c r="AE348" s="6">
        <f t="shared" si="637"/>
        <v>990.10039500000005</v>
      </c>
      <c r="AF348" s="6">
        <f t="shared" si="637"/>
        <v>1193.9636050065001</v>
      </c>
      <c r="AG348" s="6">
        <f t="shared" si="637"/>
        <v>1412.6637931025821</v>
      </c>
      <c r="AH348" s="6">
        <f t="shared" si="637"/>
        <v>1642.518085976312</v>
      </c>
      <c r="AI348" s="6">
        <f t="shared" si="637"/>
        <v>1894.1002317600344</v>
      </c>
      <c r="AJ348" s="6">
        <f t="shared" si="637"/>
        <v>2165.5008437592505</v>
      </c>
      <c r="AK348" s="6">
        <f t="shared" si="637"/>
        <v>2439.6824943334318</v>
      </c>
      <c r="AL348" s="6">
        <f t="shared" si="637"/>
        <v>2722.3794165217892</v>
      </c>
      <c r="AM348" s="6">
        <f t="shared" ref="AM348" si="638">+AL351</f>
        <v>3007.6229374542913</v>
      </c>
      <c r="AN348" s="6">
        <f t="shared" ref="AN348" si="639">+AM351</f>
        <v>3288.9634755375323</v>
      </c>
    </row>
    <row r="349" spans="1:40" s="3" customFormat="1">
      <c r="A349" s="33"/>
      <c r="B349"/>
      <c r="C349"/>
      <c r="D349" s="58" t="s">
        <v>97</v>
      </c>
      <c r="E349"/>
      <c r="F349"/>
      <c r="G349"/>
      <c r="H349"/>
      <c r="I349"/>
      <c r="J349" s="6"/>
      <c r="K349" s="6"/>
      <c r="L349" s="6"/>
      <c r="M349" s="6"/>
      <c r="N349" s="6"/>
      <c r="O349" s="6"/>
      <c r="P349" s="6"/>
      <c r="Q349" s="6">
        <f t="shared" ref="Q349:AN349" si="640">+Q14</f>
        <v>-0.48899999999999999</v>
      </c>
      <c r="R349" s="6">
        <f t="shared" si="640"/>
        <v>-0.48899999999999999</v>
      </c>
      <c r="S349" s="6">
        <f t="shared" si="640"/>
        <v>0</v>
      </c>
      <c r="T349" s="6">
        <f t="shared" si="640"/>
        <v>0</v>
      </c>
      <c r="U349" s="6">
        <f t="shared" si="640"/>
        <v>0</v>
      </c>
      <c r="V349" s="6">
        <f t="shared" si="640"/>
        <v>0</v>
      </c>
      <c r="W349" s="6">
        <f t="shared" si="640"/>
        <v>0</v>
      </c>
      <c r="X349" s="6">
        <f t="shared" si="640"/>
        <v>0</v>
      </c>
      <c r="Y349" s="6">
        <f t="shared" si="640"/>
        <v>0</v>
      </c>
      <c r="Z349" s="6">
        <f t="shared" si="640"/>
        <v>0</v>
      </c>
      <c r="AA349" s="6">
        <f t="shared" si="640"/>
        <v>-12</v>
      </c>
      <c r="AB349" s="6">
        <f t="shared" si="640"/>
        <v>-12</v>
      </c>
      <c r="AC349" s="6">
        <f t="shared" si="640"/>
        <v>0</v>
      </c>
      <c r="AD349" s="6">
        <f t="shared" si="640"/>
        <v>0</v>
      </c>
      <c r="AE349" s="6">
        <f t="shared" si="640"/>
        <v>0</v>
      </c>
      <c r="AF349" s="6">
        <f t="shared" si="640"/>
        <v>0</v>
      </c>
      <c r="AG349" s="6">
        <f t="shared" si="640"/>
        <v>0</v>
      </c>
      <c r="AH349" s="6">
        <f t="shared" si="640"/>
        <v>0</v>
      </c>
      <c r="AI349" s="6">
        <f t="shared" si="640"/>
        <v>0</v>
      </c>
      <c r="AJ349" s="6">
        <f t="shared" si="640"/>
        <v>0</v>
      </c>
      <c r="AK349" s="6">
        <f t="shared" si="640"/>
        <v>0</v>
      </c>
      <c r="AL349" s="6">
        <f t="shared" si="640"/>
        <v>0</v>
      </c>
      <c r="AM349" s="6">
        <f t="shared" si="640"/>
        <v>0</v>
      </c>
      <c r="AN349" s="6">
        <f t="shared" si="640"/>
        <v>0</v>
      </c>
    </row>
    <row r="350" spans="1:40" s="3" customFormat="1">
      <c r="A350" s="33"/>
      <c r="B350"/>
      <c r="C350"/>
      <c r="D350" s="58" t="s">
        <v>416</v>
      </c>
      <c r="E350"/>
      <c r="F350"/>
      <c r="G350"/>
      <c r="H350"/>
      <c r="I350"/>
      <c r="J350" s="6"/>
      <c r="K350" s="6"/>
      <c r="L350" s="6"/>
      <c r="M350" s="6"/>
      <c r="N350" s="6"/>
      <c r="O350" s="6"/>
      <c r="P350" s="6"/>
      <c r="Q350" s="6">
        <f t="shared" ref="Q350" si="641">+Q351-Q349-Q348</f>
        <v>9.6570000000000036</v>
      </c>
      <c r="R350" s="6">
        <f t="shared" ref="R350:Y350" si="642">+R351-R349-R348</f>
        <v>9.8349999999999937</v>
      </c>
      <c r="S350" s="6">
        <f t="shared" si="642"/>
        <v>31.733999999999995</v>
      </c>
      <c r="T350" s="6">
        <f t="shared" si="642"/>
        <v>129.744</v>
      </c>
      <c r="U350" s="6">
        <f t="shared" si="642"/>
        <v>-1.0490000000000066</v>
      </c>
      <c r="V350" s="6">
        <f t="shared" si="642"/>
        <v>-3.6569999999999823</v>
      </c>
      <c r="W350" s="6">
        <f t="shared" si="642"/>
        <v>10.239000000000004</v>
      </c>
      <c r="X350" s="6">
        <f t="shared" si="642"/>
        <v>32.697999999999979</v>
      </c>
      <c r="Y350" s="6">
        <f t="shared" si="642"/>
        <v>42.699999999999989</v>
      </c>
      <c r="Z350" s="6">
        <f t="shared" ref="Z350:AA350" si="643">+Z351-Z349-Z348</f>
        <v>59.100000000000023</v>
      </c>
      <c r="AA350" s="6">
        <f t="shared" si="643"/>
        <v>86</v>
      </c>
      <c r="AB350" s="6">
        <f>+AB351-AB349-AB348</f>
        <v>191</v>
      </c>
      <c r="AC350" s="60">
        <f t="shared" ref="AC350:AL350" si="644">+AC323</f>
        <v>189.05425</v>
      </c>
      <c r="AD350" s="60">
        <f t="shared" si="644"/>
        <v>187.04614500000005</v>
      </c>
      <c r="AE350" s="60">
        <f t="shared" si="644"/>
        <v>203.86321000650011</v>
      </c>
      <c r="AF350" s="60">
        <f t="shared" si="644"/>
        <v>218.70018809608206</v>
      </c>
      <c r="AG350" s="60">
        <f t="shared" si="644"/>
        <v>229.85429287372997</v>
      </c>
      <c r="AH350" s="60">
        <f t="shared" si="644"/>
        <v>251.58214578372238</v>
      </c>
      <c r="AI350" s="60">
        <f t="shared" si="644"/>
        <v>271.4006119992161</v>
      </c>
      <c r="AJ350" s="60">
        <f t="shared" si="644"/>
        <v>274.18165057418122</v>
      </c>
      <c r="AK350" s="60">
        <f t="shared" si="644"/>
        <v>282.69692218835723</v>
      </c>
      <c r="AL350" s="60">
        <f t="shared" si="644"/>
        <v>285.24352093250229</v>
      </c>
      <c r="AM350" s="60">
        <f t="shared" ref="AM350:AN350" si="645">+AM323</f>
        <v>281.34053808324109</v>
      </c>
      <c r="AN350" s="60">
        <f t="shared" si="645"/>
        <v>288.46307183178288</v>
      </c>
    </row>
    <row r="351" spans="1:40" s="3" customFormat="1">
      <c r="A351" s="33"/>
      <c r="D351" s="149" t="s">
        <v>419</v>
      </c>
      <c r="E351" s="2"/>
      <c r="F351" s="2"/>
      <c r="G351" s="2"/>
      <c r="H351" s="2"/>
      <c r="I351" s="2"/>
      <c r="J351" s="7"/>
      <c r="K351" s="7"/>
      <c r="L351" s="7"/>
      <c r="M351" s="7"/>
      <c r="N351" s="7"/>
      <c r="O351" s="7"/>
      <c r="P351" s="7">
        <f t="shared" ref="P351:AB351" si="646">+P234</f>
        <v>40.976999999999997</v>
      </c>
      <c r="Q351" s="7">
        <f t="shared" si="646"/>
        <v>50.145000000000003</v>
      </c>
      <c r="R351" s="7">
        <f t="shared" si="646"/>
        <v>59.491</v>
      </c>
      <c r="S351" s="7">
        <f t="shared" si="646"/>
        <v>91.224999999999994</v>
      </c>
      <c r="T351" s="7">
        <f t="shared" si="646"/>
        <v>220.96899999999999</v>
      </c>
      <c r="U351" s="7">
        <f t="shared" si="646"/>
        <v>219.92</v>
      </c>
      <c r="V351" s="7">
        <f t="shared" si="646"/>
        <v>216.26300000000001</v>
      </c>
      <c r="W351" s="7">
        <f t="shared" si="646"/>
        <v>226.50200000000001</v>
      </c>
      <c r="X351" s="7">
        <f t="shared" si="646"/>
        <v>259.2</v>
      </c>
      <c r="Y351" s="7">
        <f t="shared" si="646"/>
        <v>301.89999999999998</v>
      </c>
      <c r="Z351" s="7">
        <f t="shared" si="646"/>
        <v>361</v>
      </c>
      <c r="AA351" s="7">
        <f t="shared" si="646"/>
        <v>435</v>
      </c>
      <c r="AB351" s="7">
        <f t="shared" si="646"/>
        <v>614</v>
      </c>
      <c r="AC351" s="87">
        <f t="shared" ref="AC351" si="647">SUM(AC348:AC350)</f>
        <v>803.05425000000002</v>
      </c>
      <c r="AD351" s="87">
        <f t="shared" ref="AD351" si="648">SUM(AD348:AD350)</f>
        <v>990.10039500000005</v>
      </c>
      <c r="AE351" s="87">
        <f t="shared" ref="AE351" si="649">SUM(AE348:AE350)</f>
        <v>1193.9636050065001</v>
      </c>
      <c r="AF351" s="87">
        <f t="shared" ref="AF351" si="650">SUM(AF348:AF350)</f>
        <v>1412.6637931025821</v>
      </c>
      <c r="AG351" s="87">
        <f t="shared" ref="AG351" si="651">SUM(AG348:AG350)</f>
        <v>1642.518085976312</v>
      </c>
      <c r="AH351" s="87">
        <f t="shared" ref="AH351" si="652">SUM(AH348:AH350)</f>
        <v>1894.1002317600344</v>
      </c>
      <c r="AI351" s="87">
        <f t="shared" ref="AI351" si="653">SUM(AI348:AI350)</f>
        <v>2165.5008437592505</v>
      </c>
      <c r="AJ351" s="87">
        <f t="shared" ref="AJ351" si="654">SUM(AJ348:AJ350)</f>
        <v>2439.6824943334318</v>
      </c>
      <c r="AK351" s="87">
        <f t="shared" ref="AK351" si="655">SUM(AK348:AK350)</f>
        <v>2722.3794165217892</v>
      </c>
      <c r="AL351" s="87">
        <f t="shared" ref="AL351" si="656">SUM(AL348:AL350)</f>
        <v>3007.6229374542913</v>
      </c>
      <c r="AM351" s="87">
        <f t="shared" ref="AM351:AN351" si="657">SUM(AM348:AM350)</f>
        <v>3288.9634755375323</v>
      </c>
      <c r="AN351" s="87">
        <f t="shared" si="657"/>
        <v>3577.4265473693154</v>
      </c>
    </row>
    <row r="352" spans="1:40" s="3" customFormat="1">
      <c r="A352" s="33"/>
      <c r="B352"/>
      <c r="C352"/>
      <c r="D352" s="58"/>
      <c r="E352"/>
      <c r="F352"/>
      <c r="G352"/>
      <c r="H352"/>
      <c r="I352"/>
      <c r="J352" s="6"/>
      <c r="K352" s="6"/>
      <c r="L352" s="6"/>
      <c r="M352" s="6"/>
      <c r="N352" s="6"/>
      <c r="O352" s="6"/>
      <c r="P352" s="6"/>
      <c r="Q352" s="81"/>
      <c r="R352" s="81"/>
      <c r="S352" s="81"/>
      <c r="T352" s="81"/>
      <c r="U352" s="81"/>
      <c r="V352" s="81"/>
      <c r="W352" s="81"/>
      <c r="X352" s="81"/>
      <c r="Y352" s="81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  <c r="AL352" s="60"/>
      <c r="AM352" s="60"/>
      <c r="AN352" s="60"/>
    </row>
    <row r="353" spans="1:40" s="3" customFormat="1">
      <c r="A353" s="33"/>
      <c r="B353"/>
      <c r="C353"/>
      <c r="D353" s="58" t="s">
        <v>422</v>
      </c>
      <c r="E353"/>
      <c r="F353"/>
      <c r="G353"/>
      <c r="H353"/>
      <c r="I353"/>
      <c r="J353" s="6"/>
      <c r="K353" s="6"/>
      <c r="L353" s="6"/>
      <c r="M353" s="6"/>
      <c r="N353" s="6"/>
      <c r="O353" s="6"/>
      <c r="P353" s="6"/>
      <c r="Q353" s="6">
        <f t="shared" ref="Q353:X353" si="658">+P356</f>
        <v>10.539</v>
      </c>
      <c r="R353" s="6">
        <f t="shared" si="658"/>
        <v>13.468999999999999</v>
      </c>
      <c r="S353" s="6">
        <f t="shared" si="658"/>
        <v>14.590999999999999</v>
      </c>
      <c r="T353" s="6">
        <f t="shared" si="658"/>
        <v>21.3</v>
      </c>
      <c r="U353" s="6">
        <f t="shared" si="658"/>
        <v>36.017000000000003</v>
      </c>
      <c r="V353" s="6">
        <f t="shared" si="658"/>
        <v>37.226999999999997</v>
      </c>
      <c r="W353" s="6">
        <f t="shared" si="658"/>
        <v>42.072000000000003</v>
      </c>
      <c r="X353" s="6">
        <f t="shared" si="658"/>
        <v>46.395000000000003</v>
      </c>
      <c r="Y353" s="6">
        <f>+X356</f>
        <v>53.8</v>
      </c>
      <c r="Z353" s="6">
        <f t="shared" ref="Z353:AL353" si="659">+Y356</f>
        <v>67.400000000000006</v>
      </c>
      <c r="AA353" s="6">
        <f t="shared" si="659"/>
        <v>78</v>
      </c>
      <c r="AB353" s="6">
        <f>+AA356</f>
        <v>86</v>
      </c>
      <c r="AC353" s="6">
        <f t="shared" si="659"/>
        <v>93</v>
      </c>
      <c r="AD353" s="6">
        <f t="shared" si="659"/>
        <v>111.181275</v>
      </c>
      <c r="AE353" s="6">
        <f t="shared" si="659"/>
        <v>135.98651325</v>
      </c>
      <c r="AF353" s="6">
        <f t="shared" si="659"/>
        <v>165.989348361</v>
      </c>
      <c r="AG353" s="6">
        <f t="shared" si="659"/>
        <v>201.55011935557874</v>
      </c>
      <c r="AH353" s="6">
        <f t="shared" si="659"/>
        <v>240.4820028118292</v>
      </c>
      <c r="AI353" s="6">
        <f t="shared" si="659"/>
        <v>291.64045991749003</v>
      </c>
      <c r="AJ353" s="6">
        <f t="shared" si="659"/>
        <v>333.17433046152519</v>
      </c>
      <c r="AK353" s="6">
        <f t="shared" si="659"/>
        <v>375.72690349329804</v>
      </c>
      <c r="AL353" s="6">
        <f t="shared" si="659"/>
        <v>420.06648457113721</v>
      </c>
      <c r="AM353" s="6">
        <f t="shared" ref="AM353" si="660">+AL356</f>
        <v>465.55472223930855</v>
      </c>
      <c r="AN353" s="6">
        <f t="shared" ref="AN353" si="661">+AM356</f>
        <v>511.43667715399636</v>
      </c>
    </row>
    <row r="354" spans="1:40" s="3" customFormat="1">
      <c r="A354" s="33"/>
      <c r="B354"/>
      <c r="C354"/>
      <c r="D354" s="58" t="s">
        <v>423</v>
      </c>
      <c r="E354"/>
      <c r="F354"/>
      <c r="G354"/>
      <c r="H354"/>
      <c r="I354"/>
      <c r="J354" s="6"/>
      <c r="K354" s="6"/>
      <c r="L354" s="6"/>
      <c r="M354" s="6"/>
      <c r="N354" s="6"/>
      <c r="O354" s="6"/>
      <c r="P354" s="6"/>
      <c r="Q354" s="6">
        <f t="shared" ref="Q354:Y354" si="662">-Q360</f>
        <v>-6.7560000000000002</v>
      </c>
      <c r="R354" s="6">
        <f t="shared" si="662"/>
        <v>-7.8680000000000003</v>
      </c>
      <c r="S354" s="6">
        <f t="shared" si="662"/>
        <v>-7.6</v>
      </c>
      <c r="T354" s="6">
        <f t="shared" si="662"/>
        <v>-9.9</v>
      </c>
      <c r="U354" s="6">
        <f t="shared" si="662"/>
        <v>-16.5</v>
      </c>
      <c r="V354" s="6">
        <f t="shared" si="662"/>
        <v>-17</v>
      </c>
      <c r="W354" s="6">
        <f t="shared" si="662"/>
        <v>-22.4</v>
      </c>
      <c r="X354" s="6">
        <f t="shared" si="662"/>
        <v>-22.6</v>
      </c>
      <c r="Y354" s="6">
        <f t="shared" si="662"/>
        <v>-27</v>
      </c>
      <c r="Z354" s="6">
        <f>-Z360</f>
        <v>-32</v>
      </c>
      <c r="AA354" s="6">
        <f>-AA360</f>
        <v>-47</v>
      </c>
      <c r="AB354" s="6">
        <f>-AB360</f>
        <v>-58</v>
      </c>
      <c r="AC354" s="6">
        <f t="shared" ref="AC354:AL354" si="663">-AC360</f>
        <v>-54.705882352941181</v>
      </c>
      <c r="AD354" s="6">
        <f t="shared" si="663"/>
        <v>-61.767375000000001</v>
      </c>
      <c r="AE354" s="6">
        <f t="shared" si="663"/>
        <v>-67.993256625000001</v>
      </c>
      <c r="AF354" s="6">
        <f t="shared" si="663"/>
        <v>-82.994674180499999</v>
      </c>
      <c r="AG354" s="6">
        <f t="shared" si="663"/>
        <v>-100.77505967778937</v>
      </c>
      <c r="AH354" s="6">
        <f t="shared" si="663"/>
        <v>-120.2410014059146</v>
      </c>
      <c r="AI354" s="6">
        <f t="shared" si="663"/>
        <v>-145.82022995874502</v>
      </c>
      <c r="AJ354" s="6">
        <f t="shared" si="663"/>
        <v>-166.58716523076259</v>
      </c>
      <c r="AK354" s="6">
        <f t="shared" si="663"/>
        <v>-187.86345174664902</v>
      </c>
      <c r="AL354" s="6">
        <f t="shared" si="663"/>
        <v>-210.0332422855686</v>
      </c>
      <c r="AM354" s="6">
        <f t="shared" ref="AM354:AN354" si="664">-AM360</f>
        <v>-232.77736111965427</v>
      </c>
      <c r="AN354" s="6">
        <f t="shared" si="664"/>
        <v>-255.71833857699815</v>
      </c>
    </row>
    <row r="355" spans="1:40" s="3" customFormat="1">
      <c r="A355" s="33"/>
      <c r="B355"/>
      <c r="C355"/>
      <c r="D355" s="58" t="s">
        <v>416</v>
      </c>
      <c r="E355"/>
      <c r="F355"/>
      <c r="G355"/>
      <c r="H355"/>
      <c r="I355"/>
      <c r="J355" s="6"/>
      <c r="K355" s="6"/>
      <c r="L355" s="6"/>
      <c r="M355" s="6"/>
      <c r="N355" s="6"/>
      <c r="O355" s="6"/>
      <c r="P355" s="6"/>
      <c r="Q355" s="6">
        <f t="shared" ref="Q355" si="665">+Q356-Q354-Q353</f>
        <v>9.6860000000000017</v>
      </c>
      <c r="R355" s="6">
        <f t="shared" ref="R355:Y355" si="666">+R356-R354-R353</f>
        <v>8.99</v>
      </c>
      <c r="S355" s="6">
        <f t="shared" si="666"/>
        <v>14.308999999999999</v>
      </c>
      <c r="T355" s="6">
        <f t="shared" si="666"/>
        <v>24.617000000000001</v>
      </c>
      <c r="U355" s="6">
        <f t="shared" si="666"/>
        <v>17.709999999999994</v>
      </c>
      <c r="V355" s="6">
        <f t="shared" si="666"/>
        <v>21.845000000000006</v>
      </c>
      <c r="W355" s="6">
        <f t="shared" si="666"/>
        <v>26.722999999999999</v>
      </c>
      <c r="X355" s="6">
        <f t="shared" si="666"/>
        <v>30.005000000000003</v>
      </c>
      <c r="Y355" s="6">
        <f t="shared" si="666"/>
        <v>40.600000000000009</v>
      </c>
      <c r="Z355" s="6">
        <f t="shared" ref="Z355:AA355" si="667">+Z356-Z354-Z353</f>
        <v>42.599999999999994</v>
      </c>
      <c r="AA355" s="6">
        <f t="shared" si="667"/>
        <v>55</v>
      </c>
      <c r="AB355" s="6">
        <f>+AB356-AB354-AB353</f>
        <v>65</v>
      </c>
      <c r="AC355" s="60">
        <f t="shared" ref="AC355:AL355" si="668">+AC362+AC363</f>
        <v>72.887157352941188</v>
      </c>
      <c r="AD355" s="60">
        <f t="shared" si="668"/>
        <v>86.572613250000003</v>
      </c>
      <c r="AE355" s="60">
        <f t="shared" si="668"/>
        <v>97.996091735999997</v>
      </c>
      <c r="AF355" s="60">
        <f t="shared" si="668"/>
        <v>118.55544517507875</v>
      </c>
      <c r="AG355" s="60">
        <f t="shared" si="668"/>
        <v>139.70694313403982</v>
      </c>
      <c r="AH355" s="60">
        <f t="shared" si="668"/>
        <v>171.39945851157543</v>
      </c>
      <c r="AI355" s="60">
        <f t="shared" si="668"/>
        <v>187.35410050278017</v>
      </c>
      <c r="AJ355" s="60">
        <f t="shared" si="668"/>
        <v>209.13973826253545</v>
      </c>
      <c r="AK355" s="60">
        <f t="shared" si="668"/>
        <v>232.20303282448819</v>
      </c>
      <c r="AL355" s="60">
        <f t="shared" si="668"/>
        <v>255.52147995373994</v>
      </c>
      <c r="AM355" s="60">
        <f t="shared" ref="AM355:AN355" si="669">+AM362+AM363</f>
        <v>278.65931603434205</v>
      </c>
      <c r="AN355" s="60">
        <f t="shared" si="669"/>
        <v>303.69415172463016</v>
      </c>
    </row>
    <row r="356" spans="1:40" s="3" customFormat="1">
      <c r="A356" s="33"/>
      <c r="D356" s="149" t="s">
        <v>309</v>
      </c>
      <c r="E356" s="2"/>
      <c r="F356" s="2"/>
      <c r="G356" s="2"/>
      <c r="H356" s="2"/>
      <c r="I356" s="2"/>
      <c r="J356" s="7"/>
      <c r="K356" s="7"/>
      <c r="L356" s="7"/>
      <c r="M356" s="7"/>
      <c r="N356" s="7"/>
      <c r="O356" s="7"/>
      <c r="P356" s="7">
        <f t="shared" ref="P356:AB356" si="670">+P233</f>
        <v>10.539</v>
      </c>
      <c r="Q356" s="7">
        <f t="shared" si="670"/>
        <v>13.468999999999999</v>
      </c>
      <c r="R356" s="7">
        <f t="shared" si="670"/>
        <v>14.590999999999999</v>
      </c>
      <c r="S356" s="7">
        <f t="shared" si="670"/>
        <v>21.3</v>
      </c>
      <c r="T356" s="7">
        <f t="shared" si="670"/>
        <v>36.017000000000003</v>
      </c>
      <c r="U356" s="7">
        <f t="shared" si="670"/>
        <v>37.226999999999997</v>
      </c>
      <c r="V356" s="7">
        <f t="shared" si="670"/>
        <v>42.072000000000003</v>
      </c>
      <c r="W356" s="7">
        <f t="shared" si="670"/>
        <v>46.395000000000003</v>
      </c>
      <c r="X356" s="7">
        <f t="shared" si="670"/>
        <v>53.8</v>
      </c>
      <c r="Y356" s="7">
        <f t="shared" si="670"/>
        <v>67.400000000000006</v>
      </c>
      <c r="Z356" s="7">
        <f t="shared" si="670"/>
        <v>78</v>
      </c>
      <c r="AA356" s="7">
        <f t="shared" si="670"/>
        <v>86</v>
      </c>
      <c r="AB356" s="7">
        <f t="shared" si="670"/>
        <v>93</v>
      </c>
      <c r="AC356" s="87">
        <f t="shared" ref="AC356" si="671">SUM(AC353:AC355)</f>
        <v>111.181275</v>
      </c>
      <c r="AD356" s="87">
        <f t="shared" ref="AD356" si="672">SUM(AD353:AD355)</f>
        <v>135.98651325</v>
      </c>
      <c r="AE356" s="87">
        <f t="shared" ref="AE356" si="673">SUM(AE353:AE355)</f>
        <v>165.989348361</v>
      </c>
      <c r="AF356" s="87">
        <f t="shared" ref="AF356" si="674">SUM(AF353:AF355)</f>
        <v>201.55011935557874</v>
      </c>
      <c r="AG356" s="87">
        <f t="shared" ref="AG356" si="675">SUM(AG353:AG355)</f>
        <v>240.4820028118292</v>
      </c>
      <c r="AH356" s="87">
        <f t="shared" ref="AH356" si="676">SUM(AH353:AH355)</f>
        <v>291.64045991749003</v>
      </c>
      <c r="AI356" s="87">
        <f t="shared" ref="AI356" si="677">SUM(AI353:AI355)</f>
        <v>333.17433046152519</v>
      </c>
      <c r="AJ356" s="87">
        <f t="shared" ref="AJ356" si="678">SUM(AJ353:AJ355)</f>
        <v>375.72690349329804</v>
      </c>
      <c r="AK356" s="87">
        <f t="shared" ref="AK356" si="679">SUM(AK353:AK355)</f>
        <v>420.06648457113721</v>
      </c>
      <c r="AL356" s="87">
        <f t="shared" ref="AL356" si="680">SUM(AL353:AL355)</f>
        <v>465.55472223930855</v>
      </c>
      <c r="AM356" s="87">
        <f t="shared" ref="AM356:AN356" si="681">SUM(AM353:AM355)</f>
        <v>511.43667715399636</v>
      </c>
      <c r="AN356" s="87">
        <f t="shared" si="681"/>
        <v>559.4124903016284</v>
      </c>
    </row>
    <row r="357" spans="1:40" s="3" customFormat="1">
      <c r="A357" s="33"/>
      <c r="B357"/>
      <c r="C357"/>
      <c r="D357" s="58"/>
      <c r="E357"/>
      <c r="F357"/>
      <c r="G357"/>
      <c r="H357"/>
      <c r="I357"/>
      <c r="J357" s="6"/>
      <c r="K357" s="6"/>
      <c r="L357" s="6"/>
      <c r="M357" s="6"/>
      <c r="N357" s="6"/>
      <c r="O357" s="6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</row>
    <row r="358" spans="1:40" s="3" customFormat="1">
      <c r="A358" s="33"/>
      <c r="B358"/>
      <c r="C358"/>
      <c r="D358" s="58" t="s">
        <v>141</v>
      </c>
      <c r="E358"/>
      <c r="F358"/>
      <c r="G358"/>
      <c r="H358"/>
      <c r="I358"/>
      <c r="J358" s="6"/>
      <c r="K358" s="6"/>
      <c r="L358" s="6"/>
      <c r="M358" s="6"/>
      <c r="N358" s="6"/>
      <c r="O358" s="6"/>
      <c r="P358" s="55">
        <f t="shared" ref="P358:Z358" si="682">+P356</f>
        <v>10.539</v>
      </c>
      <c r="Q358" s="55">
        <f t="shared" si="682"/>
        <v>13.468999999999999</v>
      </c>
      <c r="R358" s="55">
        <f t="shared" si="682"/>
        <v>14.590999999999999</v>
      </c>
      <c r="S358" s="55">
        <f t="shared" si="682"/>
        <v>21.3</v>
      </c>
      <c r="T358" s="55">
        <f t="shared" si="682"/>
        <v>36.017000000000003</v>
      </c>
      <c r="U358" s="55">
        <f t="shared" si="682"/>
        <v>37.226999999999997</v>
      </c>
      <c r="V358" s="55">
        <f t="shared" si="682"/>
        <v>42.072000000000003</v>
      </c>
      <c r="W358" s="55">
        <f t="shared" si="682"/>
        <v>46.395000000000003</v>
      </c>
      <c r="X358" s="55">
        <f t="shared" si="682"/>
        <v>53.8</v>
      </c>
      <c r="Y358" s="55">
        <f t="shared" si="682"/>
        <v>67.400000000000006</v>
      </c>
      <c r="Z358" s="55">
        <f t="shared" si="682"/>
        <v>78</v>
      </c>
      <c r="AA358" s="55">
        <f t="shared" ref="AA358" si="683">+AA356</f>
        <v>86</v>
      </c>
      <c r="AB358" s="55">
        <f>+AB356</f>
        <v>93</v>
      </c>
      <c r="AC358" s="60">
        <f t="shared" ref="AC358:AL358" si="684">+AC318*AC359</f>
        <v>111.181275</v>
      </c>
      <c r="AD358" s="60">
        <f t="shared" si="684"/>
        <v>135.98651325</v>
      </c>
      <c r="AE358" s="60">
        <f t="shared" si="684"/>
        <v>165.989348361</v>
      </c>
      <c r="AF358" s="60">
        <f t="shared" si="684"/>
        <v>201.55011935557874</v>
      </c>
      <c r="AG358" s="60">
        <f t="shared" si="684"/>
        <v>240.4820028118292</v>
      </c>
      <c r="AH358" s="60">
        <f t="shared" si="684"/>
        <v>291.64045991749003</v>
      </c>
      <c r="AI358" s="60">
        <f t="shared" si="684"/>
        <v>333.17433046152519</v>
      </c>
      <c r="AJ358" s="60">
        <f t="shared" si="684"/>
        <v>375.72690349329804</v>
      </c>
      <c r="AK358" s="60">
        <f t="shared" si="684"/>
        <v>420.06648457113721</v>
      </c>
      <c r="AL358" s="60">
        <f t="shared" si="684"/>
        <v>465.55472223930855</v>
      </c>
      <c r="AM358" s="60">
        <f t="shared" ref="AM358:AN358" si="685">+AM318*AM359</f>
        <v>511.4366771539963</v>
      </c>
      <c r="AN358" s="60">
        <f t="shared" si="685"/>
        <v>559.41249030162828</v>
      </c>
    </row>
    <row r="359" spans="1:40" s="3" customFormat="1">
      <c r="A359" s="33"/>
      <c r="B359"/>
      <c r="C359"/>
      <c r="D359" s="58" t="s">
        <v>403</v>
      </c>
      <c r="E359"/>
      <c r="F359"/>
      <c r="G359"/>
      <c r="H359"/>
      <c r="I359"/>
      <c r="J359" s="6"/>
      <c r="K359" s="6"/>
      <c r="L359" s="6"/>
      <c r="M359" s="6"/>
      <c r="N359" s="6"/>
      <c r="O359" s="6"/>
      <c r="P359" s="150">
        <f t="shared" ref="P359:Z359" si="686">+P358/P318</f>
        <v>2.4064940402794902E-2</v>
      </c>
      <c r="Q359" s="150">
        <f t="shared" si="686"/>
        <v>2.1245652362512125E-2</v>
      </c>
      <c r="R359" s="150">
        <f t="shared" si="686"/>
        <v>1.8867485365446808E-2</v>
      </c>
      <c r="S359" s="150">
        <f t="shared" si="686"/>
        <v>2.3897677549646584E-2</v>
      </c>
      <c r="T359" s="150">
        <f t="shared" si="686"/>
        <v>2.974644862900562E-2</v>
      </c>
      <c r="U359" s="150">
        <f t="shared" si="686"/>
        <v>2.2300964476127717E-2</v>
      </c>
      <c r="V359" s="150">
        <f t="shared" si="686"/>
        <v>2.2886250352905847E-2</v>
      </c>
      <c r="W359" s="150">
        <f t="shared" si="686"/>
        <v>2.183205762025631E-2</v>
      </c>
      <c r="X359" s="150">
        <f t="shared" si="686"/>
        <v>2.1698798096313622E-2</v>
      </c>
      <c r="Y359" s="150">
        <f t="shared" si="686"/>
        <v>2.202542400575145E-2</v>
      </c>
      <c r="Z359" s="150">
        <f t="shared" si="686"/>
        <v>2.2352772603524862E-2</v>
      </c>
      <c r="AA359" s="150">
        <f t="shared" ref="AA359" si="687">+AA358/AA318</f>
        <v>2.1667926429831192E-2</v>
      </c>
      <c r="AB359" s="150">
        <f>+AB358/AB318</f>
        <v>1.8210299588799685E-2</v>
      </c>
      <c r="AC359" s="42">
        <v>1.7000000000000001E-2</v>
      </c>
      <c r="AD359" s="42">
        <v>1.7500000000000002E-2</v>
      </c>
      <c r="AE359" s="42">
        <v>1.7999999999999999E-2</v>
      </c>
      <c r="AF359" s="42">
        <v>1.8499999999999999E-2</v>
      </c>
      <c r="AG359" s="42">
        <v>1.9E-2</v>
      </c>
      <c r="AH359" s="42">
        <v>0.02</v>
      </c>
      <c r="AI359" s="42">
        <v>0.02</v>
      </c>
      <c r="AJ359" s="42">
        <v>0.02</v>
      </c>
      <c r="AK359" s="42">
        <v>0.02</v>
      </c>
      <c r="AL359" s="42">
        <v>0.02</v>
      </c>
      <c r="AM359" s="42">
        <v>0.02</v>
      </c>
      <c r="AN359" s="42">
        <v>0.02</v>
      </c>
    </row>
    <row r="360" spans="1:40" s="3" customFormat="1">
      <c r="A360" s="33"/>
      <c r="B360"/>
      <c r="C360"/>
      <c r="D360" s="58" t="s">
        <v>7</v>
      </c>
      <c r="E360"/>
      <c r="F360"/>
      <c r="G360"/>
      <c r="H360"/>
      <c r="I360"/>
      <c r="J360" s="6"/>
      <c r="K360" s="6"/>
      <c r="L360" s="6"/>
      <c r="M360" s="6"/>
      <c r="N360" s="6"/>
      <c r="O360" s="6"/>
      <c r="P360" s="6">
        <f t="shared" ref="P360:AB360" si="688">+P42+P366</f>
        <v>0</v>
      </c>
      <c r="Q360" s="6">
        <f t="shared" si="688"/>
        <v>6.7560000000000002</v>
      </c>
      <c r="R360" s="6">
        <f t="shared" si="688"/>
        <v>7.8680000000000003</v>
      </c>
      <c r="S360" s="6">
        <f t="shared" si="688"/>
        <v>7.6</v>
      </c>
      <c r="T360" s="6">
        <f t="shared" si="688"/>
        <v>9.9</v>
      </c>
      <c r="U360" s="6">
        <f t="shared" si="688"/>
        <v>16.5</v>
      </c>
      <c r="V360" s="6">
        <f t="shared" si="688"/>
        <v>17</v>
      </c>
      <c r="W360" s="6">
        <f t="shared" si="688"/>
        <v>22.4</v>
      </c>
      <c r="X360" s="6">
        <f t="shared" si="688"/>
        <v>22.6</v>
      </c>
      <c r="Y360" s="6">
        <f t="shared" si="688"/>
        <v>27</v>
      </c>
      <c r="Z360" s="6">
        <f t="shared" si="688"/>
        <v>32</v>
      </c>
      <c r="AA360" s="6">
        <f t="shared" si="688"/>
        <v>47</v>
      </c>
      <c r="AB360" s="6">
        <f t="shared" si="688"/>
        <v>58</v>
      </c>
      <c r="AC360" s="6">
        <f t="shared" ref="AC360:AL360" si="689">+AB358/AC361</f>
        <v>54.705882352941181</v>
      </c>
      <c r="AD360" s="6">
        <f t="shared" si="689"/>
        <v>61.767375000000001</v>
      </c>
      <c r="AE360" s="6">
        <f t="shared" si="689"/>
        <v>67.993256625000001</v>
      </c>
      <c r="AF360" s="6">
        <f t="shared" si="689"/>
        <v>82.994674180499999</v>
      </c>
      <c r="AG360" s="6">
        <f t="shared" si="689"/>
        <v>100.77505967778937</v>
      </c>
      <c r="AH360" s="6">
        <f t="shared" si="689"/>
        <v>120.2410014059146</v>
      </c>
      <c r="AI360" s="6">
        <f t="shared" si="689"/>
        <v>145.82022995874502</v>
      </c>
      <c r="AJ360" s="6">
        <f t="shared" si="689"/>
        <v>166.58716523076259</v>
      </c>
      <c r="AK360" s="6">
        <f t="shared" si="689"/>
        <v>187.86345174664902</v>
      </c>
      <c r="AL360" s="6">
        <f t="shared" si="689"/>
        <v>210.0332422855686</v>
      </c>
      <c r="AM360" s="6">
        <f t="shared" ref="AM360" si="690">+AL358/AM361</f>
        <v>232.77736111965427</v>
      </c>
      <c r="AN360" s="6">
        <f t="shared" ref="AN360" si="691">+AM358/AN361</f>
        <v>255.71833857699815</v>
      </c>
    </row>
    <row r="361" spans="1:40" s="3" customFormat="1">
      <c r="A361" s="33"/>
      <c r="B361"/>
      <c r="C361"/>
      <c r="D361" s="58" t="s">
        <v>417</v>
      </c>
      <c r="E361"/>
      <c r="F361"/>
      <c r="G361"/>
      <c r="H361"/>
      <c r="I361"/>
      <c r="J361" s="6"/>
      <c r="K361" s="6"/>
      <c r="L361" s="6"/>
      <c r="M361" s="6"/>
      <c r="N361" s="6"/>
      <c r="O361" s="6"/>
      <c r="P361" s="6"/>
      <c r="Q361" s="81">
        <f t="shared" ref="Q361:Z361" si="692">+Q353/Q360</f>
        <v>1.5599467140319714</v>
      </c>
      <c r="R361" s="81">
        <f t="shared" si="692"/>
        <v>1.7118708693441789</v>
      </c>
      <c r="S361" s="81">
        <f t="shared" si="692"/>
        <v>1.9198684210526316</v>
      </c>
      <c r="T361" s="81">
        <f t="shared" si="692"/>
        <v>2.1515151515151514</v>
      </c>
      <c r="U361" s="81">
        <f t="shared" si="692"/>
        <v>2.1828484848484848</v>
      </c>
      <c r="V361" s="81">
        <f t="shared" si="692"/>
        <v>2.1898235294117647</v>
      </c>
      <c r="W361" s="81">
        <f t="shared" si="692"/>
        <v>1.8782142857142861</v>
      </c>
      <c r="X361" s="81">
        <f t="shared" si="692"/>
        <v>2.0528761061946903</v>
      </c>
      <c r="Y361" s="81">
        <f t="shared" si="692"/>
        <v>1.9925925925925925</v>
      </c>
      <c r="Z361" s="81">
        <f t="shared" si="692"/>
        <v>2.1062500000000002</v>
      </c>
      <c r="AA361" s="81">
        <f t="shared" ref="AA361" si="693">+AA353/AA360</f>
        <v>1.6595744680851063</v>
      </c>
      <c r="AB361" s="81">
        <f>+AB353/AB360</f>
        <v>1.4827586206896552</v>
      </c>
      <c r="AC361" s="89">
        <v>1.7</v>
      </c>
      <c r="AD361" s="89">
        <v>1.8</v>
      </c>
      <c r="AE361" s="89">
        <v>2</v>
      </c>
      <c r="AF361" s="89">
        <v>2</v>
      </c>
      <c r="AG361" s="89">
        <v>2</v>
      </c>
      <c r="AH361" s="89">
        <v>2</v>
      </c>
      <c r="AI361" s="89">
        <v>2</v>
      </c>
      <c r="AJ361" s="89">
        <v>2</v>
      </c>
      <c r="AK361" s="89">
        <v>2</v>
      </c>
      <c r="AL361" s="89">
        <v>2</v>
      </c>
      <c r="AM361" s="89">
        <v>2</v>
      </c>
      <c r="AN361" s="89">
        <v>2</v>
      </c>
    </row>
    <row r="362" spans="1:40" s="3" customFormat="1">
      <c r="A362" s="33"/>
      <c r="D362" s="158" t="s">
        <v>314</v>
      </c>
      <c r="J362" s="55"/>
      <c r="K362" s="55"/>
      <c r="L362" s="55"/>
      <c r="M362" s="55"/>
      <c r="N362" s="55"/>
      <c r="O362" s="55"/>
      <c r="P362" s="55">
        <f t="shared" ref="P362:AB362" si="694">-P206</f>
        <v>3.5059999999999998</v>
      </c>
      <c r="Q362" s="55">
        <f t="shared" si="694"/>
        <v>7.0919999999999996</v>
      </c>
      <c r="R362" s="55">
        <f t="shared" si="694"/>
        <v>7.35</v>
      </c>
      <c r="S362" s="55">
        <f t="shared" si="694"/>
        <v>6.1</v>
      </c>
      <c r="T362" s="55">
        <f t="shared" si="694"/>
        <v>11.1</v>
      </c>
      <c r="U362" s="55">
        <f t="shared" si="694"/>
        <v>13.868</v>
      </c>
      <c r="V362" s="55">
        <f t="shared" si="694"/>
        <v>12.894</v>
      </c>
      <c r="W362" s="55">
        <f t="shared" si="694"/>
        <v>19.097999999999999</v>
      </c>
      <c r="X362" s="55">
        <f t="shared" si="694"/>
        <v>19.7</v>
      </c>
      <c r="Y362" s="55">
        <f t="shared" si="694"/>
        <v>25.3</v>
      </c>
      <c r="Z362" s="55">
        <f t="shared" si="694"/>
        <v>34</v>
      </c>
      <c r="AA362" s="55">
        <f t="shared" si="694"/>
        <v>25</v>
      </c>
      <c r="AB362" s="55">
        <f t="shared" si="694"/>
        <v>29</v>
      </c>
      <c r="AC362" s="85">
        <f t="shared" ref="AC362:AL362" si="695">(AC358-AB358)+AC360-AC363</f>
        <v>38.513657352941543</v>
      </c>
      <c r="AD362" s="85">
        <f t="shared" si="695"/>
        <v>52.564223250000339</v>
      </c>
      <c r="AE362" s="85">
        <f t="shared" si="695"/>
        <v>60.930053553000356</v>
      </c>
      <c r="AF362" s="85">
        <f t="shared" si="695"/>
        <v>78.791774612155137</v>
      </c>
      <c r="AG362" s="85">
        <f t="shared" si="695"/>
        <v>97.915253520634792</v>
      </c>
      <c r="AH362" s="85">
        <f t="shared" si="695"/>
        <v>125.65725018726275</v>
      </c>
      <c r="AI362" s="85">
        <f t="shared" si="695"/>
        <v>138.00853468474139</v>
      </c>
      <c r="AJ362" s="85">
        <f t="shared" si="695"/>
        <v>159.28852906723029</v>
      </c>
      <c r="AK362" s="85">
        <f t="shared" si="695"/>
        <v>180.80359242660558</v>
      </c>
      <c r="AL362" s="85">
        <f t="shared" si="695"/>
        <v>203.65902160237641</v>
      </c>
      <c r="AM362" s="85">
        <f t="shared" ref="AM362" si="696">(AM358-AL358)+AM360-AM363</f>
        <v>227.50649092829875</v>
      </c>
      <c r="AN362" s="85">
        <f t="shared" ref="AN362" si="697">(AN358-AM358)+AN360-AN363</f>
        <v>251.24632048248836</v>
      </c>
    </row>
    <row r="363" spans="1:40" s="3" customFormat="1">
      <c r="A363" s="33"/>
      <c r="B363"/>
      <c r="C363"/>
      <c r="D363" s="58" t="s">
        <v>406</v>
      </c>
      <c r="E363"/>
      <c r="F363"/>
      <c r="G363"/>
      <c r="H363"/>
      <c r="I363"/>
      <c r="J363" s="6"/>
      <c r="K363" s="6"/>
      <c r="L363" s="6"/>
      <c r="M363" s="6"/>
      <c r="N363" s="6"/>
      <c r="O363" s="6"/>
      <c r="P363" s="6">
        <f t="shared" ref="P363:T363" si="698">P358-(O358+P362-P360)</f>
        <v>7.0329999999999995</v>
      </c>
      <c r="Q363" s="6">
        <f t="shared" si="698"/>
        <v>2.5939999999999994</v>
      </c>
      <c r="R363" s="6">
        <f t="shared" si="698"/>
        <v>1.6400000000000006</v>
      </c>
      <c r="S363" s="6">
        <f t="shared" si="698"/>
        <v>8.2090000000000014</v>
      </c>
      <c r="T363" s="6">
        <f t="shared" si="698"/>
        <v>13.517000000000003</v>
      </c>
      <c r="U363" s="6">
        <f>U358-(T358+U362-U360)</f>
        <v>3.8419999999999916</v>
      </c>
      <c r="V363" s="6">
        <f t="shared" ref="V363:AA363" si="699">V358-(U358+V362-V360)</f>
        <v>8.9510000000000076</v>
      </c>
      <c r="W363" s="6">
        <f t="shared" si="699"/>
        <v>7.625</v>
      </c>
      <c r="X363" s="6">
        <f t="shared" si="699"/>
        <v>10.305</v>
      </c>
      <c r="Y363" s="6">
        <f t="shared" si="699"/>
        <v>15.300000000000011</v>
      </c>
      <c r="Z363" s="6">
        <f t="shared" si="699"/>
        <v>8.5999999999999943</v>
      </c>
      <c r="AA363" s="6">
        <f t="shared" si="699"/>
        <v>30</v>
      </c>
      <c r="AB363" s="6">
        <f>AB358-(AA358+AB362-AB360)</f>
        <v>36</v>
      </c>
      <c r="AC363" s="60">
        <f t="shared" ref="AC363:AL363" si="700">+AC326</f>
        <v>34.373499999999645</v>
      </c>
      <c r="AD363" s="60">
        <f t="shared" si="700"/>
        <v>34.008389999999665</v>
      </c>
      <c r="AE363" s="60">
        <f t="shared" si="700"/>
        <v>37.066038182999641</v>
      </c>
      <c r="AF363" s="60">
        <f t="shared" si="700"/>
        <v>39.763670562923608</v>
      </c>
      <c r="AG363" s="60">
        <f t="shared" si="700"/>
        <v>41.791689613405026</v>
      </c>
      <c r="AH363" s="60">
        <f t="shared" si="700"/>
        <v>45.742208324312692</v>
      </c>
      <c r="AI363" s="60">
        <f t="shared" si="700"/>
        <v>49.345565818038793</v>
      </c>
      <c r="AJ363" s="60">
        <f t="shared" si="700"/>
        <v>49.851209195305167</v>
      </c>
      <c r="AK363" s="60">
        <f t="shared" si="700"/>
        <v>51.399440397882614</v>
      </c>
      <c r="AL363" s="60">
        <f t="shared" si="700"/>
        <v>51.862458351363522</v>
      </c>
      <c r="AM363" s="60">
        <f t="shared" ref="AM363:AN363" si="701">+AM326</f>
        <v>51.152825106043316</v>
      </c>
      <c r="AN363" s="60">
        <f t="shared" si="701"/>
        <v>52.447831242141802</v>
      </c>
    </row>
    <row r="364" spans="1:40" s="3" customFormat="1">
      <c r="A364" s="33"/>
      <c r="B364"/>
      <c r="C364"/>
      <c r="D364" s="58"/>
      <c r="E364"/>
      <c r="F364"/>
      <c r="G364"/>
      <c r="H364"/>
      <c r="I364"/>
      <c r="J364" s="6"/>
      <c r="K364" s="6"/>
      <c r="L364" s="6"/>
      <c r="M364" s="6"/>
      <c r="N364" s="6"/>
      <c r="O364" s="6"/>
      <c r="P364" s="6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</row>
    <row r="365" spans="1:40" s="3" customFormat="1">
      <c r="A365" s="33"/>
      <c r="B365"/>
      <c r="C365"/>
      <c r="D365" s="58" t="s">
        <v>424</v>
      </c>
      <c r="E365"/>
      <c r="F365"/>
      <c r="G365"/>
      <c r="H365"/>
      <c r="I36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7">
        <v>208</v>
      </c>
      <c r="AA365" s="6">
        <f t="shared" ref="AA365:AL365" si="702">+Z369</f>
        <v>234</v>
      </c>
      <c r="AB365" s="6">
        <f>+AA369</f>
        <v>251</v>
      </c>
      <c r="AC365" s="6">
        <f t="shared" si="702"/>
        <v>245</v>
      </c>
      <c r="AD365" s="6">
        <f t="shared" si="702"/>
        <v>320.46367500000002</v>
      </c>
      <c r="AE365" s="6">
        <f t="shared" si="702"/>
        <v>388.53289500000005</v>
      </c>
      <c r="AF365" s="6">
        <f t="shared" si="702"/>
        <v>461.08152322500001</v>
      </c>
      <c r="AG365" s="6">
        <f t="shared" si="702"/>
        <v>544.73005231237505</v>
      </c>
      <c r="AH365" s="6">
        <f t="shared" si="702"/>
        <v>632.84737582060325</v>
      </c>
      <c r="AI365" s="6">
        <f t="shared" si="702"/>
        <v>729.1011497937252</v>
      </c>
      <c r="AJ365" s="6">
        <f t="shared" si="702"/>
        <v>832.93582615381297</v>
      </c>
      <c r="AK365" s="6">
        <f t="shared" si="702"/>
        <v>939.31725873324513</v>
      </c>
      <c r="AL365" s="6">
        <f t="shared" si="702"/>
        <v>1050.1662114278431</v>
      </c>
      <c r="AM365" s="6">
        <f t="shared" ref="AM365" si="703">+AL369</f>
        <v>1163.8868055982714</v>
      </c>
      <c r="AN365" s="6">
        <f t="shared" ref="AN365" si="704">+AM369</f>
        <v>1278.5916928849908</v>
      </c>
    </row>
    <row r="366" spans="1:40" s="3" customFormat="1">
      <c r="A366" s="33"/>
      <c r="B366"/>
      <c r="C366"/>
      <c r="D366" s="58" t="s">
        <v>423</v>
      </c>
      <c r="E366"/>
      <c r="F366"/>
      <c r="G366"/>
      <c r="H366"/>
      <c r="I36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7">
        <v>-60</v>
      </c>
      <c r="AA366" s="67">
        <f>-72+14</f>
        <v>-58</v>
      </c>
      <c r="AB366" s="67">
        <f>-83+20</f>
        <v>-63</v>
      </c>
      <c r="AC366" s="60">
        <f t="shared" ref="AC366" si="705">-AC365/AC370</f>
        <v>-61.25</v>
      </c>
      <c r="AD366" s="60">
        <f t="shared" ref="AD366" si="706">-AD365/AD370</f>
        <v>-80.115918750000006</v>
      </c>
      <c r="AE366" s="60">
        <f t="shared" ref="AE366" si="707">-AE365/AE370</f>
        <v>-97.133223750000013</v>
      </c>
      <c r="AF366" s="60">
        <f t="shared" ref="AF366" si="708">-AF365/AF370</f>
        <v>-115.27038080625</v>
      </c>
      <c r="AG366" s="60">
        <f t="shared" ref="AG366" si="709">-AG365/AG370</f>
        <v>-136.18251307809376</v>
      </c>
      <c r="AH366" s="60">
        <f t="shared" ref="AH366" si="710">-AH365/AH370</f>
        <v>-158.21184395515081</v>
      </c>
      <c r="AI366" s="60">
        <f t="shared" ref="AI366" si="711">-AI365/AI370</f>
        <v>-182.2752874484313</v>
      </c>
      <c r="AJ366" s="60">
        <f t="shared" ref="AJ366" si="712">-AJ365/AJ370</f>
        <v>-208.23395653845324</v>
      </c>
      <c r="AK366" s="60">
        <f t="shared" ref="AK366" si="713">-AK365/AK370</f>
        <v>-234.82931468331128</v>
      </c>
      <c r="AL366" s="60">
        <f t="shared" ref="AL366" si="714">-AL365/AL370</f>
        <v>-262.54155285696078</v>
      </c>
      <c r="AM366" s="60">
        <f t="shared" ref="AM366:AN366" si="715">-AM365/AM370</f>
        <v>-290.97170139956785</v>
      </c>
      <c r="AN366" s="60">
        <f t="shared" si="715"/>
        <v>-319.64792322124771</v>
      </c>
    </row>
    <row r="367" spans="1:40" s="3" customFormat="1">
      <c r="A367" s="33"/>
      <c r="B367"/>
      <c r="C367"/>
      <c r="D367" s="58" t="s">
        <v>429</v>
      </c>
      <c r="E367"/>
      <c r="F367"/>
      <c r="G367"/>
      <c r="H367"/>
      <c r="I367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3">
        <f>+Z369-Z368-Z366-Z365</f>
        <v>46</v>
      </c>
      <c r="AA367" s="63">
        <f>+AA369-AA368-AA366-AA365</f>
        <v>34</v>
      </c>
      <c r="AB367" s="63">
        <f>+AB369-AB368-AB366-AB365</f>
        <v>3</v>
      </c>
      <c r="AC367" s="63">
        <f t="shared" ref="AC367:AL367" si="716">+AC369-AC368-AC366-AC365</f>
        <v>67.966675000000009</v>
      </c>
      <c r="AD367" s="63">
        <f t="shared" si="716"/>
        <v>80.168358749999982</v>
      </c>
      <c r="AE367" s="63">
        <f t="shared" si="716"/>
        <v>95.549775608999937</v>
      </c>
      <c r="AF367" s="63">
        <f t="shared" si="716"/>
        <v>119.39156876777707</v>
      </c>
      <c r="AG367" s="63">
        <f t="shared" si="716"/>
        <v>140.71645735951108</v>
      </c>
      <c r="AH367" s="63">
        <f t="shared" si="716"/>
        <v>162.98120127964648</v>
      </c>
      <c r="AI367" s="63">
        <f t="shared" si="716"/>
        <v>187.41883217244049</v>
      </c>
      <c r="AJ367" s="63">
        <f t="shared" si="716"/>
        <v>214.91297072727411</v>
      </c>
      <c r="AK367" s="63">
        <f t="shared" si="716"/>
        <v>242.87938658214307</v>
      </c>
      <c r="AL367" s="63">
        <f t="shared" si="716"/>
        <v>272.5372303246611</v>
      </c>
      <c r="AM367" s="63">
        <f t="shared" ref="AM367:AN367" si="717">+AM369-AM368-AM366-AM365</f>
        <v>303.37093847419965</v>
      </c>
      <c r="AN367" s="63">
        <f t="shared" si="717"/>
        <v>334.69179360604312</v>
      </c>
    </row>
    <row r="368" spans="1:40" s="3" customFormat="1">
      <c r="A368" s="33"/>
      <c r="B368"/>
      <c r="C368"/>
      <c r="D368" s="58" t="s">
        <v>125</v>
      </c>
      <c r="E368"/>
      <c r="F368"/>
      <c r="G368"/>
      <c r="H368"/>
      <c r="I368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7">
        <v>40</v>
      </c>
      <c r="AA368" s="67">
        <v>41</v>
      </c>
      <c r="AB368" s="67">
        <v>54</v>
      </c>
      <c r="AC368" s="60">
        <f t="shared" ref="AC368:AL368" si="718">+AC325</f>
        <v>68.747</v>
      </c>
      <c r="AD368" s="60">
        <f t="shared" si="718"/>
        <v>68.016780000000011</v>
      </c>
      <c r="AE368" s="60">
        <f t="shared" si="718"/>
        <v>74.132076366000035</v>
      </c>
      <c r="AF368" s="60">
        <f t="shared" si="718"/>
        <v>79.527341125848025</v>
      </c>
      <c r="AG368" s="60">
        <f t="shared" si="718"/>
        <v>83.583379226810905</v>
      </c>
      <c r="AH368" s="60">
        <f t="shared" si="718"/>
        <v>91.484416648626322</v>
      </c>
      <c r="AI368" s="60">
        <f t="shared" si="718"/>
        <v>98.691131636078595</v>
      </c>
      <c r="AJ368" s="60">
        <f t="shared" si="718"/>
        <v>99.702418390611342</v>
      </c>
      <c r="AK368" s="60">
        <f t="shared" si="718"/>
        <v>102.79888079576628</v>
      </c>
      <c r="AL368" s="60">
        <f t="shared" si="718"/>
        <v>103.72491670272809</v>
      </c>
      <c r="AM368" s="60">
        <f t="shared" ref="AM368:AN368" si="719">+AM325</f>
        <v>102.30565021208768</v>
      </c>
      <c r="AN368" s="60">
        <f t="shared" si="719"/>
        <v>104.89566248428468</v>
      </c>
    </row>
    <row r="369" spans="1:46" s="3" customFormat="1">
      <c r="A369" s="33"/>
      <c r="D369" s="149" t="s">
        <v>425</v>
      </c>
      <c r="E369" s="2"/>
      <c r="F369" s="2"/>
      <c r="G369" s="2"/>
      <c r="H369" s="2"/>
      <c r="I369" s="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>
        <f>+Z238</f>
        <v>234</v>
      </c>
      <c r="AA369" s="7">
        <f>+AA238</f>
        <v>251</v>
      </c>
      <c r="AB369" s="7">
        <f>+AB238</f>
        <v>245</v>
      </c>
      <c r="AC369" s="87">
        <f t="shared" ref="AC369:AN369" si="720">+AC159*AC371</f>
        <v>320.46367500000002</v>
      </c>
      <c r="AD369" s="87">
        <f t="shared" si="720"/>
        <v>388.53289500000005</v>
      </c>
      <c r="AE369" s="87">
        <f t="shared" si="720"/>
        <v>461.08152322500001</v>
      </c>
      <c r="AF369" s="87">
        <f t="shared" si="720"/>
        <v>544.73005231237505</v>
      </c>
      <c r="AG369" s="87">
        <f t="shared" si="720"/>
        <v>632.84737582060325</v>
      </c>
      <c r="AH369" s="87">
        <f t="shared" si="720"/>
        <v>729.1011497937252</v>
      </c>
      <c r="AI369" s="87">
        <f t="shared" si="720"/>
        <v>832.93582615381297</v>
      </c>
      <c r="AJ369" s="87">
        <f t="shared" si="720"/>
        <v>939.31725873324513</v>
      </c>
      <c r="AK369" s="87">
        <f t="shared" si="720"/>
        <v>1050.1662114278431</v>
      </c>
      <c r="AL369" s="87">
        <f t="shared" si="720"/>
        <v>1163.8868055982714</v>
      </c>
      <c r="AM369" s="87">
        <f t="shared" si="720"/>
        <v>1278.5916928849908</v>
      </c>
      <c r="AN369" s="87">
        <f t="shared" si="720"/>
        <v>1398.5312257540709</v>
      </c>
    </row>
    <row r="370" spans="1:46" s="3" customFormat="1">
      <c r="A370" s="33"/>
      <c r="B370"/>
      <c r="C370"/>
      <c r="D370" s="58" t="s">
        <v>417</v>
      </c>
      <c r="E370"/>
      <c r="F370"/>
      <c r="G370"/>
      <c r="H370"/>
      <c r="I370"/>
      <c r="J370" s="6"/>
      <c r="K370" s="6"/>
      <c r="L370" s="6"/>
      <c r="M370" s="6"/>
      <c r="N370" s="6"/>
      <c r="O370" s="6"/>
      <c r="P370" s="6"/>
      <c r="Q370" s="81"/>
      <c r="R370" s="81"/>
      <c r="S370" s="81"/>
      <c r="T370" s="81"/>
      <c r="U370" s="81"/>
      <c r="V370" s="81"/>
      <c r="W370" s="81"/>
      <c r="X370" s="81"/>
      <c r="Y370" s="81"/>
      <c r="Z370" s="74">
        <f>-Z365/Z366</f>
        <v>3.4666666666666668</v>
      </c>
      <c r="AA370" s="74">
        <f>-AA365/AA366</f>
        <v>4.0344827586206895</v>
      </c>
      <c r="AB370" s="74">
        <f>-AB365/AB366</f>
        <v>3.9841269841269842</v>
      </c>
      <c r="AC370" s="89">
        <v>4</v>
      </c>
      <c r="AD370" s="89">
        <v>4</v>
      </c>
      <c r="AE370" s="89">
        <v>4</v>
      </c>
      <c r="AF370" s="89">
        <v>4</v>
      </c>
      <c r="AG370" s="89">
        <v>4</v>
      </c>
      <c r="AH370" s="89">
        <v>4</v>
      </c>
      <c r="AI370" s="89">
        <v>4</v>
      </c>
      <c r="AJ370" s="89">
        <v>4</v>
      </c>
      <c r="AK370" s="89">
        <v>4</v>
      </c>
      <c r="AL370" s="89">
        <v>4</v>
      </c>
      <c r="AM370" s="89">
        <v>4</v>
      </c>
      <c r="AN370" s="89">
        <v>4</v>
      </c>
    </row>
    <row r="371" spans="1:46" s="3" customFormat="1">
      <c r="A371" s="33"/>
      <c r="B371"/>
      <c r="C371"/>
      <c r="D371" s="58" t="s">
        <v>432</v>
      </c>
      <c r="E371"/>
      <c r="F371"/>
      <c r="G371"/>
      <c r="H371"/>
      <c r="I371"/>
      <c r="J371" s="6"/>
      <c r="K371" s="6"/>
      <c r="L371" s="6"/>
      <c r="M371" s="6"/>
      <c r="N371" s="6"/>
      <c r="O371" s="6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12">
        <f>+Z369/Z159</f>
        <v>6.7058317810574586E-2</v>
      </c>
      <c r="AA371" s="12">
        <f>+AA369/AA159</f>
        <v>6.3240110859158483E-2</v>
      </c>
      <c r="AB371" s="12">
        <f>+AB369/AB159</f>
        <v>4.7973369884472296E-2</v>
      </c>
      <c r="AC371" s="42">
        <v>4.9000000000000002E-2</v>
      </c>
      <c r="AD371" s="42">
        <v>0.05</v>
      </c>
      <c r="AE371" s="42">
        <v>0.05</v>
      </c>
      <c r="AF371" s="42">
        <v>0.05</v>
      </c>
      <c r="AG371" s="42">
        <v>0.05</v>
      </c>
      <c r="AH371" s="42">
        <v>0.05</v>
      </c>
      <c r="AI371" s="42">
        <v>0.05</v>
      </c>
      <c r="AJ371" s="42">
        <v>0.05</v>
      </c>
      <c r="AK371" s="42">
        <v>0.05</v>
      </c>
      <c r="AL371" s="42">
        <v>0.05</v>
      </c>
      <c r="AM371" s="42">
        <v>0.05</v>
      </c>
      <c r="AN371" s="42">
        <v>0.05</v>
      </c>
    </row>
    <row r="372" spans="1:46" s="3" customFormat="1">
      <c r="A372" s="33"/>
      <c r="B372"/>
      <c r="C372"/>
      <c r="D372" s="58"/>
      <c r="E372"/>
      <c r="F372"/>
      <c r="G372"/>
      <c r="H372"/>
      <c r="I372"/>
      <c r="J372" s="6"/>
      <c r="K372" s="6"/>
      <c r="L372" s="6"/>
      <c r="M372" s="6"/>
      <c r="N372" s="6"/>
      <c r="O372" s="6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</row>
    <row r="373" spans="1:46" s="3" customFormat="1">
      <c r="A373" s="33"/>
      <c r="B373"/>
      <c r="C373"/>
      <c r="D373" s="58"/>
      <c r="E373"/>
      <c r="F373"/>
      <c r="G373"/>
      <c r="H373"/>
      <c r="I373"/>
      <c r="J373" s="6"/>
      <c r="K373" s="6"/>
      <c r="L373" s="6"/>
      <c r="M373" s="6"/>
      <c r="N373" s="6"/>
      <c r="O373" s="6"/>
      <c r="P373" s="6"/>
      <c r="Q373" s="81"/>
      <c r="R373" s="81"/>
      <c r="S373" s="81"/>
      <c r="T373" s="81"/>
      <c r="U373" s="81"/>
      <c r="V373" s="81"/>
      <c r="W373" s="81"/>
      <c r="X373" s="81"/>
      <c r="Y373" s="81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</row>
    <row r="374" spans="1:46" hidden="1" outlineLevel="1">
      <c r="C374" s="94"/>
      <c r="D374" s="95" t="s">
        <v>294</v>
      </c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</row>
    <row r="375" spans="1:46" ht="5.15" hidden="1" customHeight="1" outlineLevel="1"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56"/>
      <c r="X375" s="56"/>
      <c r="Y375" s="56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"/>
      <c r="AT375" s="3"/>
    </row>
    <row r="376" spans="1:46" s="3" customFormat="1" hidden="1" outlineLevel="1">
      <c r="A376" s="33"/>
      <c r="B376"/>
      <c r="C376"/>
      <c r="D376" s="58"/>
      <c r="E376"/>
      <c r="F376"/>
      <c r="G376"/>
      <c r="H376"/>
      <c r="I376"/>
      <c r="J376" s="6"/>
      <c r="K376" s="6"/>
      <c r="L376" s="6"/>
      <c r="M376" s="6"/>
      <c r="N376" s="6"/>
      <c r="O376" s="6"/>
      <c r="P376" s="6"/>
      <c r="Q376" s="81"/>
      <c r="R376" s="81"/>
      <c r="S376" s="81"/>
      <c r="T376" s="81"/>
      <c r="U376" s="81"/>
      <c r="V376" s="81"/>
      <c r="W376" s="81"/>
      <c r="X376" s="81"/>
      <c r="Y376" s="81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</row>
    <row r="377" spans="1:46" s="3" customFormat="1" hidden="1" outlineLevel="1">
      <c r="A377" s="33"/>
      <c r="B377"/>
      <c r="C377"/>
      <c r="D377" s="58" t="s">
        <v>291</v>
      </c>
      <c r="E377"/>
      <c r="F377"/>
      <c r="G377"/>
      <c r="H377"/>
      <c r="I377"/>
      <c r="J377" s="6"/>
      <c r="K377" s="6"/>
      <c r="L377" s="6"/>
      <c r="M377" s="6"/>
      <c r="N377" s="6"/>
      <c r="O377" s="6"/>
      <c r="P377" s="6"/>
      <c r="Q377" s="81"/>
      <c r="R377" s="81"/>
      <c r="S377" s="81"/>
      <c r="T377" s="81"/>
      <c r="U377" s="67">
        <f>17.345+30.515</f>
        <v>47.86</v>
      </c>
      <c r="V377" s="67">
        <f>19.602+34.482</f>
        <v>54.084000000000003</v>
      </c>
      <c r="W377" s="67">
        <f>26.435+46.502</f>
        <v>72.936999999999998</v>
      </c>
      <c r="X377" s="67">
        <v>135.80000000000001</v>
      </c>
      <c r="Y377" s="67">
        <v>184</v>
      </c>
      <c r="Z377" s="67">
        <v>221</v>
      </c>
      <c r="AA377" s="67">
        <v>311</v>
      </c>
      <c r="AB377" s="67">
        <v>0</v>
      </c>
      <c r="AC377" s="67">
        <v>0</v>
      </c>
      <c r="AD377" s="67">
        <v>0</v>
      </c>
      <c r="AE377" s="67">
        <v>0</v>
      </c>
      <c r="AF377" s="67">
        <v>0</v>
      </c>
      <c r="AG377" s="67">
        <v>0</v>
      </c>
      <c r="AH377" s="67">
        <v>0</v>
      </c>
      <c r="AI377" s="67">
        <v>0</v>
      </c>
      <c r="AJ377" s="67">
        <v>0</v>
      </c>
      <c r="AK377" s="67">
        <v>0</v>
      </c>
      <c r="AL377" s="67">
        <v>0</v>
      </c>
      <c r="AM377" s="67">
        <v>0</v>
      </c>
      <c r="AN377" s="67">
        <v>0</v>
      </c>
    </row>
    <row r="378" spans="1:46" s="3" customFormat="1" hidden="1" outlineLevel="1">
      <c r="A378" s="33"/>
      <c r="B378"/>
      <c r="C378"/>
      <c r="D378" s="58" t="s">
        <v>292</v>
      </c>
      <c r="E378"/>
      <c r="F378"/>
      <c r="G378"/>
      <c r="H378"/>
      <c r="I378"/>
      <c r="J378" s="6"/>
      <c r="K378" s="6"/>
      <c r="L378" s="6"/>
      <c r="M378" s="6"/>
      <c r="N378" s="6"/>
      <c r="O378" s="6"/>
      <c r="P378" s="6"/>
      <c r="Q378" s="81"/>
      <c r="R378" s="81"/>
      <c r="S378" s="81"/>
      <c r="T378" s="81"/>
      <c r="U378" s="81"/>
      <c r="V378" s="6">
        <f t="shared" ref="V378:AA378" si="721">+V377-U377</f>
        <v>6.2240000000000038</v>
      </c>
      <c r="W378" s="6">
        <f t="shared" si="721"/>
        <v>18.852999999999994</v>
      </c>
      <c r="X378" s="6">
        <f t="shared" si="721"/>
        <v>62.863000000000014</v>
      </c>
      <c r="Y378" s="6">
        <f t="shared" si="721"/>
        <v>48.199999999999989</v>
      </c>
      <c r="Z378" s="6">
        <f t="shared" si="721"/>
        <v>37</v>
      </c>
      <c r="AA378" s="6">
        <f t="shared" si="721"/>
        <v>90</v>
      </c>
      <c r="AB378" s="67">
        <v>0</v>
      </c>
      <c r="AC378" s="67">
        <v>0</v>
      </c>
      <c r="AD378" s="67">
        <v>0</v>
      </c>
      <c r="AE378" s="67">
        <v>0</v>
      </c>
      <c r="AF378" s="67">
        <v>0</v>
      </c>
      <c r="AG378" s="67">
        <v>0</v>
      </c>
      <c r="AH378" s="67">
        <v>0</v>
      </c>
      <c r="AI378" s="67">
        <v>0</v>
      </c>
      <c r="AJ378" s="67">
        <v>0</v>
      </c>
      <c r="AK378" s="67">
        <v>0</v>
      </c>
      <c r="AL378" s="67">
        <v>0</v>
      </c>
      <c r="AM378" s="67">
        <v>0</v>
      </c>
      <c r="AN378" s="67">
        <v>0</v>
      </c>
    </row>
    <row r="379" spans="1:46" hidden="1" outlineLevel="1">
      <c r="D379" s="58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</row>
    <row r="380" spans="1:46" hidden="1" outlineLevel="1">
      <c r="D380" s="58" t="s">
        <v>295</v>
      </c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7">
        <v>39.412385</v>
      </c>
      <c r="AC380" s="67">
        <f>+AB380/2</f>
        <v>19.7061925</v>
      </c>
      <c r="AD380" s="67">
        <v>0</v>
      </c>
      <c r="AE380" s="67">
        <v>0</v>
      </c>
      <c r="AF380" s="67">
        <v>0</v>
      </c>
      <c r="AG380" s="67">
        <v>0</v>
      </c>
      <c r="AH380" s="67">
        <v>0</v>
      </c>
      <c r="AI380" s="67">
        <v>0</v>
      </c>
      <c r="AJ380" s="67">
        <v>0</v>
      </c>
      <c r="AK380" s="67">
        <v>0</v>
      </c>
      <c r="AL380" s="67">
        <v>0</v>
      </c>
      <c r="AM380" s="67">
        <v>0</v>
      </c>
      <c r="AN380" s="67">
        <v>0</v>
      </c>
    </row>
    <row r="381" spans="1:46" hidden="1" outlineLevel="1">
      <c r="D381" s="58" t="s">
        <v>297</v>
      </c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194">
        <v>19.064051670000001</v>
      </c>
      <c r="AC381" s="194">
        <v>19.064051670000001</v>
      </c>
      <c r="AD381" s="194">
        <v>19.064051670000001</v>
      </c>
      <c r="AE381" s="194">
        <v>19.064051670000001</v>
      </c>
      <c r="AF381" s="194">
        <v>19.064051670000001</v>
      </c>
      <c r="AG381" s="194">
        <v>19.064051670000001</v>
      </c>
      <c r="AH381" s="194">
        <v>19.064051670000001</v>
      </c>
      <c r="AI381" s="194">
        <v>19.064051670000001</v>
      </c>
      <c r="AJ381" s="194">
        <v>19.064051670000001</v>
      </c>
      <c r="AK381" s="194">
        <v>19.064051670000001</v>
      </c>
      <c r="AL381" s="194">
        <v>19.064051670000001</v>
      </c>
      <c r="AM381" s="194">
        <v>19.064051670000001</v>
      </c>
      <c r="AN381" s="194">
        <v>19.064051670000001</v>
      </c>
    </row>
    <row r="382" spans="1:46" hidden="1" outlineLevel="1">
      <c r="D382" s="58" t="s">
        <v>298</v>
      </c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192">
        <f t="shared" ref="AB382:AL382" si="722">+AB381*AB380</f>
        <v>751.35974407793299</v>
      </c>
      <c r="AC382" s="192">
        <f t="shared" si="722"/>
        <v>375.67987203896649</v>
      </c>
      <c r="AD382" s="192">
        <f t="shared" si="722"/>
        <v>0</v>
      </c>
      <c r="AE382" s="192">
        <f t="shared" si="722"/>
        <v>0</v>
      </c>
      <c r="AF382" s="192">
        <f t="shared" si="722"/>
        <v>0</v>
      </c>
      <c r="AG382" s="192">
        <f t="shared" si="722"/>
        <v>0</v>
      </c>
      <c r="AH382" s="192">
        <f t="shared" si="722"/>
        <v>0</v>
      </c>
      <c r="AI382" s="192">
        <f t="shared" si="722"/>
        <v>0</v>
      </c>
      <c r="AJ382" s="192">
        <f t="shared" si="722"/>
        <v>0</v>
      </c>
      <c r="AK382" s="192">
        <f t="shared" si="722"/>
        <v>0</v>
      </c>
      <c r="AL382" s="192">
        <f t="shared" si="722"/>
        <v>0</v>
      </c>
      <c r="AM382" s="192">
        <f t="shared" ref="AM382:AN382" si="723">+AM381*AM380</f>
        <v>0</v>
      </c>
      <c r="AN382" s="192">
        <f t="shared" si="723"/>
        <v>0</v>
      </c>
    </row>
    <row r="383" spans="1:46" hidden="1" outlineLevel="1">
      <c r="D383" s="58" t="s">
        <v>299</v>
      </c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15">
        <v>0.05</v>
      </c>
      <c r="AC383" s="15">
        <v>0.05</v>
      </c>
      <c r="AD383" s="15">
        <v>0.05</v>
      </c>
      <c r="AE383" s="15">
        <v>0.05</v>
      </c>
      <c r="AF383" s="15">
        <v>0.05</v>
      </c>
      <c r="AG383" s="15">
        <v>0.05</v>
      </c>
      <c r="AH383" s="15">
        <v>0.05</v>
      </c>
      <c r="AI383" s="15">
        <v>0.05</v>
      </c>
      <c r="AJ383" s="15">
        <v>0.05</v>
      </c>
      <c r="AK383" s="15">
        <v>0.05</v>
      </c>
      <c r="AL383" s="15">
        <v>0.05</v>
      </c>
      <c r="AM383" s="15">
        <v>0.05</v>
      </c>
      <c r="AN383" s="15">
        <v>0.05</v>
      </c>
    </row>
    <row r="384" spans="1:46" hidden="1" outlineLevel="1">
      <c r="D384" s="58" t="s">
        <v>300</v>
      </c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193">
        <f t="shared" ref="AB384:AL384" si="724">+AB383*AVERAGE(AA382:AB382)</f>
        <v>37.567987203896649</v>
      </c>
      <c r="AC384" s="193">
        <f t="shared" si="724"/>
        <v>28.175990402922487</v>
      </c>
      <c r="AD384" s="193">
        <f t="shared" si="724"/>
        <v>9.3919968009741623</v>
      </c>
      <c r="AE384" s="193">
        <f t="shared" si="724"/>
        <v>0</v>
      </c>
      <c r="AF384" s="193">
        <f t="shared" si="724"/>
        <v>0</v>
      </c>
      <c r="AG384" s="193">
        <f t="shared" si="724"/>
        <v>0</v>
      </c>
      <c r="AH384" s="193">
        <f t="shared" si="724"/>
        <v>0</v>
      </c>
      <c r="AI384" s="193">
        <f t="shared" si="724"/>
        <v>0</v>
      </c>
      <c r="AJ384" s="193">
        <f t="shared" si="724"/>
        <v>0</v>
      </c>
      <c r="AK384" s="193">
        <f t="shared" si="724"/>
        <v>0</v>
      </c>
      <c r="AL384" s="193">
        <f t="shared" si="724"/>
        <v>0</v>
      </c>
      <c r="AM384" s="193">
        <f t="shared" ref="AM384" si="725">+AM383*AVERAGE(AL382:AM382)</f>
        <v>0</v>
      </c>
      <c r="AN384" s="193">
        <f t="shared" ref="AN384" si="726">+AN383*AVERAGE(AM382:AN382)</f>
        <v>0</v>
      </c>
    </row>
    <row r="385" spans="2:43" hidden="1" outlineLevel="1">
      <c r="D385" s="58" t="s">
        <v>301</v>
      </c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51">
        <v>1.21</v>
      </c>
      <c r="AC385" s="51">
        <v>1.21</v>
      </c>
      <c r="AD385" s="51">
        <v>1.21</v>
      </c>
      <c r="AE385" s="51">
        <v>1.21</v>
      </c>
      <c r="AF385" s="51">
        <v>1.21</v>
      </c>
      <c r="AG385" s="51">
        <v>1.21</v>
      </c>
      <c r="AH385" s="51">
        <v>1.21</v>
      </c>
      <c r="AI385" s="51">
        <v>1.21</v>
      </c>
      <c r="AJ385" s="51">
        <v>1.21</v>
      </c>
      <c r="AK385" s="51">
        <v>1.21</v>
      </c>
      <c r="AL385" s="51">
        <v>1.21</v>
      </c>
      <c r="AM385" s="51">
        <v>1.21</v>
      </c>
      <c r="AN385" s="51">
        <v>1.21</v>
      </c>
    </row>
    <row r="386" spans="2:43" hidden="1" outlineLevel="1">
      <c r="D386" s="58" t="s">
        <v>435</v>
      </c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81">
        <f t="shared" ref="AB386:AD386" si="727">IF(AB389&gt;AB388,0,AB384*AB385)</f>
        <v>45.457264516714943</v>
      </c>
      <c r="AC386" s="89">
        <f>+AB386*0.5</f>
        <v>22.728632258357472</v>
      </c>
      <c r="AD386" s="81">
        <f t="shared" si="727"/>
        <v>0</v>
      </c>
      <c r="AE386" s="81">
        <f>IF(AE389&gt;AE388,0,AE384*AE385)</f>
        <v>0</v>
      </c>
      <c r="AF386" s="81">
        <f t="shared" ref="AF386:AL386" si="728">IF(AF389&gt;AF388,0,AF384*AF385)</f>
        <v>0</v>
      </c>
      <c r="AG386" s="81">
        <f t="shared" si="728"/>
        <v>0</v>
      </c>
      <c r="AH386" s="81">
        <f t="shared" si="728"/>
        <v>0</v>
      </c>
      <c r="AI386" s="81">
        <f t="shared" si="728"/>
        <v>0</v>
      </c>
      <c r="AJ386" s="81">
        <f t="shared" si="728"/>
        <v>0</v>
      </c>
      <c r="AK386" s="81">
        <f t="shared" si="728"/>
        <v>0</v>
      </c>
      <c r="AL386" s="81">
        <f t="shared" si="728"/>
        <v>0</v>
      </c>
      <c r="AM386" s="81">
        <f t="shared" ref="AM386:AN386" si="729">IF(AM389&gt;AM388,0,AM384*AM385)</f>
        <v>0</v>
      </c>
      <c r="AN386" s="81">
        <f t="shared" si="729"/>
        <v>0</v>
      </c>
    </row>
    <row r="387" spans="2:43" hidden="1" outlineLevel="1">
      <c r="D387" s="58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  <c r="AL387" s="60"/>
      <c r="AM387" s="60"/>
      <c r="AN387" s="60"/>
    </row>
    <row r="388" spans="2:43" hidden="1" outlineLevel="1">
      <c r="D388" s="58" t="s">
        <v>296</v>
      </c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194">
        <f t="shared" ref="AB388:AL388" si="730">+AB381*1.25</f>
        <v>23.830064587500001</v>
      </c>
      <c r="AC388" s="194">
        <f t="shared" si="730"/>
        <v>23.830064587500001</v>
      </c>
      <c r="AD388" s="194">
        <f>+AD381*1.25</f>
        <v>23.830064587500001</v>
      </c>
      <c r="AE388" s="194">
        <f t="shared" si="730"/>
        <v>23.830064587500001</v>
      </c>
      <c r="AF388" s="194">
        <f t="shared" si="730"/>
        <v>23.830064587500001</v>
      </c>
      <c r="AG388" s="194">
        <f t="shared" si="730"/>
        <v>23.830064587500001</v>
      </c>
      <c r="AH388" s="194">
        <f t="shared" si="730"/>
        <v>23.830064587500001</v>
      </c>
      <c r="AI388" s="194">
        <f t="shared" si="730"/>
        <v>23.830064587500001</v>
      </c>
      <c r="AJ388" s="194">
        <f t="shared" si="730"/>
        <v>23.830064587500001</v>
      </c>
      <c r="AK388" s="194">
        <f t="shared" si="730"/>
        <v>23.830064587500001</v>
      </c>
      <c r="AL388" s="194">
        <f t="shared" si="730"/>
        <v>23.830064587500001</v>
      </c>
      <c r="AM388" s="194">
        <f t="shared" ref="AM388:AN388" si="731">+AM381*1.25</f>
        <v>23.830064587500001</v>
      </c>
      <c r="AN388" s="194">
        <f t="shared" si="731"/>
        <v>23.830064587500001</v>
      </c>
    </row>
    <row r="389" spans="2:43" hidden="1" outlineLevel="1">
      <c r="D389" s="58" t="s">
        <v>302</v>
      </c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194">
        <v>20</v>
      </c>
      <c r="AC389" s="194">
        <v>25</v>
      </c>
      <c r="AD389" s="194">
        <v>30</v>
      </c>
      <c r="AE389" s="194">
        <f t="shared" ref="AE389:AL389" si="732">+AD389+1</f>
        <v>31</v>
      </c>
      <c r="AF389" s="194">
        <f t="shared" si="732"/>
        <v>32</v>
      </c>
      <c r="AG389" s="194">
        <f t="shared" si="732"/>
        <v>33</v>
      </c>
      <c r="AH389" s="194">
        <f t="shared" si="732"/>
        <v>34</v>
      </c>
      <c r="AI389" s="194">
        <f t="shared" si="732"/>
        <v>35</v>
      </c>
      <c r="AJ389" s="194">
        <f t="shared" si="732"/>
        <v>36</v>
      </c>
      <c r="AK389" s="194">
        <f t="shared" si="732"/>
        <v>37</v>
      </c>
      <c r="AL389" s="194">
        <f t="shared" si="732"/>
        <v>38</v>
      </c>
      <c r="AM389" s="194">
        <f t="shared" ref="AM389" si="733">+AL389+1</f>
        <v>39</v>
      </c>
      <c r="AN389" s="194">
        <f t="shared" ref="AN389" si="734">+AM389+1</f>
        <v>40</v>
      </c>
    </row>
    <row r="390" spans="2:43" hidden="1" outlineLevel="1">
      <c r="D390" s="58" t="s">
        <v>317</v>
      </c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0">
        <v>60.704383639513999</v>
      </c>
      <c r="AC390" s="60">
        <v>69.07700688340671</v>
      </c>
      <c r="AD390" s="60">
        <v>126.244092041383</v>
      </c>
      <c r="AE390" s="60">
        <v>160.57562942920549</v>
      </c>
      <c r="AF390" s="60">
        <v>198.48301836529708</v>
      </c>
      <c r="AG390" s="60">
        <v>235.5903849463547</v>
      </c>
      <c r="AH390" s="60">
        <v>275.97602871177736</v>
      </c>
      <c r="AI390" s="60">
        <v>332.25794133366207</v>
      </c>
      <c r="AJ390" s="60">
        <v>392.61806216629202</v>
      </c>
      <c r="AK390" s="60">
        <v>457.47746371219961</v>
      </c>
      <c r="AL390" s="60">
        <v>536.35067958835816</v>
      </c>
      <c r="AM390" s="60">
        <v>536.35067958835816</v>
      </c>
      <c r="AN390" s="60">
        <v>536.35067958835816</v>
      </c>
    </row>
    <row r="391" spans="2:43" hidden="1" outlineLevel="1">
      <c r="D391" s="58" t="s">
        <v>436</v>
      </c>
      <c r="F391" s="15">
        <v>1</v>
      </c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3">
        <f t="shared" ref="AB391:AL391" si="735">+AB390*AB385</f>
        <v>73.452304203811934</v>
      </c>
      <c r="AC391" s="63">
        <f t="shared" si="735"/>
        <v>83.583178328922116</v>
      </c>
      <c r="AD391" s="63">
        <f t="shared" si="735"/>
        <v>152.75535137007341</v>
      </c>
      <c r="AE391" s="63">
        <f t="shared" si="735"/>
        <v>194.29651160933864</v>
      </c>
      <c r="AF391" s="63">
        <f t="shared" si="735"/>
        <v>240.16445222200946</v>
      </c>
      <c r="AG391" s="63">
        <f t="shared" si="735"/>
        <v>285.06436578508919</v>
      </c>
      <c r="AH391" s="63">
        <f t="shared" si="735"/>
        <v>333.93099474125057</v>
      </c>
      <c r="AI391" s="63">
        <f t="shared" si="735"/>
        <v>402.03210901373109</v>
      </c>
      <c r="AJ391" s="63">
        <f t="shared" si="735"/>
        <v>475.06785522121334</v>
      </c>
      <c r="AK391" s="63">
        <f t="shared" si="735"/>
        <v>553.54773109176153</v>
      </c>
      <c r="AL391" s="63">
        <f t="shared" si="735"/>
        <v>648.98432230191338</v>
      </c>
      <c r="AM391" s="63">
        <f t="shared" ref="AM391:AN391" si="736">+AM390*AM385</f>
        <v>648.98432230191338</v>
      </c>
      <c r="AN391" s="63">
        <f t="shared" si="736"/>
        <v>648.98432230191338</v>
      </c>
    </row>
    <row r="392" spans="2:43" hidden="1" outlineLevel="1">
      <c r="D392" s="58" t="s">
        <v>316</v>
      </c>
      <c r="F392" s="15">
        <f>1-30.35%</f>
        <v>0.69650000000000001</v>
      </c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195">
        <f>IF(AB389&gt;AB388,$F$392,$F$391)</f>
        <v>1</v>
      </c>
      <c r="AC392" s="195">
        <f t="shared" ref="AC392:AL392" si="737">IF(AC389&gt;AC388,$F$392,$F$391)</f>
        <v>0.69650000000000001</v>
      </c>
      <c r="AD392" s="195">
        <f t="shared" si="737"/>
        <v>0.69650000000000001</v>
      </c>
      <c r="AE392" s="195">
        <f t="shared" si="737"/>
        <v>0.69650000000000001</v>
      </c>
      <c r="AF392" s="195">
        <f t="shared" si="737"/>
        <v>0.69650000000000001</v>
      </c>
      <c r="AG392" s="195">
        <f t="shared" si="737"/>
        <v>0.69650000000000001</v>
      </c>
      <c r="AH392" s="195">
        <f t="shared" si="737"/>
        <v>0.69650000000000001</v>
      </c>
      <c r="AI392" s="195">
        <f t="shared" si="737"/>
        <v>0.69650000000000001</v>
      </c>
      <c r="AJ392" s="195">
        <f t="shared" si="737"/>
        <v>0.69650000000000001</v>
      </c>
      <c r="AK392" s="195">
        <f t="shared" si="737"/>
        <v>0.69650000000000001</v>
      </c>
      <c r="AL392" s="195">
        <f t="shared" si="737"/>
        <v>0.69650000000000001</v>
      </c>
      <c r="AM392" s="195">
        <f t="shared" ref="AM392:AN392" si="738">IF(AM389&gt;AM388,$F$392,$F$391)</f>
        <v>0.69650000000000001</v>
      </c>
      <c r="AN392" s="195">
        <f t="shared" si="738"/>
        <v>0.69650000000000001</v>
      </c>
    </row>
    <row r="393" spans="2:43" hidden="1" outlineLevel="1">
      <c r="D393" s="58" t="s">
        <v>108</v>
      </c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>
        <f>+AB392*AB391</f>
        <v>73.452304203811934</v>
      </c>
      <c r="AC393" s="6">
        <f t="shared" ref="AC393:AL393" si="739">+AC392*AC391</f>
        <v>58.215683706094254</v>
      </c>
      <c r="AD393" s="6">
        <f t="shared" si="739"/>
        <v>106.39410222925613</v>
      </c>
      <c r="AE393" s="6">
        <f t="shared" si="739"/>
        <v>135.32752033590435</v>
      </c>
      <c r="AF393" s="6">
        <f t="shared" si="739"/>
        <v>167.27454097262958</v>
      </c>
      <c r="AG393" s="6">
        <f t="shared" si="739"/>
        <v>198.54733076931461</v>
      </c>
      <c r="AH393" s="6">
        <f t="shared" si="739"/>
        <v>232.58293783728104</v>
      </c>
      <c r="AI393" s="6">
        <f t="shared" si="739"/>
        <v>280.01536392806372</v>
      </c>
      <c r="AJ393" s="6">
        <f t="shared" si="739"/>
        <v>330.88476116157511</v>
      </c>
      <c r="AK393" s="6">
        <f t="shared" si="739"/>
        <v>385.54599470541189</v>
      </c>
      <c r="AL393" s="6">
        <f t="shared" si="739"/>
        <v>452.0175804832827</v>
      </c>
      <c r="AM393" s="6">
        <f t="shared" ref="AM393:AN393" si="740">+AM392*AM391</f>
        <v>452.0175804832827</v>
      </c>
      <c r="AN393" s="6">
        <f t="shared" si="740"/>
        <v>452.0175804832827</v>
      </c>
    </row>
    <row r="394" spans="2:43" hidden="1" outlineLevel="1">
      <c r="D394" s="58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  <c r="AL394" s="60"/>
      <c r="AM394" s="60"/>
      <c r="AN394" s="60"/>
    </row>
    <row r="395" spans="2:43" hidden="1" outlineLevel="1"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AQ395" s="1"/>
    </row>
    <row r="396" spans="2:43" collapsed="1">
      <c r="B396" s="124" t="s">
        <v>172</v>
      </c>
      <c r="C396" s="43" t="s">
        <v>172</v>
      </c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</row>
    <row r="397" spans="2:43">
      <c r="C397" s="94"/>
      <c r="D397" s="95" t="s">
        <v>204</v>
      </c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</row>
    <row r="398" spans="2:43" ht="5.15" customHeight="1"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6"/>
      <c r="AP398" s="1"/>
    </row>
    <row r="399" spans="2:43">
      <c r="D399" t="s">
        <v>173</v>
      </c>
      <c r="I399" s="6"/>
      <c r="J399" s="6"/>
      <c r="K399" s="6"/>
      <c r="L399" s="6">
        <f t="shared" ref="L399:AN399" si="741">+SUM(L252:L254)</f>
        <v>41.445</v>
      </c>
      <c r="M399" s="6">
        <f t="shared" si="741"/>
        <v>78.816000000000003</v>
      </c>
      <c r="N399" s="6">
        <f t="shared" si="741"/>
        <v>86.882000000000005</v>
      </c>
      <c r="O399" s="6">
        <f t="shared" si="741"/>
        <v>95.382000000000005</v>
      </c>
      <c r="P399" s="6">
        <f t="shared" si="741"/>
        <v>108.05799999999999</v>
      </c>
      <c r="Q399" s="6">
        <f t="shared" si="741"/>
        <v>143.05099999999999</v>
      </c>
      <c r="R399" s="6">
        <f t="shared" si="741"/>
        <v>256.28000000000003</v>
      </c>
      <c r="S399" s="6">
        <f t="shared" si="741"/>
        <v>258.80400000000003</v>
      </c>
      <c r="T399" s="6">
        <f t="shared" si="741"/>
        <v>265.99900000000002</v>
      </c>
      <c r="U399" s="6">
        <f t="shared" si="741"/>
        <v>259.83100000000002</v>
      </c>
      <c r="V399" s="6">
        <f t="shared" si="741"/>
        <v>337.28199999999998</v>
      </c>
      <c r="W399" s="6">
        <f t="shared" si="741"/>
        <v>457.50900000000001</v>
      </c>
      <c r="X399" s="6">
        <f t="shared" si="741"/>
        <v>604.20000000000005</v>
      </c>
      <c r="Y399" s="6">
        <f t="shared" si="741"/>
        <v>866.09999999999991</v>
      </c>
      <c r="Z399" s="6">
        <f t="shared" si="741"/>
        <v>688</v>
      </c>
      <c r="AA399" s="6">
        <f t="shared" si="741"/>
        <v>1047</v>
      </c>
      <c r="AB399" s="6">
        <f t="shared" si="741"/>
        <v>1060</v>
      </c>
      <c r="AC399" s="6">
        <f t="shared" ca="1" si="741"/>
        <v>1512.7396392287285</v>
      </c>
      <c r="AD399" s="6">
        <f t="shared" ca="1" si="741"/>
        <v>1877.3773507881788</v>
      </c>
      <c r="AE399" s="6">
        <f t="shared" ca="1" si="741"/>
        <v>2351.4158917727468</v>
      </c>
      <c r="AF399" s="6">
        <f t="shared" ca="1" si="741"/>
        <v>2981.4645531070428</v>
      </c>
      <c r="AG399" s="6">
        <f t="shared" ca="1" si="741"/>
        <v>3832.1055864607056</v>
      </c>
      <c r="AH399" s="6">
        <f t="shared" ca="1" si="741"/>
        <v>4966.402442779493</v>
      </c>
      <c r="AI399" s="6">
        <f t="shared" ca="1" si="741"/>
        <v>6414.2754053130484</v>
      </c>
      <c r="AJ399" s="6">
        <f t="shared" ca="1" si="741"/>
        <v>8223.0445655720541</v>
      </c>
      <c r="AK399" s="6">
        <f t="shared" ca="1" si="741"/>
        <v>10464.942362160751</v>
      </c>
      <c r="AL399" s="6">
        <f t="shared" ca="1" si="741"/>
        <v>13179.917940766363</v>
      </c>
      <c r="AM399" s="6">
        <f t="shared" ca="1" si="741"/>
        <v>16485.536746917642</v>
      </c>
      <c r="AN399" s="6">
        <f t="shared" ca="1" si="741"/>
        <v>20446.41350544606</v>
      </c>
      <c r="AP399" s="1"/>
    </row>
    <row r="400" spans="2:43">
      <c r="D400" t="s">
        <v>174</v>
      </c>
      <c r="I400" s="4"/>
      <c r="J400" s="4"/>
      <c r="K400" s="4"/>
      <c r="L400" s="4">
        <f t="shared" ref="L400:AN400" si="742">+L399/L274</f>
        <v>2.0324146724205572</v>
      </c>
      <c r="M400" s="4">
        <f t="shared" si="742"/>
        <v>3.7874098990869776</v>
      </c>
      <c r="N400" s="4">
        <f t="shared" si="742"/>
        <v>4.0998455515010006</v>
      </c>
      <c r="O400" s="4">
        <f t="shared" si="742"/>
        <v>4.5009491999869757</v>
      </c>
      <c r="P400" s="4">
        <f t="shared" si="742"/>
        <v>5.0991127115408839</v>
      </c>
      <c r="Q400" s="4">
        <f t="shared" si="742"/>
        <v>6.7503856493608527</v>
      </c>
      <c r="R400" s="4">
        <f t="shared" si="742"/>
        <v>12.093510945174796</v>
      </c>
      <c r="S400" s="4">
        <f t="shared" si="742"/>
        <v>12.212615134442865</v>
      </c>
      <c r="T400" s="4">
        <f t="shared" si="742"/>
        <v>12.552137575720112</v>
      </c>
      <c r="U400" s="4">
        <f t="shared" si="742"/>
        <v>12.261077892912876</v>
      </c>
      <c r="V400" s="4">
        <f t="shared" si="742"/>
        <v>15.915887149252555</v>
      </c>
      <c r="W400" s="4">
        <f t="shared" si="742"/>
        <v>21.589238719431773</v>
      </c>
      <c r="X400" s="4">
        <f t="shared" si="742"/>
        <v>28.511391107673681</v>
      </c>
      <c r="Y400" s="4">
        <f t="shared" si="742"/>
        <v>40.870102347494488</v>
      </c>
      <c r="Z400" s="4">
        <f t="shared" si="742"/>
        <v>32.46580119510012</v>
      </c>
      <c r="AA400" s="4">
        <f t="shared" si="742"/>
        <v>49.406531760566601</v>
      </c>
      <c r="AB400" s="4">
        <f t="shared" si="742"/>
        <v>50.019984399427507</v>
      </c>
      <c r="AC400" s="4">
        <f t="shared" ca="1" si="742"/>
        <v>71.384163353411878</v>
      </c>
      <c r="AD400" s="4">
        <f t="shared" ca="1" si="742"/>
        <v>88.590929998361545</v>
      </c>
      <c r="AE400" s="4">
        <f t="shared" ca="1" si="742"/>
        <v>110.96017568211199</v>
      </c>
      <c r="AF400" s="4">
        <f t="shared" ca="1" si="742"/>
        <v>140.6913305979815</v>
      </c>
      <c r="AG400" s="4">
        <f t="shared" ca="1" si="742"/>
        <v>180.83194495445613</v>
      </c>
      <c r="AH400" s="4">
        <f t="shared" ca="1" si="742"/>
        <v>234.35789878217821</v>
      </c>
      <c r="AI400" s="4">
        <f t="shared" ca="1" si="742"/>
        <v>302.68109028999078</v>
      </c>
      <c r="AJ400" s="4">
        <f t="shared" ca="1" si="742"/>
        <v>388.03449140161445</v>
      </c>
      <c r="AK400" s="4">
        <f t="shared" ca="1" si="742"/>
        <v>493.82665443036683</v>
      </c>
      <c r="AL400" s="4">
        <f t="shared" ca="1" si="742"/>
        <v>621.942726210253</v>
      </c>
      <c r="AM400" s="4">
        <f t="shared" ca="1" si="742"/>
        <v>777.9304631103862</v>
      </c>
      <c r="AN400" s="4">
        <f t="shared" ca="1" si="742"/>
        <v>964.83894770439224</v>
      </c>
    </row>
    <row r="401" spans="2:42">
      <c r="D401" t="s">
        <v>217</v>
      </c>
      <c r="I401" s="4"/>
      <c r="J401" s="4"/>
      <c r="K401" s="4"/>
      <c r="L401" s="4">
        <f t="shared" ref="L401:AN401" si="743">(L399-L227-L230)/L274</f>
        <v>1.0900353079639076</v>
      </c>
      <c r="M401" s="4">
        <f t="shared" si="743"/>
        <v>2.3877462758289285</v>
      </c>
      <c r="N401" s="4">
        <f t="shared" si="743"/>
        <v>3.1082701437791425</v>
      </c>
      <c r="O401" s="4">
        <f t="shared" si="743"/>
        <v>2.5952821716978436</v>
      </c>
      <c r="P401" s="4">
        <f t="shared" si="743"/>
        <v>2.4767442464041056</v>
      </c>
      <c r="Q401" s="4">
        <f t="shared" si="743"/>
        <v>4.1722801515511145</v>
      </c>
      <c r="R401" s="4">
        <f t="shared" si="743"/>
        <v>9.5116303542028362</v>
      </c>
      <c r="S401" s="4">
        <f t="shared" si="743"/>
        <v>10.240931164479395</v>
      </c>
      <c r="T401" s="4">
        <f t="shared" si="743"/>
        <v>8.8361718101524538</v>
      </c>
      <c r="U401" s="4">
        <f t="shared" si="743"/>
        <v>8.925830272755201</v>
      </c>
      <c r="V401" s="4">
        <f t="shared" si="743"/>
        <v>7.4940790023183776</v>
      </c>
      <c r="W401" s="4">
        <f t="shared" si="743"/>
        <v>4.708201814592905</v>
      </c>
      <c r="X401" s="4">
        <f t="shared" si="743"/>
        <v>5.4361341535981618</v>
      </c>
      <c r="Y401" s="4">
        <f t="shared" si="743"/>
        <v>13.094854406453894</v>
      </c>
      <c r="Z401" s="4">
        <f t="shared" si="743"/>
        <v>17.554183204327391</v>
      </c>
      <c r="AA401" s="4">
        <f t="shared" si="743"/>
        <v>13.63752404852316</v>
      </c>
      <c r="AB401" s="4">
        <f t="shared" si="743"/>
        <v>14.015033364745253</v>
      </c>
      <c r="AC401" s="4">
        <f t="shared" ca="1" si="743"/>
        <v>30.931723138066335</v>
      </c>
      <c r="AD401" s="4">
        <f t="shared" ca="1" si="743"/>
        <v>56.639831921439701</v>
      </c>
      <c r="AE401" s="4">
        <f t="shared" ca="1" si="743"/>
        <v>63.877323493780345</v>
      </c>
      <c r="AF401" s="4">
        <f t="shared" ca="1" si="743"/>
        <v>70.67231603151572</v>
      </c>
      <c r="AG401" s="4">
        <f t="shared" ca="1" si="743"/>
        <v>87.233599634734219</v>
      </c>
      <c r="AH401" s="4">
        <f t="shared" ca="1" si="743"/>
        <v>113.58186370375334</v>
      </c>
      <c r="AI401" s="4">
        <f t="shared" ca="1" si="743"/>
        <v>148.19040776530485</v>
      </c>
      <c r="AJ401" s="4">
        <f t="shared" ca="1" si="743"/>
        <v>190.3798201669272</v>
      </c>
      <c r="AK401" s="4">
        <f t="shared" ca="1" si="743"/>
        <v>242.14617982998857</v>
      </c>
      <c r="AL401" s="4">
        <f t="shared" ca="1" si="743"/>
        <v>297.9088094986418</v>
      </c>
      <c r="AM401" s="4">
        <f t="shared" ca="1" si="743"/>
        <v>363.586693042398</v>
      </c>
      <c r="AN401" s="4">
        <f t="shared" ca="1" si="743"/>
        <v>440.75144081682379</v>
      </c>
    </row>
    <row r="402" spans="2:42">
      <c r="D402" t="s">
        <v>25</v>
      </c>
      <c r="I402" s="4"/>
      <c r="J402" s="4"/>
      <c r="K402" s="4"/>
      <c r="L402" s="4">
        <f t="shared" ref="L402:AN402" si="744">+L187</f>
        <v>2.5549234994115506E-2</v>
      </c>
      <c r="M402" s="4">
        <f t="shared" si="744"/>
        <v>-5.939452186448916E-2</v>
      </c>
      <c r="N402" s="4">
        <f t="shared" si="744"/>
        <v>0.52426606290343447</v>
      </c>
      <c r="O402" s="4">
        <f t="shared" si="744"/>
        <v>0.70754683592926049</v>
      </c>
      <c r="P402" s="4">
        <f t="shared" si="744"/>
        <v>0.48245690613183623</v>
      </c>
      <c r="Q402" s="4">
        <f t="shared" si="744"/>
        <v>1.3934812635048086</v>
      </c>
      <c r="R402" s="4">
        <f t="shared" si="744"/>
        <v>7.4168311584864295</v>
      </c>
      <c r="S402" s="4">
        <f t="shared" si="744"/>
        <v>4.3742004470654052</v>
      </c>
      <c r="T402" s="4">
        <f t="shared" si="744"/>
        <v>4.4008620425235918</v>
      </c>
      <c r="U402" s="4">
        <f t="shared" si="744"/>
        <v>4.8653400674703544</v>
      </c>
      <c r="V402" s="4">
        <f t="shared" si="744"/>
        <v>8.3707500119151454</v>
      </c>
      <c r="W402" s="4">
        <f t="shared" si="744"/>
        <v>9.7550294858370421</v>
      </c>
      <c r="X402" s="4">
        <f t="shared" si="744"/>
        <v>10.471164658710343</v>
      </c>
      <c r="Y402" s="4">
        <f t="shared" si="744"/>
        <v>17.89866045538005</v>
      </c>
      <c r="Z402" s="4">
        <f t="shared" si="744"/>
        <v>15.643042290953037</v>
      </c>
      <c r="AA402" s="4">
        <f t="shared" si="744"/>
        <v>20.574257734104144</v>
      </c>
      <c r="AB402" s="4">
        <f t="shared" si="744"/>
        <v>14.675674668133919</v>
      </c>
      <c r="AC402" s="4">
        <f t="shared" ca="1" si="744"/>
        <v>28.925208997591412</v>
      </c>
      <c r="AD402" s="4">
        <f t="shared" ca="1" si="744"/>
        <v>24.418862232196087</v>
      </c>
      <c r="AE402" s="4">
        <f t="shared" ca="1" si="744"/>
        <v>29.792718563009295</v>
      </c>
      <c r="AF402" s="4">
        <f t="shared" ca="1" si="744"/>
        <v>37.678417293214359</v>
      </c>
      <c r="AG402" s="4">
        <f t="shared" ca="1" si="744"/>
        <v>48.298753174588697</v>
      </c>
      <c r="AH402" s="4">
        <f t="shared" ca="1" si="744"/>
        <v>62.068040877270754</v>
      </c>
      <c r="AI402" s="4">
        <f t="shared" ca="1" si="744"/>
        <v>77.223011216917456</v>
      </c>
      <c r="AJ402" s="4">
        <f t="shared" ca="1" si="744"/>
        <v>94.37339884559718</v>
      </c>
      <c r="AK402" s="4">
        <f t="shared" ca="1" si="744"/>
        <v>115.02297707071151</v>
      </c>
      <c r="AL402" s="4">
        <f t="shared" ca="1" si="744"/>
        <v>137.48239474809233</v>
      </c>
      <c r="AM402" s="4">
        <f t="shared" ca="1" si="744"/>
        <v>165.40050734600086</v>
      </c>
      <c r="AN402" s="4">
        <f t="shared" ca="1" si="744"/>
        <v>196.56827097418159</v>
      </c>
    </row>
    <row r="403" spans="2:42">
      <c r="D403" t="s">
        <v>1</v>
      </c>
      <c r="I403" s="1"/>
      <c r="J403" s="1"/>
      <c r="K403" s="1"/>
      <c r="L403" s="1">
        <f t="shared" ref="L403:Y403" si="745">+L402/AVERAGE(K400:L400)</f>
        <v>1.2570877065991153E-2</v>
      </c>
      <c r="M403" s="1">
        <f t="shared" si="745"/>
        <v>-2.0411103851916943E-2</v>
      </c>
      <c r="N403" s="1">
        <f t="shared" si="745"/>
        <v>0.13294004896579115</v>
      </c>
      <c r="O403" s="1">
        <f t="shared" si="745"/>
        <v>0.16453057103981042</v>
      </c>
      <c r="P403" s="1">
        <f t="shared" si="745"/>
        <v>0.10051120723554849</v>
      </c>
      <c r="Q403" s="1">
        <f t="shared" si="745"/>
        <v>0.23519666758260402</v>
      </c>
      <c r="R403" s="1">
        <f t="shared" si="745"/>
        <v>0.78718656953755106</v>
      </c>
      <c r="S403" s="1">
        <f t="shared" si="745"/>
        <v>0.3599257596819157</v>
      </c>
      <c r="T403" s="1">
        <f t="shared" si="745"/>
        <v>0.35541336463396728</v>
      </c>
      <c r="U403" s="1">
        <f t="shared" si="745"/>
        <v>0.39215716105965814</v>
      </c>
      <c r="V403" s="1">
        <f t="shared" si="745"/>
        <v>0.59415554509782964</v>
      </c>
      <c r="W403" s="1">
        <f t="shared" si="745"/>
        <v>0.52019713358606279</v>
      </c>
      <c r="X403" s="1">
        <f t="shared" si="745"/>
        <v>0.41800531030630805</v>
      </c>
      <c r="Y403" s="1">
        <f t="shared" si="745"/>
        <v>0.51594912602870169</v>
      </c>
      <c r="Z403" s="1">
        <f>+Z402/AVERAGE(Y400:Z400)</f>
        <v>0.42661347403641986</v>
      </c>
      <c r="AA403" s="1">
        <f t="shared" ref="AA403:AL403" si="746">+AA402/AVERAGE(Z400:AA400)</f>
        <v>0.50259365994236316</v>
      </c>
      <c r="AB403" s="1">
        <f t="shared" si="746"/>
        <v>0.2952064546748932</v>
      </c>
      <c r="AC403" s="1">
        <f t="shared" ca="1" si="746"/>
        <v>0.4765110506187778</v>
      </c>
      <c r="AD403" s="1">
        <f t="shared" ca="1" si="746"/>
        <v>0.30528330030101392</v>
      </c>
      <c r="AE403" s="1">
        <f t="shared" ca="1" si="746"/>
        <v>0.29859737896631028</v>
      </c>
      <c r="AF403" s="1">
        <f t="shared" ca="1" si="746"/>
        <v>0.2994491696090027</v>
      </c>
      <c r="AG403" s="1">
        <f t="shared" ca="1" si="746"/>
        <v>0.30043705602091991</v>
      </c>
      <c r="AH403" s="1">
        <f t="shared" ca="1" si="746"/>
        <v>0.29898631584370894</v>
      </c>
      <c r="AI403" s="1">
        <f t="shared" ca="1" si="746"/>
        <v>0.28758809988948486</v>
      </c>
      <c r="AJ403" s="1">
        <f t="shared" ca="1" si="746"/>
        <v>0.27326268972960155</v>
      </c>
      <c r="AK403" s="1">
        <f t="shared" ca="1" si="746"/>
        <v>0.26086414536881419</v>
      </c>
      <c r="AL403" s="1">
        <f t="shared" ca="1" si="746"/>
        <v>0.24643514535083713</v>
      </c>
      <c r="AM403" s="1">
        <f t="shared" ref="AM403" ca="1" si="747">+AM402/AVERAGE(AL400:AM400)</f>
        <v>0.23630784360727705</v>
      </c>
      <c r="AN403" s="1">
        <f t="shared" ref="AN403" ca="1" si="748">+AN402/AVERAGE(AM400:AN400)</f>
        <v>0.22558150235409757</v>
      </c>
    </row>
    <row r="404" spans="2:42">
      <c r="D404" t="s">
        <v>218</v>
      </c>
      <c r="I404" s="1"/>
      <c r="J404" s="1"/>
      <c r="K404" s="1"/>
      <c r="L404" s="1">
        <f>+L402/AVERAGE(K401:L401)</f>
        <v>2.3438905884470188E-2</v>
      </c>
      <c r="M404" s="1">
        <f t="shared" ref="M404:AK404" si="749">+M402/AVERAGE(L401:M401)</f>
        <v>-3.4156556663178399E-2</v>
      </c>
      <c r="N404" s="1">
        <f t="shared" si="749"/>
        <v>0.19078038451013968</v>
      </c>
      <c r="O404" s="1">
        <f t="shared" si="749"/>
        <v>0.24810742386259277</v>
      </c>
      <c r="P404" s="1">
        <f t="shared" si="749"/>
        <v>0.19024226861672422</v>
      </c>
      <c r="Q404" s="1">
        <f t="shared" si="749"/>
        <v>0.41915360212344749</v>
      </c>
      <c r="R404" s="1">
        <f t="shared" si="749"/>
        <v>1.084022166816675</v>
      </c>
      <c r="S404" s="1">
        <f t="shared" si="749"/>
        <v>0.44289956448719109</v>
      </c>
      <c r="T404" s="1">
        <f t="shared" si="749"/>
        <v>0.46137634717134191</v>
      </c>
      <c r="U404" s="1">
        <f t="shared" si="749"/>
        <v>0.54783689865144902</v>
      </c>
      <c r="V404" s="1">
        <f t="shared" si="749"/>
        <v>1.0195854156907498</v>
      </c>
      <c r="W404" s="1">
        <f t="shared" si="749"/>
        <v>1.5988862463019917</v>
      </c>
      <c r="X404" s="1">
        <f t="shared" si="749"/>
        <v>2.0644356992008333</v>
      </c>
      <c r="Y404" s="1">
        <f t="shared" si="749"/>
        <v>1.9317545199898143</v>
      </c>
      <c r="Z404" s="1">
        <f t="shared" si="749"/>
        <v>1.0207852193995384</v>
      </c>
      <c r="AA404" s="1">
        <f t="shared" si="749"/>
        <v>1.319213313161876</v>
      </c>
      <c r="AB404" s="1">
        <f t="shared" si="749"/>
        <v>1.0614334470989761</v>
      </c>
      <c r="AC404" s="1">
        <f t="shared" ca="1" si="749"/>
        <v>1.287087712137005</v>
      </c>
      <c r="AD404" s="1">
        <f t="shared" ca="1" si="749"/>
        <v>0.55768935964659172</v>
      </c>
      <c r="AE404" s="1">
        <f t="shared" ca="1" si="749"/>
        <v>0.49441456629745162</v>
      </c>
      <c r="AF404" s="1">
        <f t="shared" ca="1" si="749"/>
        <v>0.56006716073186669</v>
      </c>
      <c r="AG404" s="1">
        <f t="shared" ca="1" si="749"/>
        <v>0.61174089610009263</v>
      </c>
      <c r="AH404" s="1">
        <f t="shared" ca="1" si="749"/>
        <v>0.61815997478890372</v>
      </c>
      <c r="AI404" s="1">
        <f t="shared" ca="1" si="749"/>
        <v>0.59000146030398271</v>
      </c>
      <c r="AJ404" s="1">
        <f t="shared" ca="1" si="749"/>
        <v>0.55748197011868916</v>
      </c>
      <c r="AK404" s="1">
        <f t="shared" ca="1" si="749"/>
        <v>0.53186618640974981</v>
      </c>
      <c r="AL404" s="1">
        <f t="shared" ref="AL404" ca="1" si="750">+AL402/AVERAGE(AK401:AL401)</f>
        <v>0.50914220760742768</v>
      </c>
      <c r="AM404" s="1">
        <f t="shared" ref="AM404" ca="1" si="751">+AM402/AVERAGE(AL401:AM401)</f>
        <v>0.50008051970312306</v>
      </c>
      <c r="AN404" s="1">
        <f t="shared" ref="AN404" ca="1" si="752">+AN402/AVERAGE(AM401:AN401)</f>
        <v>0.48877023903130196</v>
      </c>
    </row>
    <row r="405" spans="2:42">
      <c r="D405" t="s">
        <v>175</v>
      </c>
      <c r="I405" s="6"/>
      <c r="J405" s="6"/>
      <c r="K405" s="6"/>
      <c r="L405" s="6">
        <f t="shared" ref="L405:AN405" si="753">SUM(L242,L247,L248,L252,L253,L254,L255)</f>
        <v>41.445</v>
      </c>
      <c r="M405" s="6">
        <f t="shared" si="753"/>
        <v>78.816000000000003</v>
      </c>
      <c r="N405" s="6">
        <f t="shared" si="753"/>
        <v>106.224</v>
      </c>
      <c r="O405" s="6">
        <f t="shared" si="753"/>
        <v>155.58199999999999</v>
      </c>
      <c r="P405" s="6">
        <f t="shared" si="753"/>
        <v>151.05800000000002</v>
      </c>
      <c r="Q405" s="6">
        <f t="shared" si="753"/>
        <v>189.09200000000001</v>
      </c>
      <c r="R405" s="6">
        <f t="shared" si="753"/>
        <v>256.28000000000003</v>
      </c>
      <c r="S405" s="6">
        <f t="shared" si="753"/>
        <v>303.16000000000003</v>
      </c>
      <c r="T405" s="6">
        <f t="shared" si="753"/>
        <v>743.16899999999998</v>
      </c>
      <c r="U405" s="6">
        <f t="shared" si="753"/>
        <v>554.45299999999997</v>
      </c>
      <c r="V405" s="6">
        <f t="shared" si="753"/>
        <v>692.45699999999999</v>
      </c>
      <c r="W405" s="6">
        <f t="shared" si="753"/>
        <v>804.07600000000002</v>
      </c>
      <c r="X405" s="6">
        <f t="shared" si="753"/>
        <v>937.1</v>
      </c>
      <c r="Y405" s="6">
        <f t="shared" si="753"/>
        <v>1234.5</v>
      </c>
      <c r="Z405" s="6">
        <f t="shared" si="753"/>
        <v>1183</v>
      </c>
      <c r="AA405" s="6">
        <f t="shared" si="753"/>
        <v>1497</v>
      </c>
      <c r="AB405" s="6">
        <f t="shared" si="753"/>
        <v>2638</v>
      </c>
      <c r="AC405" s="6">
        <f t="shared" ca="1" si="753"/>
        <v>3856.9553229348226</v>
      </c>
      <c r="AD405" s="6">
        <f t="shared" ca="1" si="753"/>
        <v>4377.6330062976722</v>
      </c>
      <c r="AE405" s="6">
        <f t="shared" ca="1" si="753"/>
        <v>5335.0382011574675</v>
      </c>
      <c r="AF405" s="6">
        <f t="shared" ca="1" si="753"/>
        <v>6528.6661938032867</v>
      </c>
      <c r="AG405" s="6">
        <f t="shared" ca="1" si="753"/>
        <v>7985.7072404409246</v>
      </c>
      <c r="AH405" s="6">
        <f t="shared" ca="1" si="753"/>
        <v>9788.6756996501554</v>
      </c>
      <c r="AI405" s="6">
        <f t="shared" ca="1" si="753"/>
        <v>11976.259197308736</v>
      </c>
      <c r="AJ405" s="6">
        <f t="shared" ca="1" si="753"/>
        <v>14573.317956553678</v>
      </c>
      <c r="AK405" s="6">
        <f t="shared" ca="1" si="753"/>
        <v>17663.95358245253</v>
      </c>
      <c r="AL405" s="6">
        <f t="shared" ca="1" si="753"/>
        <v>21387.645596043345</v>
      </c>
      <c r="AM405" s="6">
        <f t="shared" ca="1" si="753"/>
        <v>25709.568297713722</v>
      </c>
      <c r="AN405" s="6">
        <f t="shared" ca="1" si="753"/>
        <v>30714.349184981897</v>
      </c>
    </row>
    <row r="406" spans="2:42">
      <c r="D406" t="s">
        <v>219</v>
      </c>
      <c r="I406" s="6"/>
      <c r="J406" s="6"/>
      <c r="K406" s="6"/>
      <c r="L406" s="6">
        <f t="shared" ref="L406:AN406" si="754">+L405-L227</f>
        <v>23.16</v>
      </c>
      <c r="M406" s="6">
        <f t="shared" si="754"/>
        <v>53.009</v>
      </c>
      <c r="N406" s="6">
        <f t="shared" si="754"/>
        <v>86.427999999999997</v>
      </c>
      <c r="O406" s="6">
        <f t="shared" si="754"/>
        <v>125.17699999999999</v>
      </c>
      <c r="P406" s="6">
        <f t="shared" si="754"/>
        <v>117.80900000000003</v>
      </c>
      <c r="Q406" s="6">
        <f t="shared" si="754"/>
        <v>158.18100000000001</v>
      </c>
      <c r="R406" s="6">
        <f t="shared" si="754"/>
        <v>222.78800000000004</v>
      </c>
      <c r="S406" s="6">
        <f t="shared" si="754"/>
        <v>261.84700000000004</v>
      </c>
      <c r="T406" s="6">
        <f t="shared" si="754"/>
        <v>665.202</v>
      </c>
      <c r="U406" s="6">
        <f t="shared" si="754"/>
        <v>483.774</v>
      </c>
      <c r="V406" s="6">
        <f t="shared" si="754"/>
        <v>513.98599999999999</v>
      </c>
      <c r="W406" s="6">
        <f t="shared" si="754"/>
        <v>450.577</v>
      </c>
      <c r="X406" s="6">
        <f t="shared" si="754"/>
        <v>448.1</v>
      </c>
      <c r="Y406" s="6">
        <f t="shared" si="754"/>
        <v>645.9</v>
      </c>
      <c r="Z406" s="6">
        <f t="shared" si="754"/>
        <v>867</v>
      </c>
      <c r="AA406" s="6">
        <f t="shared" si="754"/>
        <v>739</v>
      </c>
      <c r="AB406" s="6">
        <f t="shared" si="754"/>
        <v>1875</v>
      </c>
      <c r="AC406" s="6">
        <f t="shared" ca="1" si="754"/>
        <v>2999.706222538121</v>
      </c>
      <c r="AD406" s="6">
        <f t="shared" ca="1" si="754"/>
        <v>3700.5403528676406</v>
      </c>
      <c r="AE406" s="6">
        <f t="shared" ca="1" si="754"/>
        <v>4337.2805265228717</v>
      </c>
      <c r="AF406" s="6">
        <f t="shared" ca="1" si="754"/>
        <v>5044.8561460475903</v>
      </c>
      <c r="AG406" s="6">
        <f t="shared" ca="1" si="754"/>
        <v>6002.2150976476787</v>
      </c>
      <c r="AH406" s="6">
        <f t="shared" ca="1" si="754"/>
        <v>7229.2467290046625</v>
      </c>
      <c r="AI406" s="6">
        <f t="shared" ca="1" si="754"/>
        <v>8702.3652638663789</v>
      </c>
      <c r="AJ406" s="6">
        <f t="shared" ca="1" si="754"/>
        <v>10384.713061443666</v>
      </c>
      <c r="AK406" s="6">
        <f t="shared" ca="1" si="754"/>
        <v>12330.459254544377</v>
      </c>
      <c r="AL406" s="6">
        <f t="shared" ca="1" si="754"/>
        <v>14520.871129031733</v>
      </c>
      <c r="AM406" s="6">
        <f t="shared" ca="1" si="754"/>
        <v>16928.989864004849</v>
      </c>
      <c r="AN406" s="6">
        <f t="shared" ca="1" si="754"/>
        <v>19608.133060148783</v>
      </c>
    </row>
    <row r="407" spans="2:42">
      <c r="D407" t="s">
        <v>433</v>
      </c>
      <c r="I407" s="56"/>
      <c r="J407" s="56"/>
      <c r="K407" s="56"/>
      <c r="L407" s="56">
        <f t="shared" ref="L407:Q407" si="755">+(L171*(1+SUM(L176,L178)))/AVERAGE(K405:L405)</f>
        <v>1.0197706983928729E-2</v>
      </c>
      <c r="M407" s="56">
        <f t="shared" si="755"/>
        <v>-8.8913589686603595E-2</v>
      </c>
      <c r="N407" s="56">
        <f t="shared" si="755"/>
        <v>0.11603371532264592</v>
      </c>
      <c r="O407" s="56">
        <f t="shared" si="755"/>
        <v>0.1220599132848199</v>
      </c>
      <c r="P407" s="56">
        <f t="shared" si="755"/>
        <v>7.70030749306721E-2</v>
      </c>
      <c r="Q407" s="56">
        <f t="shared" si="755"/>
        <v>0.19687401828816145</v>
      </c>
      <c r="R407" s="65">
        <f>+(R171*(1-SUM(0.25)))/AVERAGE(Q405:R405)</f>
        <v>0.27037734747581771</v>
      </c>
      <c r="S407" s="56">
        <f t="shared" ref="S407:X407" si="756">+(S171*(1+SUM(S176,S178)))/AVERAGE(R405:S405)</f>
        <v>0.27400462708103596</v>
      </c>
      <c r="T407" s="56">
        <f t="shared" si="756"/>
        <v>0.18742367428506562</v>
      </c>
      <c r="U407" s="56">
        <f t="shared" si="756"/>
        <v>0.17181075531743256</v>
      </c>
      <c r="V407" s="56">
        <f t="shared" si="756"/>
        <v>0.30237902827913032</v>
      </c>
      <c r="W407" s="56">
        <f t="shared" si="756"/>
        <v>0.28663194131721109</v>
      </c>
      <c r="X407" s="56">
        <f t="shared" si="756"/>
        <v>0.27180869169662697</v>
      </c>
      <c r="Y407" s="65">
        <f>+((Y171-Y15)*(1+SUM(Y176,Y178)))/AVERAGE(X405:Y405)</f>
        <v>0.3064353690291034</v>
      </c>
      <c r="Z407" s="56">
        <f t="shared" ref="Z407:AN407" si="757">+(Z171*(1+SUM(Z176,Z178)))/AVERAGE(Y405:Z405)</f>
        <v>0.29717987310623517</v>
      </c>
      <c r="AA407" s="56">
        <f t="shared" si="757"/>
        <v>0.34807358556056922</v>
      </c>
      <c r="AB407" s="56">
        <f t="shared" si="757"/>
        <v>0.15934091092301492</v>
      </c>
      <c r="AC407" s="56">
        <f t="shared" ca="1" si="757"/>
        <v>0.22912941330711212</v>
      </c>
      <c r="AD407" s="56">
        <f t="shared" ca="1" si="757"/>
        <v>0.17787655611056896</v>
      </c>
      <c r="AE407" s="56">
        <f t="shared" ca="1" si="757"/>
        <v>0.18291265235489407</v>
      </c>
      <c r="AF407" s="56">
        <f t="shared" ca="1" si="757"/>
        <v>0.18731198508064659</v>
      </c>
      <c r="AG407" s="56">
        <f t="shared" ca="1" si="757"/>
        <v>0.19195899004467221</v>
      </c>
      <c r="AH407" s="56">
        <f t="shared" ca="1" si="757"/>
        <v>0.19644519156710474</v>
      </c>
      <c r="AI407" s="56">
        <f t="shared" ca="1" si="757"/>
        <v>0.19692481604328274</v>
      </c>
      <c r="AJ407" s="56">
        <f t="shared" ca="1" si="757"/>
        <v>0.19485067103022027</v>
      </c>
      <c r="AK407" s="56">
        <f t="shared" ca="1" si="757"/>
        <v>0.19283541726506365</v>
      </c>
      <c r="AL407" s="56">
        <f t="shared" ca="1" si="757"/>
        <v>0.18863614886427552</v>
      </c>
      <c r="AM407" s="56">
        <f t="shared" ca="1" si="757"/>
        <v>0.18305487214652544</v>
      </c>
      <c r="AN407" s="56">
        <f t="shared" ca="1" si="757"/>
        <v>0.17751708711173605</v>
      </c>
    </row>
    <row r="408" spans="2:42">
      <c r="D408" t="s">
        <v>434</v>
      </c>
      <c r="E408" s="82"/>
      <c r="F408" s="82"/>
      <c r="G408" s="82"/>
      <c r="H408" s="82"/>
      <c r="I408" s="90"/>
      <c r="J408" s="90"/>
      <c r="K408" s="90"/>
      <c r="L408" s="139">
        <f t="shared" ref="L408:Q408" si="758">+(L171*(1+SUM(L176,L178)))/AVERAGE(K406:L406)</f>
        <v>1.824887590453049E-2</v>
      </c>
      <c r="M408" s="139">
        <f t="shared" si="758"/>
        <v>-0.14038305884678326</v>
      </c>
      <c r="N408" s="139">
        <f t="shared" si="758"/>
        <v>0.15398264939221584</v>
      </c>
      <c r="O408" s="139">
        <f t="shared" si="758"/>
        <v>0.15101730893620452</v>
      </c>
      <c r="P408" s="139">
        <f t="shared" si="758"/>
        <v>9.7175240123880749E-2</v>
      </c>
      <c r="Q408" s="139">
        <f t="shared" si="758"/>
        <v>0.24264175267480026</v>
      </c>
      <c r="R408" s="65">
        <f>+(R171*(1-SUM(0.25)))/AVERAGE(Q406:R406)</f>
        <v>0.31608477330176443</v>
      </c>
      <c r="S408" s="139">
        <f t="shared" ref="S408:X408" si="759">+(S171*(1+SUM(S176,S178)))/AVERAGE(R406:S406)</f>
        <v>0.31629813895862813</v>
      </c>
      <c r="T408" s="139">
        <f t="shared" si="759"/>
        <v>0.2115387921145683</v>
      </c>
      <c r="U408" s="139">
        <f t="shared" si="759"/>
        <v>0.19403835757798024</v>
      </c>
      <c r="V408" s="139">
        <f t="shared" si="759"/>
        <v>0.37788589856431443</v>
      </c>
      <c r="W408" s="139">
        <f t="shared" si="759"/>
        <v>0.44471347028164032</v>
      </c>
      <c r="X408" s="139">
        <f t="shared" si="759"/>
        <v>0.52662610768225526</v>
      </c>
      <c r="Y408" s="65">
        <f>+((Y171-Y15)*(1+SUM(Y176,Y178)))/AVERAGE(X406:Y406)</f>
        <v>0.60827700857733169</v>
      </c>
      <c r="Z408" s="139">
        <f t="shared" ref="Z408:AN408" si="760">+(Z171*(1+SUM(Z176,Z178)))/AVERAGE(Y406:Z406)</f>
        <v>0.47487100484785744</v>
      </c>
      <c r="AA408" s="139">
        <f t="shared" si="760"/>
        <v>0.5808450867386834</v>
      </c>
      <c r="AB408" s="139">
        <f t="shared" si="760"/>
        <v>0.25205610813567969</v>
      </c>
      <c r="AC408" s="139">
        <f t="shared" ca="1" si="760"/>
        <v>0.30528717724964866</v>
      </c>
      <c r="AD408" s="139">
        <f t="shared" ca="1" si="760"/>
        <v>0.21860989689076582</v>
      </c>
      <c r="AE408" s="139">
        <f t="shared" ca="1" si="760"/>
        <v>0.22102637999334765</v>
      </c>
      <c r="AF408" s="139">
        <f t="shared" ca="1" si="760"/>
        <v>0.23685585684622748</v>
      </c>
      <c r="AG408" s="139">
        <f t="shared" ca="1" si="760"/>
        <v>0.25220842738375976</v>
      </c>
      <c r="AH408" s="139">
        <f t="shared" ca="1" si="760"/>
        <v>0.26389314403793995</v>
      </c>
      <c r="AI408" s="139">
        <f t="shared" ca="1" si="760"/>
        <v>0.2690283822312235</v>
      </c>
      <c r="AJ408" s="139">
        <f t="shared" ca="1" si="760"/>
        <v>0.27103168100582858</v>
      </c>
      <c r="AK408" s="139">
        <f t="shared" ca="1" si="760"/>
        <v>0.27367116666493241</v>
      </c>
      <c r="AL408" s="139">
        <f t="shared" ca="1" si="760"/>
        <v>0.27434556019349376</v>
      </c>
      <c r="AM408" s="139">
        <f t="shared" ca="1" si="760"/>
        <v>0.27413076546469151</v>
      </c>
      <c r="AN408" s="139">
        <f t="shared" ca="1" si="760"/>
        <v>0.27413788151172841</v>
      </c>
    </row>
    <row r="409" spans="2:42">
      <c r="L409" s="91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3"/>
      <c r="AA409" s="92"/>
    </row>
    <row r="410" spans="2:42">
      <c r="D410" s="61" t="s">
        <v>177</v>
      </c>
      <c r="I410" s="56"/>
      <c r="J410" s="56"/>
      <c r="K410" s="56"/>
      <c r="L410" s="56">
        <f>+L420</f>
        <v>3.1506633930407433E-3</v>
      </c>
      <c r="M410" s="56">
        <f t="shared" ref="M410:AK410" si="761">+M420</f>
        <v>-5.8645182412139906E-3</v>
      </c>
      <c r="N410" s="56">
        <f t="shared" si="761"/>
        <v>4.5715837595618598E-2</v>
      </c>
      <c r="O410" s="56">
        <f t="shared" si="761"/>
        <v>4.5363232606827786E-2</v>
      </c>
      <c r="P410" s="56">
        <f t="shared" si="761"/>
        <v>2.3345663789560194E-2</v>
      </c>
      <c r="Q410" s="56">
        <f t="shared" si="761"/>
        <v>4.657985850953926E-2</v>
      </c>
      <c r="R410" s="56">
        <f t="shared" si="761"/>
        <v>0.20324022649775447</v>
      </c>
      <c r="S410" s="56">
        <f t="shared" si="761"/>
        <v>0.10400089756535391</v>
      </c>
      <c r="T410" s="56">
        <f t="shared" si="761"/>
        <v>7.7024281466798794E-2</v>
      </c>
      <c r="U410" s="56">
        <f t="shared" si="761"/>
        <v>6.1764811597675696E-2</v>
      </c>
      <c r="V410" s="56">
        <f>+V420</f>
        <v>9.6495746906532121E-2</v>
      </c>
      <c r="W410" s="56">
        <f t="shared" si="761"/>
        <v>9.7277945457266299E-2</v>
      </c>
      <c r="X410" s="56">
        <f t="shared" si="761"/>
        <v>8.9497459062676449E-2</v>
      </c>
      <c r="Y410" s="56">
        <f t="shared" si="761"/>
        <v>0.1239501977059573</v>
      </c>
      <c r="Z410" s="56">
        <f t="shared" si="761"/>
        <v>9.4999283564980649E-2</v>
      </c>
      <c r="AA410" s="56">
        <f t="shared" si="761"/>
        <v>0.10985134794658605</v>
      </c>
      <c r="AB410" s="56">
        <f t="shared" si="761"/>
        <v>3.3091834736635989E-2</v>
      </c>
      <c r="AC410" s="56">
        <f t="shared" ca="1" si="761"/>
        <v>0.10262651696422788</v>
      </c>
      <c r="AD410" s="56">
        <f t="shared" ca="1" si="761"/>
        <v>8.0284985109009485E-2</v>
      </c>
      <c r="AE410" s="56">
        <f t="shared" ca="1" si="761"/>
        <v>8.3139398449864302E-2</v>
      </c>
      <c r="AF410" s="56">
        <f t="shared" ca="1" si="761"/>
        <v>8.8643709603936069E-2</v>
      </c>
      <c r="AG410" s="56">
        <f t="shared" ca="1" si="761"/>
        <v>9.6553438816665352E-2</v>
      </c>
      <c r="AH410" s="56">
        <f t="shared" ca="1" si="761"/>
        <v>0.10615123077039702</v>
      </c>
      <c r="AI410" s="56">
        <f t="shared" ca="1" si="761"/>
        <v>0.11504422445721382</v>
      </c>
      <c r="AJ410" s="56">
        <f t="shared" ca="1" si="761"/>
        <v>0.12406891561060111</v>
      </c>
      <c r="AK410" s="56">
        <f t="shared" ca="1" si="761"/>
        <v>0.13441009782971239</v>
      </c>
      <c r="AL410" s="56">
        <f t="shared" ref="AL410" ca="1" si="762">+AL420</f>
        <v>0.14457934645689746</v>
      </c>
      <c r="AM410" s="56">
        <f t="shared" ref="AM410:AN410" ca="1" si="763">+AM420</f>
        <v>0.1547447640126009</v>
      </c>
      <c r="AN410" s="56">
        <f t="shared" ca="1" si="763"/>
        <v>0.16508748286342945</v>
      </c>
    </row>
    <row r="411" spans="2:42">
      <c r="D411" s="61" t="s">
        <v>178</v>
      </c>
      <c r="I411" s="56"/>
      <c r="J411" s="56"/>
      <c r="K411" s="56"/>
      <c r="L411" s="56">
        <f t="shared" ref="L411:AN411" si="764">+L159/L240</f>
        <v>1.0434052863714089</v>
      </c>
      <c r="M411" s="56">
        <f t="shared" si="764"/>
        <v>1.1296510693037465</v>
      </c>
      <c r="N411" s="56">
        <f t="shared" si="764"/>
        <v>0.90969765709515749</v>
      </c>
      <c r="O411" s="56">
        <f t="shared" si="764"/>
        <v>0.85674664786585764</v>
      </c>
      <c r="P411" s="56">
        <f t="shared" si="764"/>
        <v>0.92785667523321425</v>
      </c>
      <c r="Q411" s="56">
        <f t="shared" si="764"/>
        <v>1.1829492889783721</v>
      </c>
      <c r="R411" s="56">
        <f t="shared" si="764"/>
        <v>1.2264060579629701</v>
      </c>
      <c r="S411" s="56">
        <f t="shared" si="764"/>
        <v>1.0967429944664497</v>
      </c>
      <c r="T411" s="56">
        <f t="shared" si="764"/>
        <v>0.78740771956111189</v>
      </c>
      <c r="U411" s="56">
        <f t="shared" si="764"/>
        <v>1.1647972088966418</v>
      </c>
      <c r="V411" s="56">
        <f t="shared" si="764"/>
        <v>1.1213850864992803</v>
      </c>
      <c r="W411" s="56">
        <f t="shared" si="764"/>
        <v>1.1282877638560078</v>
      </c>
      <c r="X411" s="56">
        <f t="shared" si="764"/>
        <v>1.0835591294467268</v>
      </c>
      <c r="Y411" s="56">
        <f t="shared" si="764"/>
        <v>1.0424814335354635</v>
      </c>
      <c r="Z411" s="56">
        <f t="shared" si="764"/>
        <v>1.0004300458715596</v>
      </c>
      <c r="AA411" s="56">
        <f t="shared" si="764"/>
        <v>0.90720000000000001</v>
      </c>
      <c r="AB411" s="56">
        <f t="shared" si="764"/>
        <v>0.88570933055844603</v>
      </c>
      <c r="AC411" s="56">
        <f t="shared" ca="1" si="764"/>
        <v>0.90939902055682709</v>
      </c>
      <c r="AD411" s="56">
        <f t="shared" ca="1" si="764"/>
        <v>0.9620523844587886</v>
      </c>
      <c r="AE411" s="56">
        <f t="shared" ca="1" si="764"/>
        <v>0.97491924667857666</v>
      </c>
      <c r="AF411" s="56">
        <f t="shared" ca="1" si="764"/>
        <v>0.97761669990871214</v>
      </c>
      <c r="AG411" s="56">
        <f t="shared" ca="1" si="764"/>
        <v>0.96452704763681563</v>
      </c>
      <c r="AH411" s="56">
        <f t="shared" ca="1" si="764"/>
        <v>0.94088659532880081</v>
      </c>
      <c r="AI411" s="56">
        <f t="shared" ca="1" si="764"/>
        <v>0.90994866204545422</v>
      </c>
      <c r="AJ411" s="56">
        <f t="shared" ca="1" si="764"/>
        <v>0.87192206517580539</v>
      </c>
      <c r="AK411" s="56">
        <f t="shared" ca="1" si="764"/>
        <v>0.82985869189639005</v>
      </c>
      <c r="AL411" s="56">
        <f t="shared" ca="1" si="764"/>
        <v>0.78300769459974229</v>
      </c>
      <c r="AM411" s="56">
        <f t="shared" ca="1" si="764"/>
        <v>0.73572222250394437</v>
      </c>
      <c r="AN411" s="56">
        <f t="shared" ca="1" si="764"/>
        <v>0.69052995604145806</v>
      </c>
    </row>
    <row r="412" spans="2:42">
      <c r="D412" s="61" t="s">
        <v>179</v>
      </c>
      <c r="I412" s="56"/>
      <c r="J412" s="56"/>
      <c r="K412" s="56"/>
      <c r="L412" s="56">
        <f t="shared" ref="L412:AN412" si="765">+L240/SUM(L252:L255)</f>
        <v>3.8239353359874535</v>
      </c>
      <c r="M412" s="56">
        <f t="shared" si="765"/>
        <v>2.367158952496955</v>
      </c>
      <c r="N412" s="56">
        <f t="shared" si="765"/>
        <v>3.0748256255611057</v>
      </c>
      <c r="O412" s="56">
        <f t="shared" si="765"/>
        <v>4.0447778406827277</v>
      </c>
      <c r="P412" s="56">
        <f t="shared" si="765"/>
        <v>4.3679412907882806</v>
      </c>
      <c r="Q412" s="56">
        <f t="shared" si="765"/>
        <v>3.7463492041299951</v>
      </c>
      <c r="R412" s="56">
        <f t="shared" si="765"/>
        <v>2.4604924301545186</v>
      </c>
      <c r="S412" s="56">
        <f t="shared" si="765"/>
        <v>3.1401330736773776</v>
      </c>
      <c r="T412" s="56">
        <f t="shared" si="765"/>
        <v>5.7808638378339765</v>
      </c>
      <c r="U412" s="56">
        <f t="shared" si="765"/>
        <v>5.5156043736120779</v>
      </c>
      <c r="V412" s="56">
        <f t="shared" si="765"/>
        <v>4.8603838924105052</v>
      </c>
      <c r="W412" s="56">
        <f t="shared" si="765"/>
        <v>4.1167736590974169</v>
      </c>
      <c r="X412" s="56">
        <f t="shared" si="765"/>
        <v>3.7871565706719625</v>
      </c>
      <c r="Y412" s="56">
        <f t="shared" si="765"/>
        <v>3.3892160258630648</v>
      </c>
      <c r="Z412" s="56">
        <f t="shared" si="765"/>
        <v>5.0697674418604652</v>
      </c>
      <c r="AA412" s="56">
        <f t="shared" si="765"/>
        <v>4.1786055396370578</v>
      </c>
      <c r="AB412" s="56">
        <f t="shared" si="765"/>
        <v>3.793421052631579</v>
      </c>
      <c r="AC412" s="56">
        <f t="shared" ca="1" si="765"/>
        <v>3.5410158990922489</v>
      </c>
      <c r="AD412" s="56">
        <f t="shared" ca="1" si="765"/>
        <v>3.228300823162352</v>
      </c>
      <c r="AE412" s="56">
        <f t="shared" ca="1" si="765"/>
        <v>3.0401132066876047</v>
      </c>
      <c r="AF412" s="56">
        <f t="shared" ca="1" si="765"/>
        <v>2.85110362927864</v>
      </c>
      <c r="AG412" s="56">
        <f t="shared" ca="1" si="765"/>
        <v>2.646792480147568</v>
      </c>
      <c r="AH412" s="56">
        <f t="shared" ca="1" si="765"/>
        <v>2.4504029545937018</v>
      </c>
      <c r="AI412" s="56">
        <f t="shared" ca="1" si="765"/>
        <v>2.2734570131304546</v>
      </c>
      <c r="AJ412" s="56">
        <f t="shared" ca="1" si="765"/>
        <v>2.1139416397518533</v>
      </c>
      <c r="AK412" s="56">
        <f t="shared" ca="1" si="765"/>
        <v>1.9742629289144331</v>
      </c>
      <c r="AL412" s="56">
        <f t="shared" ca="1" si="765"/>
        <v>1.8595815986334785</v>
      </c>
      <c r="AM412" s="56">
        <f t="shared" ca="1" si="765"/>
        <v>1.7603739607848659</v>
      </c>
      <c r="AN412" s="56">
        <f t="shared" ca="1" si="765"/>
        <v>1.6767644793290997</v>
      </c>
    </row>
    <row r="413" spans="2:42">
      <c r="D413" s="61" t="s">
        <v>1</v>
      </c>
      <c r="I413" s="1"/>
      <c r="J413" s="1"/>
      <c r="K413" s="1"/>
      <c r="L413" s="1">
        <f>+L410*L411*L412</f>
        <v>1.2570877065991155E-2</v>
      </c>
      <c r="M413" s="1">
        <f t="shared" ref="M413:AL413" si="766">+M410*M411*M412</f>
        <v>-1.5682095006090378E-2</v>
      </c>
      <c r="N413" s="1">
        <f t="shared" si="766"/>
        <v>0.12787458852236389</v>
      </c>
      <c r="O413" s="1">
        <f t="shared" si="766"/>
        <v>0.1571994715984148</v>
      </c>
      <c r="P413" s="1">
        <f t="shared" si="766"/>
        <v>9.4615854448536832E-2</v>
      </c>
      <c r="Q413" s="1">
        <f t="shared" si="766"/>
        <v>0.20642987466008669</v>
      </c>
      <c r="R413" s="1">
        <f t="shared" si="766"/>
        <v>0.61329015139690923</v>
      </c>
      <c r="S413" s="1">
        <f t="shared" si="766"/>
        <v>0.35817066196813008</v>
      </c>
      <c r="T413" s="1">
        <f t="shared" si="766"/>
        <v>0.3506065812277489</v>
      </c>
      <c r="U413" s="1">
        <f t="shared" si="766"/>
        <v>0.39681177380682064</v>
      </c>
      <c r="V413" s="1">
        <f>+V410*V411*V412</f>
        <v>0.52593675322134048</v>
      </c>
      <c r="W413" s="1">
        <f t="shared" si="766"/>
        <v>0.4518468489144481</v>
      </c>
      <c r="X413" s="1">
        <f t="shared" si="766"/>
        <v>0.3672624958622972</v>
      </c>
      <c r="Y413" s="1">
        <f t="shared" si="766"/>
        <v>0.43794019166378012</v>
      </c>
      <c r="Z413" s="1">
        <f t="shared" si="766"/>
        <v>0.48183139534883718</v>
      </c>
      <c r="AA413" s="1">
        <f t="shared" si="766"/>
        <v>0.41642788920725882</v>
      </c>
      <c r="AB413" s="1">
        <f t="shared" si="766"/>
        <v>0.11118421052631577</v>
      </c>
      <c r="AC413" s="1">
        <f t="shared" ca="1" si="766"/>
        <v>0.3304775394886233</v>
      </c>
      <c r="AD413" s="1">
        <f t="shared" ca="1" si="766"/>
        <v>0.24934866555936433</v>
      </c>
      <c r="AE413" s="1">
        <f t="shared" ca="1" si="766"/>
        <v>0.24641394298386241</v>
      </c>
      <c r="AF413" s="1">
        <f t="shared" ca="1" si="766"/>
        <v>0.24707541696406382</v>
      </c>
      <c r="AG413" s="1">
        <f t="shared" ca="1" si="766"/>
        <v>0.24649155749235424</v>
      </c>
      <c r="AH413" s="1">
        <f t="shared" ca="1" si="766"/>
        <v>0.24473710737016813</v>
      </c>
      <c r="AI413" s="1">
        <f t="shared" ca="1" si="766"/>
        <v>0.2379953426658768</v>
      </c>
      <c r="AJ413" s="1">
        <f t="shared" ca="1" si="766"/>
        <v>0.22868287739096005</v>
      </c>
      <c r="AK413" s="1">
        <f t="shared" ca="1" si="766"/>
        <v>0.22021202729428485</v>
      </c>
      <c r="AL413" s="1">
        <f t="shared" ca="1" si="766"/>
        <v>0.21051717195104031</v>
      </c>
      <c r="AM413" s="1">
        <f t="shared" ref="AM413:AN413" ca="1" si="767">+AM410*AM411*AM412</f>
        <v>0.20041709971421617</v>
      </c>
      <c r="AN413" s="1">
        <f t="shared" ca="1" si="767"/>
        <v>0.19114754943075524</v>
      </c>
    </row>
    <row r="415" spans="2:42">
      <c r="C415" s="94"/>
      <c r="D415" s="95" t="s">
        <v>205</v>
      </c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4"/>
      <c r="AC415" s="94"/>
      <c r="AD415" s="94"/>
      <c r="AE415" s="94"/>
      <c r="AF415" s="94"/>
      <c r="AG415" s="94"/>
      <c r="AH415" s="94"/>
      <c r="AI415" s="94"/>
      <c r="AJ415" s="94"/>
      <c r="AK415" s="94"/>
      <c r="AL415" s="94"/>
      <c r="AM415" s="94"/>
      <c r="AN415" s="94"/>
    </row>
    <row r="416" spans="2:42" ht="5.15" customHeight="1"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4"/>
      <c r="AN416" s="54"/>
      <c r="AO416" s="6"/>
      <c r="AP416" s="1"/>
    </row>
    <row r="417" spans="4:40">
      <c r="D417" s="61" t="s">
        <v>157</v>
      </c>
      <c r="I417" s="56"/>
      <c r="J417" s="56"/>
      <c r="K417" s="56"/>
      <c r="L417" s="56">
        <f t="shared" ref="L417:AN417" si="768">+L161/L$159</f>
        <v>1</v>
      </c>
      <c r="M417" s="56">
        <f t="shared" si="768"/>
        <v>1</v>
      </c>
      <c r="N417" s="56">
        <f t="shared" si="768"/>
        <v>1</v>
      </c>
      <c r="O417" s="56">
        <f t="shared" si="768"/>
        <v>1</v>
      </c>
      <c r="P417" s="56">
        <f t="shared" si="768"/>
        <v>1</v>
      </c>
      <c r="Q417" s="56">
        <f t="shared" si="768"/>
        <v>1</v>
      </c>
      <c r="R417" s="56">
        <f t="shared" si="768"/>
        <v>1</v>
      </c>
      <c r="S417" s="56">
        <f t="shared" si="768"/>
        <v>1</v>
      </c>
      <c r="T417" s="56">
        <f t="shared" si="768"/>
        <v>1</v>
      </c>
      <c r="U417" s="56">
        <f t="shared" si="768"/>
        <v>1</v>
      </c>
      <c r="V417" s="56">
        <f t="shared" si="768"/>
        <v>1</v>
      </c>
      <c r="W417" s="56">
        <f t="shared" si="768"/>
        <v>1</v>
      </c>
      <c r="X417" s="56">
        <f t="shared" si="768"/>
        <v>1</v>
      </c>
      <c r="Y417" s="56">
        <f t="shared" si="768"/>
        <v>1</v>
      </c>
      <c r="Z417" s="56">
        <f t="shared" si="768"/>
        <v>1</v>
      </c>
      <c r="AA417" s="56">
        <f t="shared" si="768"/>
        <v>1</v>
      </c>
      <c r="AB417" s="56">
        <f t="shared" si="768"/>
        <v>1</v>
      </c>
      <c r="AC417" s="56">
        <f t="shared" si="768"/>
        <v>1</v>
      </c>
      <c r="AD417" s="56">
        <f t="shared" si="768"/>
        <v>1</v>
      </c>
      <c r="AE417" s="56">
        <f t="shared" si="768"/>
        <v>1</v>
      </c>
      <c r="AF417" s="56">
        <f t="shared" si="768"/>
        <v>1</v>
      </c>
      <c r="AG417" s="56">
        <f t="shared" si="768"/>
        <v>1</v>
      </c>
      <c r="AH417" s="56">
        <f t="shared" si="768"/>
        <v>1</v>
      </c>
      <c r="AI417" s="56">
        <f t="shared" si="768"/>
        <v>1</v>
      </c>
      <c r="AJ417" s="56">
        <f t="shared" si="768"/>
        <v>1</v>
      </c>
      <c r="AK417" s="56">
        <f t="shared" si="768"/>
        <v>1</v>
      </c>
      <c r="AL417" s="56">
        <f t="shared" si="768"/>
        <v>1</v>
      </c>
      <c r="AM417" s="56">
        <f t="shared" si="768"/>
        <v>1</v>
      </c>
      <c r="AN417" s="56">
        <f t="shared" si="768"/>
        <v>1</v>
      </c>
    </row>
    <row r="418" spans="4:40">
      <c r="D418" s="61" t="s">
        <v>94</v>
      </c>
      <c r="I418" s="56"/>
      <c r="J418" s="56"/>
      <c r="K418" s="56"/>
      <c r="L418" s="56">
        <f t="shared" ref="L418:AN418" si="769">+L165/L$159</f>
        <v>0.14203988824518332</v>
      </c>
      <c r="M418" s="56">
        <f t="shared" si="769"/>
        <v>0.14634250494640791</v>
      </c>
      <c r="N418" s="56">
        <f t="shared" si="769"/>
        <v>0.16933376676281675</v>
      </c>
      <c r="O418" s="56">
        <f t="shared" si="769"/>
        <v>0.19465588808345335</v>
      </c>
      <c r="P418" s="56">
        <f t="shared" si="769"/>
        <v>0.20122847878704844</v>
      </c>
      <c r="Q418" s="56">
        <f t="shared" si="769"/>
        <v>0.18363474324292359</v>
      </c>
      <c r="R418" s="56">
        <f t="shared" si="769"/>
        <v>0.21811594109196328</v>
      </c>
      <c r="S418" s="56">
        <f t="shared" si="769"/>
        <v>0.20860540783125767</v>
      </c>
      <c r="T418" s="56">
        <f t="shared" si="769"/>
        <v>0.20135447637925338</v>
      </c>
      <c r="U418" s="56">
        <f t="shared" si="769"/>
        <v>0.21841490445096748</v>
      </c>
      <c r="V418" s="56">
        <f t="shared" si="769"/>
        <v>0.25170360369230643</v>
      </c>
      <c r="W418" s="56">
        <f t="shared" si="769"/>
        <v>0.2599358331851041</v>
      </c>
      <c r="X418" s="56">
        <f t="shared" si="769"/>
        <v>0.25965959506332181</v>
      </c>
      <c r="Y418" s="56">
        <f t="shared" si="769"/>
        <v>0.25610274174046593</v>
      </c>
      <c r="Z418" s="56">
        <f t="shared" si="769"/>
        <v>0.26751683622295458</v>
      </c>
      <c r="AA418" s="56">
        <f t="shared" si="769"/>
        <v>0.31040564373897706</v>
      </c>
      <c r="AB418" s="56">
        <f t="shared" si="769"/>
        <v>0.29626003524574113</v>
      </c>
      <c r="AC418" s="56">
        <f t="shared" si="769"/>
        <v>0.25528914546337439</v>
      </c>
      <c r="AD418" s="56">
        <f t="shared" si="769"/>
        <v>0.26819491901625109</v>
      </c>
      <c r="AE418" s="56">
        <f t="shared" si="769"/>
        <v>0.27225251651043286</v>
      </c>
      <c r="AF418" s="56">
        <f t="shared" si="769"/>
        <v>0.27596656838141181</v>
      </c>
      <c r="AG418" s="56">
        <f t="shared" si="769"/>
        <v>0.27909437753831845</v>
      </c>
      <c r="AH418" s="56">
        <f t="shared" si="769"/>
        <v>0.28183667057325279</v>
      </c>
      <c r="AI418" s="56">
        <f t="shared" si="769"/>
        <v>0.2842602585805038</v>
      </c>
      <c r="AJ418" s="56">
        <f t="shared" si="769"/>
        <v>0.28638959004591991</v>
      </c>
      <c r="AK418" s="56">
        <f t="shared" si="769"/>
        <v>0.28830096916633979</v>
      </c>
      <c r="AL418" s="56">
        <f t="shared" si="769"/>
        <v>0.29002615488303091</v>
      </c>
      <c r="AM418" s="56">
        <f t="shared" si="769"/>
        <v>0.2915907491900423</v>
      </c>
      <c r="AN418" s="56">
        <f t="shared" si="769"/>
        <v>0.29303487212561846</v>
      </c>
    </row>
    <row r="419" spans="4:40">
      <c r="D419" s="61" t="s">
        <v>176</v>
      </c>
      <c r="I419" s="56"/>
      <c r="J419" s="56"/>
      <c r="K419" s="56"/>
      <c r="L419" s="56">
        <f t="shared" ref="L419:AN419" si="770">+L171/L$159</f>
        <v>1.9593376954802212E-2</v>
      </c>
      <c r="M419" s="56">
        <f t="shared" si="770"/>
        <v>-1.7650491793945666E-3</v>
      </c>
      <c r="N419" s="56">
        <f t="shared" si="770"/>
        <v>5.9912024787777365E-2</v>
      </c>
      <c r="O419" s="56">
        <f t="shared" si="770"/>
        <v>5.4775331889196817E-2</v>
      </c>
      <c r="P419" s="56">
        <f t="shared" si="770"/>
        <v>4.6040553500479496E-2</v>
      </c>
      <c r="Q419" s="56">
        <f t="shared" si="770"/>
        <v>6.0680005994021839E-2</v>
      </c>
      <c r="R419" s="56">
        <f t="shared" si="770"/>
        <v>0.1038080225928794</v>
      </c>
      <c r="S419" s="56">
        <f t="shared" si="770"/>
        <v>0.10273645237293837</v>
      </c>
      <c r="T419" s="56">
        <f t="shared" si="770"/>
        <v>0.10279071688140072</v>
      </c>
      <c r="U419" s="56">
        <f t="shared" si="770"/>
        <v>0.10031030971065719</v>
      </c>
      <c r="V419" s="56">
        <f t="shared" si="770"/>
        <v>0.14131356589126212</v>
      </c>
      <c r="W419" s="56">
        <f t="shared" si="770"/>
        <v>0.13979575414830278</v>
      </c>
      <c r="X419" s="56">
        <f t="shared" si="770"/>
        <v>0.13797692990239574</v>
      </c>
      <c r="Y419" s="56">
        <f t="shared" si="770"/>
        <v>0.16153066893238779</v>
      </c>
      <c r="Z419" s="56">
        <f t="shared" si="770"/>
        <v>0.14113769881071786</v>
      </c>
      <c r="AA419" s="56">
        <f t="shared" si="770"/>
        <v>0.16225749559082892</v>
      </c>
      <c r="AB419" s="56">
        <f t="shared" si="770"/>
        <v>0.14313687096142549</v>
      </c>
      <c r="AC419" s="56">
        <f t="shared" ca="1" si="770"/>
        <v>0.14221791250482224</v>
      </c>
      <c r="AD419" s="56">
        <f t="shared" ca="1" si="770"/>
        <v>0.12566419573407123</v>
      </c>
      <c r="AE419" s="56">
        <f t="shared" ca="1" si="770"/>
        <v>0.12843502088889783</v>
      </c>
      <c r="AF419" s="56">
        <f t="shared" ca="1" si="770"/>
        <v>0.13598258508636879</v>
      </c>
      <c r="AG419" s="56">
        <f t="shared" ca="1" si="770"/>
        <v>0.14675283867909772</v>
      </c>
      <c r="AH419" s="56">
        <f t="shared" ca="1" si="770"/>
        <v>0.15963455197042409</v>
      </c>
      <c r="AI419" s="56">
        <f t="shared" ca="1" si="770"/>
        <v>0.17152405048093808</v>
      </c>
      <c r="AJ419" s="56">
        <f t="shared" ca="1" si="770"/>
        <v>0.18358025029708749</v>
      </c>
      <c r="AK419" s="56">
        <f t="shared" ca="1" si="770"/>
        <v>0.19731758144771094</v>
      </c>
      <c r="AL419" s="56">
        <f t="shared" ca="1" si="770"/>
        <v>0.21097536405859652</v>
      </c>
      <c r="AM419" s="56">
        <f t="shared" ca="1" si="770"/>
        <v>0.22476225250418952</v>
      </c>
      <c r="AN419" s="56">
        <f t="shared" ca="1" si="770"/>
        <v>0.23873163717552956</v>
      </c>
    </row>
    <row r="420" spans="4:40">
      <c r="D420" s="61" t="s">
        <v>158</v>
      </c>
      <c r="L420" s="56">
        <f t="shared" ref="L420:AN420" si="771">+L179/L$159</f>
        <v>3.1506633930407433E-3</v>
      </c>
      <c r="M420" s="56">
        <f t="shared" si="771"/>
        <v>-5.8645182412139906E-3</v>
      </c>
      <c r="N420" s="56">
        <f t="shared" si="771"/>
        <v>4.5715837595618598E-2</v>
      </c>
      <c r="O420" s="56">
        <f t="shared" si="771"/>
        <v>4.5363232606827786E-2</v>
      </c>
      <c r="P420" s="56">
        <f t="shared" si="771"/>
        <v>2.3345663789560194E-2</v>
      </c>
      <c r="Q420" s="56">
        <f t="shared" si="771"/>
        <v>4.657985850953926E-2</v>
      </c>
      <c r="R420" s="56">
        <f t="shared" si="771"/>
        <v>0.20324022649775447</v>
      </c>
      <c r="S420" s="56">
        <f t="shared" si="771"/>
        <v>0.10400089756535391</v>
      </c>
      <c r="T420" s="56">
        <f t="shared" si="771"/>
        <v>7.7024281466798794E-2</v>
      </c>
      <c r="U420" s="56">
        <f t="shared" si="771"/>
        <v>6.1764811597675696E-2</v>
      </c>
      <c r="V420" s="56">
        <f t="shared" si="771"/>
        <v>9.6495746906532121E-2</v>
      </c>
      <c r="W420" s="56">
        <f t="shared" si="771"/>
        <v>9.7277945457266299E-2</v>
      </c>
      <c r="X420" s="56">
        <f t="shared" si="771"/>
        <v>8.9497459062676449E-2</v>
      </c>
      <c r="Y420" s="56">
        <f t="shared" si="771"/>
        <v>0.1239501977059573</v>
      </c>
      <c r="Z420" s="56">
        <f t="shared" si="771"/>
        <v>9.4999283564980649E-2</v>
      </c>
      <c r="AA420" s="56">
        <f t="shared" si="771"/>
        <v>0.10985134794658605</v>
      </c>
      <c r="AB420" s="56">
        <f t="shared" si="771"/>
        <v>3.3091834736635989E-2</v>
      </c>
      <c r="AC420" s="56">
        <f t="shared" ca="1" si="771"/>
        <v>0.10262651696422788</v>
      </c>
      <c r="AD420" s="56">
        <f t="shared" ca="1" si="771"/>
        <v>8.0284985109009485E-2</v>
      </c>
      <c r="AE420" s="56">
        <f t="shared" ca="1" si="771"/>
        <v>8.3139398449864302E-2</v>
      </c>
      <c r="AF420" s="56">
        <f t="shared" ca="1" si="771"/>
        <v>8.8643709603935972E-2</v>
      </c>
      <c r="AG420" s="56">
        <f t="shared" ca="1" si="771"/>
        <v>9.6553438816631351E-2</v>
      </c>
      <c r="AH420" s="56">
        <f t="shared" ca="1" si="771"/>
        <v>0.10615123077004592</v>
      </c>
      <c r="AI420" s="56">
        <f t="shared" ca="1" si="771"/>
        <v>0.11504422445552251</v>
      </c>
      <c r="AJ420" s="56">
        <f t="shared" ca="1" si="771"/>
        <v>0.12406891560489963</v>
      </c>
      <c r="AK420" s="56">
        <f t="shared" ca="1" si="771"/>
        <v>0.13441009781443913</v>
      </c>
      <c r="AL420" s="56">
        <f t="shared" ca="1" si="771"/>
        <v>0.14457934642232539</v>
      </c>
      <c r="AM420" s="56">
        <f t="shared" ca="1" si="771"/>
        <v>0.15474476394385669</v>
      </c>
      <c r="AN420" s="56">
        <f t="shared" ca="1" si="771"/>
        <v>0.16508748274072424</v>
      </c>
    </row>
  </sheetData>
  <mergeCells count="2">
    <mergeCell ref="H143:H153"/>
    <mergeCell ref="J141:Q141"/>
  </mergeCells>
  <conditionalFormatting sqref="N257:Z257 AC257:AK257">
    <cfRule type="cellIs" dxfId="20" priority="42" operator="equal">
      <formula>FALSE</formula>
    </cfRule>
  </conditionalFormatting>
  <conditionalFormatting sqref="L257">
    <cfRule type="cellIs" dxfId="19" priority="23" operator="equal">
      <formula>FALSE</formula>
    </cfRule>
  </conditionalFormatting>
  <conditionalFormatting sqref="L257:M257">
    <cfRule type="cellIs" dxfId="18" priority="24" operator="equal">
      <formula>FALSE</formula>
    </cfRule>
  </conditionalFormatting>
  <conditionalFormatting sqref="AL257:AN257">
    <cfRule type="cellIs" dxfId="17" priority="22" operator="equal">
      <formula>FALSE</formula>
    </cfRule>
  </conditionalFormatting>
  <conditionalFormatting sqref="W271:Z271 R271:S271 L271:P271 AC271:AN271">
    <cfRule type="cellIs" dxfId="16" priority="19" operator="equal">
      <formula>FALSE</formula>
    </cfRule>
  </conditionalFormatting>
  <conditionalFormatting sqref="N100:AA100">
    <cfRule type="cellIs" dxfId="15" priority="20" operator="equal">
      <formula>FALSE</formula>
    </cfRule>
  </conditionalFormatting>
  <conditionalFormatting sqref="V271">
    <cfRule type="cellIs" dxfId="14" priority="18" operator="equal">
      <formula>FALSE</formula>
    </cfRule>
  </conditionalFormatting>
  <conditionalFormatting sqref="U271">
    <cfRule type="cellIs" dxfId="13" priority="17" operator="equal">
      <formula>FALSE</formula>
    </cfRule>
  </conditionalFormatting>
  <conditionalFormatting sqref="R271:T271">
    <cfRule type="cellIs" dxfId="12" priority="16" operator="equal">
      <formula>FALSE</formula>
    </cfRule>
  </conditionalFormatting>
  <conditionalFormatting sqref="L271:Q271">
    <cfRule type="cellIs" dxfId="11" priority="15" operator="equal">
      <formula>FALSE</formula>
    </cfRule>
  </conditionalFormatting>
  <conditionalFormatting sqref="L271:Q271">
    <cfRule type="cellIs" dxfId="10" priority="14" operator="equal">
      <formula>FALSE</formula>
    </cfRule>
  </conditionalFormatting>
  <conditionalFormatting sqref="AA271:AB271">
    <cfRule type="cellIs" dxfId="9" priority="13" operator="equal">
      <formula>FALSE</formula>
    </cfRule>
  </conditionalFormatting>
  <conditionalFormatting sqref="T307:Z307 AC307:AN307">
    <cfRule type="cellIs" dxfId="8" priority="12" operator="equal">
      <formula>FALSE</formula>
    </cfRule>
  </conditionalFormatting>
  <conditionalFormatting sqref="N135:Z135">
    <cfRule type="cellIs" dxfId="7" priority="8" operator="equal">
      <formula>FALSE</formula>
    </cfRule>
  </conditionalFormatting>
  <conditionalFormatting sqref="AA135">
    <cfRule type="cellIs" dxfId="6" priority="7" operator="equal">
      <formula>FALSE</formula>
    </cfRule>
  </conditionalFormatting>
  <conditionalFormatting sqref="AA257">
    <cfRule type="cellIs" dxfId="5" priority="6" operator="equal">
      <formula>FALSE</formula>
    </cfRule>
  </conditionalFormatting>
  <conditionalFormatting sqref="AA307">
    <cfRule type="cellIs" dxfId="4" priority="5" operator="equal">
      <formula>FALSE</formula>
    </cfRule>
  </conditionalFormatting>
  <conditionalFormatting sqref="AB100">
    <cfRule type="cellIs" dxfId="3" priority="4" operator="equal">
      <formula>FALSE</formula>
    </cfRule>
  </conditionalFormatting>
  <conditionalFormatting sqref="AB135">
    <cfRule type="cellIs" dxfId="2" priority="3" operator="equal">
      <formula>FALSE</formula>
    </cfRule>
  </conditionalFormatting>
  <conditionalFormatting sqref="AB257">
    <cfRule type="cellIs" dxfId="1" priority="2" operator="equal">
      <formula>FALSE</formula>
    </cfRule>
  </conditionalFormatting>
  <conditionalFormatting sqref="AB307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7BA4-E873-40CB-B4BF-C99E3AE4D71C}">
  <sheetPr>
    <tabColor theme="6" tint="0.59999389629810485"/>
  </sheetPr>
  <dimension ref="B1:AJ86"/>
  <sheetViews>
    <sheetView showGridLines="0" zoomScale="85" zoomScaleNormal="85" workbookViewId="0">
      <selection activeCell="F12" sqref="F12"/>
    </sheetView>
  </sheetViews>
  <sheetFormatPr defaultRowHeight="14.5"/>
  <cols>
    <col min="1" max="1" width="5.7265625" customWidth="1"/>
    <col min="2" max="2" width="44.7265625" bestFit="1" customWidth="1"/>
    <col min="28" max="28" width="15.81640625" style="189" bestFit="1" customWidth="1"/>
    <col min="29" max="29" width="20.81640625" bestFit="1" customWidth="1"/>
  </cols>
  <sheetData>
    <row r="1" spans="2:36">
      <c r="B1" s="208"/>
    </row>
    <row r="3" spans="2:36">
      <c r="M3" s="5">
        <v>0</v>
      </c>
      <c r="N3" s="5">
        <v>0</v>
      </c>
      <c r="O3" s="5">
        <f>+N3+1</f>
        <v>1</v>
      </c>
      <c r="P3" s="5">
        <f t="shared" ref="P3:X3" si="0">+O3+1</f>
        <v>2</v>
      </c>
      <c r="Q3" s="5">
        <f t="shared" si="0"/>
        <v>3</v>
      </c>
      <c r="R3" s="5">
        <f t="shared" si="0"/>
        <v>4</v>
      </c>
      <c r="S3" s="5">
        <f t="shared" si="0"/>
        <v>5</v>
      </c>
      <c r="T3" s="5">
        <f t="shared" si="0"/>
        <v>6</v>
      </c>
      <c r="U3" s="5">
        <f t="shared" si="0"/>
        <v>7</v>
      </c>
      <c r="V3" s="5">
        <f t="shared" si="0"/>
        <v>8</v>
      </c>
      <c r="W3" s="5">
        <f t="shared" si="0"/>
        <v>9</v>
      </c>
      <c r="X3" s="5">
        <f t="shared" si="0"/>
        <v>10</v>
      </c>
      <c r="Y3" s="5">
        <f t="shared" ref="Y3" si="1">+X3+1</f>
        <v>11</v>
      </c>
      <c r="Z3" s="5">
        <f t="shared" ref="Z3" si="2">+Y3+1</f>
        <v>12</v>
      </c>
    </row>
    <row r="4" spans="2:36">
      <c r="B4" s="43"/>
      <c r="C4" s="43">
        <f>+Model!Q3</f>
        <v>2010</v>
      </c>
      <c r="D4" s="43">
        <f>+Model!R3</f>
        <v>2011</v>
      </c>
      <c r="E4" s="43">
        <f>+Model!S3</f>
        <v>2012</v>
      </c>
      <c r="F4" s="43">
        <f>+Model!T3</f>
        <v>2013</v>
      </c>
      <c r="G4" s="43">
        <f>+Model!U3</f>
        <v>2014</v>
      </c>
      <c r="H4" s="43">
        <f>+Model!V3</f>
        <v>2015</v>
      </c>
      <c r="I4" s="43">
        <f>+Model!W3</f>
        <v>2016</v>
      </c>
      <c r="J4" s="43">
        <f>+Model!X3</f>
        <v>2017</v>
      </c>
      <c r="K4" s="43">
        <f>+Model!Y3</f>
        <v>2018</v>
      </c>
      <c r="L4" s="43">
        <f>+Model!Z3</f>
        <v>2019</v>
      </c>
      <c r="M4" s="43">
        <f>+Model!AA3</f>
        <v>2020</v>
      </c>
      <c r="N4" s="43">
        <f>+Model!AB3</f>
        <v>2021</v>
      </c>
      <c r="O4" s="43">
        <f>+Model!AC3</f>
        <v>2022</v>
      </c>
      <c r="P4" s="43">
        <f>+Model!AD3</f>
        <v>2023</v>
      </c>
      <c r="Q4" s="43">
        <f>+Model!AE3</f>
        <v>2024</v>
      </c>
      <c r="R4" s="43">
        <f>+Model!AF3</f>
        <v>2025</v>
      </c>
      <c r="S4" s="43">
        <f>+Model!AG3</f>
        <v>2026</v>
      </c>
      <c r="T4" s="43">
        <f>+Model!AH3</f>
        <v>2027</v>
      </c>
      <c r="U4" s="43">
        <f>+Model!AI3</f>
        <v>2028</v>
      </c>
      <c r="V4" s="43">
        <f>+Model!AJ3</f>
        <v>2029</v>
      </c>
      <c r="W4" s="43">
        <f>+Model!AK3</f>
        <v>2030</v>
      </c>
      <c r="X4" s="43">
        <f>+Model!AL3</f>
        <v>2031</v>
      </c>
      <c r="Y4" s="43">
        <f>+Model!AM3</f>
        <v>2032</v>
      </c>
      <c r="Z4" s="43">
        <f>+Model!AN3</f>
        <v>2033</v>
      </c>
      <c r="AB4" s="188" t="s">
        <v>293</v>
      </c>
      <c r="AC4" s="188" t="s">
        <v>462</v>
      </c>
    </row>
    <row r="5" spans="2:36">
      <c r="B5" t="s">
        <v>234</v>
      </c>
      <c r="C5" s="6">
        <f>+Model!Q30</f>
        <v>94.274000000000001</v>
      </c>
      <c r="D5" s="6">
        <f>+Model!R30</f>
        <v>100.651</v>
      </c>
      <c r="E5" s="6">
        <f>+Model!S30</f>
        <v>105.5</v>
      </c>
      <c r="F5" s="6">
        <f>+Model!T30</f>
        <v>148.4</v>
      </c>
      <c r="G5" s="6">
        <f>+Model!U30</f>
        <v>221.9</v>
      </c>
      <c r="H5" s="6">
        <f>+Model!V30</f>
        <v>213.6</v>
      </c>
      <c r="I5" s="6">
        <f>+Model!W30</f>
        <v>237.9</v>
      </c>
      <c r="J5" s="6">
        <f>+Model!X30</f>
        <v>270.10000000000002</v>
      </c>
      <c r="K5" s="6">
        <f>+Model!Y30</f>
        <v>341</v>
      </c>
      <c r="L5" s="6">
        <f>+Model!Z30</f>
        <v>385</v>
      </c>
      <c r="M5" s="6">
        <f>+Model!AA30</f>
        <v>431</v>
      </c>
      <c r="N5" s="6">
        <f>+Model!AB30</f>
        <v>558</v>
      </c>
      <c r="O5" s="60">
        <f t="shared" ref="O5:Z5" si="3">+$D$26+($C$26/((1+$AB5)^O$3))*O$20+$AC$5</f>
        <v>802.0378909656182</v>
      </c>
      <c r="P5" s="60">
        <f t="shared" si="3"/>
        <v>929.74985071214712</v>
      </c>
      <c r="Q5" s="60">
        <f t="shared" si="3"/>
        <v>1080.3342199169701</v>
      </c>
      <c r="R5" s="60">
        <f t="shared" si="3"/>
        <v>1253.9579161289553</v>
      </c>
      <c r="S5" s="60">
        <f t="shared" si="3"/>
        <v>1436.8571921201087</v>
      </c>
      <c r="T5" s="60">
        <f t="shared" si="3"/>
        <v>1636.644757949389</v>
      </c>
      <c r="U5" s="60">
        <f t="shared" si="3"/>
        <v>1852.1674993688155</v>
      </c>
      <c r="V5" s="60">
        <f t="shared" si="3"/>
        <v>2072.976373526948</v>
      </c>
      <c r="W5" s="60">
        <f t="shared" si="3"/>
        <v>2303.0581824725687</v>
      </c>
      <c r="X5" s="60">
        <f t="shared" si="3"/>
        <v>2539.1004669061504</v>
      </c>
      <c r="Y5" s="60">
        <f t="shared" si="3"/>
        <v>2777.1857831882417</v>
      </c>
      <c r="Z5" s="60">
        <f t="shared" si="3"/>
        <v>3026.136305640543</v>
      </c>
      <c r="AB5" s="132">
        <v>0</v>
      </c>
      <c r="AC5" s="236">
        <v>100</v>
      </c>
      <c r="AI5" s="6"/>
      <c r="AJ5" s="6"/>
    </row>
    <row r="6" spans="2:36">
      <c r="B6" t="s">
        <v>266</v>
      </c>
      <c r="C6" s="6">
        <f>+Model!Q31</f>
        <v>67.713999999999999</v>
      </c>
      <c r="D6" s="6">
        <f>+Model!R31</f>
        <v>76.683000000000007</v>
      </c>
      <c r="E6" s="6">
        <f>+Model!S31</f>
        <v>94.1</v>
      </c>
      <c r="F6" s="6">
        <f>+Model!T31</f>
        <v>121.4</v>
      </c>
      <c r="G6" s="6">
        <f>+Model!U31</f>
        <v>157.19999999999999</v>
      </c>
      <c r="H6" s="6">
        <f>+Model!V31</f>
        <v>176.5</v>
      </c>
      <c r="I6" s="6">
        <f>+Model!W31</f>
        <v>213.8</v>
      </c>
      <c r="J6" s="6">
        <f>+Model!X31</f>
        <v>251.4</v>
      </c>
      <c r="K6" s="6">
        <f>+Model!Y31</f>
        <v>326.7</v>
      </c>
      <c r="L6" s="6">
        <f>+Model!Z31</f>
        <v>371</v>
      </c>
      <c r="M6" s="6">
        <f>+Model!AA31</f>
        <v>402</v>
      </c>
      <c r="N6" s="6">
        <f>+Model!AB31</f>
        <v>539</v>
      </c>
      <c r="O6" s="60">
        <f t="shared" ref="O6:Z6" si="4">+$G$26+($F$26/((1+$AB6)^O$3))*O$20+$AC$6</f>
        <v>675.45769213245353</v>
      </c>
      <c r="P6" s="60">
        <f t="shared" si="4"/>
        <v>805.83252934369852</v>
      </c>
      <c r="Q6" s="60">
        <f t="shared" si="4"/>
        <v>959.55668063384735</v>
      </c>
      <c r="R6" s="60">
        <f t="shared" si="4"/>
        <v>1136.8005438912776</v>
      </c>
      <c r="S6" s="60">
        <f t="shared" si="4"/>
        <v>1323.5133888020243</v>
      </c>
      <c r="T6" s="60">
        <f t="shared" si="4"/>
        <v>1527.4666553834752</v>
      </c>
      <c r="U6" s="60">
        <f t="shared" si="4"/>
        <v>1747.4831862052304</v>
      </c>
      <c r="V6" s="60">
        <f t="shared" si="4"/>
        <v>1972.8960690730564</v>
      </c>
      <c r="W6" s="60">
        <f t="shared" si="4"/>
        <v>2207.7752334527204</v>
      </c>
      <c r="X6" s="60">
        <f t="shared" si="4"/>
        <v>2448.7391531128369</v>
      </c>
      <c r="Y6" s="60">
        <f t="shared" si="4"/>
        <v>2691.7887031649343</v>
      </c>
      <c r="Z6" s="60">
        <f t="shared" si="4"/>
        <v>2945.9300060060359</v>
      </c>
      <c r="AB6" s="132">
        <v>0</v>
      </c>
      <c r="AC6" s="236">
        <v>-10</v>
      </c>
      <c r="AI6" s="6"/>
      <c r="AJ6" s="6"/>
    </row>
    <row r="7" spans="2:36">
      <c r="B7" t="s">
        <v>267</v>
      </c>
      <c r="C7" s="6">
        <f>+Model!Q32</f>
        <v>86.173000000000002</v>
      </c>
      <c r="D7" s="6">
        <f>+Model!R32</f>
        <v>103.6</v>
      </c>
      <c r="E7" s="6">
        <f>+Model!S32</f>
        <v>126</v>
      </c>
      <c r="F7" s="6">
        <f>+Model!T32</f>
        <v>175.2</v>
      </c>
      <c r="G7" s="6">
        <f>+Model!U32</f>
        <v>248.8</v>
      </c>
      <c r="H7" s="6">
        <f>+Model!V32</f>
        <v>259.2</v>
      </c>
      <c r="I7" s="6">
        <f>+Model!W32</f>
        <v>294.10000000000002</v>
      </c>
      <c r="J7" s="6">
        <f>+Model!X32</f>
        <v>341.4</v>
      </c>
      <c r="K7" s="6">
        <f>+Model!Y32</f>
        <v>420.7</v>
      </c>
      <c r="L7" s="6">
        <f>+Model!Z32</f>
        <v>491</v>
      </c>
      <c r="M7" s="6">
        <f>+Model!AA32</f>
        <v>579</v>
      </c>
      <c r="N7" s="6">
        <f>+Model!AB32</f>
        <v>732</v>
      </c>
      <c r="O7" s="60">
        <f t="shared" ref="O7:Z7" si="5">+$J$26+($I$26/((1+$AB7)^O$3))*O$20+$AC$7</f>
        <v>934.533136069683</v>
      </c>
      <c r="P7" s="60">
        <f t="shared" si="5"/>
        <v>1111.2460677932704</v>
      </c>
      <c r="Q7" s="60">
        <f t="shared" si="5"/>
        <v>1319.6071751378363</v>
      </c>
      <c r="R7" s="60">
        <f t="shared" si="5"/>
        <v>1559.8474191619621</v>
      </c>
      <c r="S7" s="60">
        <f t="shared" si="5"/>
        <v>1812.922129899041</v>
      </c>
      <c r="T7" s="60">
        <f t="shared" si="5"/>
        <v>2089.3648886640117</v>
      </c>
      <c r="U7" s="60">
        <f t="shared" si="5"/>
        <v>2387.5801502958934</v>
      </c>
      <c r="V7" s="60">
        <f t="shared" si="5"/>
        <v>2693.1097465882945</v>
      </c>
      <c r="W7" s="60">
        <f t="shared" si="5"/>
        <v>3011.4701497622973</v>
      </c>
      <c r="X7" s="60">
        <f t="shared" si="5"/>
        <v>3338.0779645337311</v>
      </c>
      <c r="Y7" s="60">
        <f t="shared" si="5"/>
        <v>3667.5126887682354</v>
      </c>
      <c r="Z7" s="60">
        <f t="shared" si="5"/>
        <v>4011.9814195274994</v>
      </c>
      <c r="AB7" s="132">
        <v>0</v>
      </c>
      <c r="AC7" s="236">
        <v>0</v>
      </c>
      <c r="AI7" s="6"/>
      <c r="AJ7" s="6"/>
    </row>
    <row r="8" spans="2:36">
      <c r="B8" t="s">
        <v>268</v>
      </c>
      <c r="C8" s="6">
        <f>+Model!Q33</f>
        <v>45.103999999999999</v>
      </c>
      <c r="D8" s="6">
        <f>+Model!R33</f>
        <v>54.817</v>
      </c>
      <c r="E8" s="6">
        <f>+Model!S33</f>
        <v>65.3</v>
      </c>
      <c r="F8" s="6">
        <f>+Model!T33</f>
        <v>93.1</v>
      </c>
      <c r="G8" s="6">
        <f>+Model!U33</f>
        <v>119.3</v>
      </c>
      <c r="H8" s="6">
        <f>+Model!V33</f>
        <v>124.4</v>
      </c>
      <c r="I8" s="6">
        <f>+Model!W33</f>
        <v>147.9</v>
      </c>
      <c r="J8" s="6">
        <f>+Model!X33</f>
        <v>180.9</v>
      </c>
      <c r="K8" s="6">
        <f>+Model!Y33</f>
        <v>219.5</v>
      </c>
      <c r="L8" s="6">
        <f>+Model!Z33</f>
        <v>253</v>
      </c>
      <c r="M8" s="6">
        <f>+Model!AA33</f>
        <v>283</v>
      </c>
      <c r="N8" s="6">
        <f>+Model!AB33</f>
        <v>369</v>
      </c>
      <c r="O8" s="60">
        <f>+$M$26+($L$26/((1+$AB8)^O$3))*O$20+$AC$8</f>
        <v>465.35151974552082</v>
      </c>
      <c r="P8" s="60">
        <f t="shared" ref="P8:Z8" si="6">+$M$26+($L$26/((1+$AB8)^P$3))*P$20</f>
        <v>558.95501876856417</v>
      </c>
      <c r="Q8" s="60">
        <f t="shared" si="6"/>
        <v>663.42684768893889</v>
      </c>
      <c r="R8" s="60">
        <f t="shared" si="6"/>
        <v>783.88280990444264</v>
      </c>
      <c r="S8" s="60">
        <f t="shared" si="6"/>
        <v>910.77394722439874</v>
      </c>
      <c r="T8" s="60">
        <f t="shared" si="6"/>
        <v>1049.3817755664268</v>
      </c>
      <c r="U8" s="60">
        <f t="shared" si="6"/>
        <v>1198.9062918818911</v>
      </c>
      <c r="V8" s="60">
        <f t="shared" si="6"/>
        <v>1352.0982004907573</v>
      </c>
      <c r="W8" s="60">
        <f t="shared" si="6"/>
        <v>1511.7234491721943</v>
      </c>
      <c r="X8" s="60">
        <f t="shared" si="6"/>
        <v>1675.4839329962335</v>
      </c>
      <c r="Y8" s="60">
        <f t="shared" si="6"/>
        <v>1840.6618233869931</v>
      </c>
      <c r="Z8" s="60">
        <f t="shared" si="6"/>
        <v>2013.3777336014095</v>
      </c>
      <c r="AB8" s="132">
        <v>0</v>
      </c>
      <c r="AC8" s="236">
        <v>-5</v>
      </c>
      <c r="AI8" s="6"/>
      <c r="AJ8" s="6"/>
    </row>
    <row r="9" spans="2:36">
      <c r="B9" t="s">
        <v>269</v>
      </c>
      <c r="C9" s="6">
        <f>+Model!Q34</f>
        <v>63.274000000000001</v>
      </c>
      <c r="D9" s="6">
        <f>+Model!R34</f>
        <v>65.628</v>
      </c>
      <c r="E9" s="6">
        <f>+Model!S34</f>
        <v>78.87</v>
      </c>
      <c r="F9" s="6">
        <f>+Model!T34</f>
        <v>105.6</v>
      </c>
      <c r="G9" s="6">
        <f>+Model!U34</f>
        <v>134.4</v>
      </c>
      <c r="H9" s="6">
        <f>+Model!V34</f>
        <v>138.6</v>
      </c>
      <c r="I9" s="6">
        <f>+Model!W34</f>
        <v>165.3</v>
      </c>
      <c r="J9" s="6">
        <f>+Model!X34</f>
        <v>193.1</v>
      </c>
      <c r="K9" s="6">
        <f>+Model!Y34</f>
        <v>257.2</v>
      </c>
      <c r="L9" s="6">
        <f>+Model!Z34</f>
        <v>297</v>
      </c>
      <c r="M9" s="6">
        <f>+Model!AA34</f>
        <v>355</v>
      </c>
      <c r="N9" s="6">
        <f>+Model!AB34</f>
        <v>497</v>
      </c>
      <c r="O9" s="60">
        <f t="shared" ref="O9:Z9" si="7">+$P$26+($O$26/((1+$AB9)^O$3))*O$20+$AC$9</f>
        <v>642.34909062444547</v>
      </c>
      <c r="P9" s="60">
        <f t="shared" si="7"/>
        <v>758.05366629835009</v>
      </c>
      <c r="Q9" s="60">
        <f t="shared" si="7"/>
        <v>894.4802043966364</v>
      </c>
      <c r="R9" s="60">
        <f t="shared" si="7"/>
        <v>1051.7799290035846</v>
      </c>
      <c r="S9" s="60">
        <f t="shared" si="7"/>
        <v>1217.483150233779</v>
      </c>
      <c r="T9" s="60">
        <f t="shared" si="7"/>
        <v>1398.486836772443</v>
      </c>
      <c r="U9" s="60">
        <f t="shared" si="7"/>
        <v>1593.7462893210063</v>
      </c>
      <c r="V9" s="60">
        <f t="shared" si="7"/>
        <v>1793.7948763147842</v>
      </c>
      <c r="W9" s="60">
        <f t="shared" si="7"/>
        <v>2002.2445636202908</v>
      </c>
      <c r="X9" s="60">
        <f t="shared" si="7"/>
        <v>2216.0943269133404</v>
      </c>
      <c r="Y9" s="60">
        <f t="shared" si="7"/>
        <v>2431.7950377103602</v>
      </c>
      <c r="Z9" s="60">
        <f t="shared" si="7"/>
        <v>2657.3394160231619</v>
      </c>
      <c r="AB9" s="132">
        <v>0</v>
      </c>
      <c r="AC9" s="236">
        <v>45</v>
      </c>
      <c r="AI9" s="6"/>
      <c r="AJ9" s="6"/>
    </row>
    <row r="10" spans="2:36">
      <c r="B10" s="2" t="s">
        <v>270</v>
      </c>
      <c r="C10" s="7">
        <f>SUM(C5:C9)</f>
        <v>356.53899999999999</v>
      </c>
      <c r="D10" s="7">
        <f t="shared" ref="D10:X10" si="8">SUM(D5:D9)</f>
        <v>401.37899999999996</v>
      </c>
      <c r="E10" s="7">
        <f t="shared" si="8"/>
        <v>469.77000000000004</v>
      </c>
      <c r="F10" s="7">
        <f t="shared" si="8"/>
        <v>643.70000000000005</v>
      </c>
      <c r="G10" s="7">
        <f t="shared" si="8"/>
        <v>881.6</v>
      </c>
      <c r="H10" s="7">
        <f t="shared" si="8"/>
        <v>912.3</v>
      </c>
      <c r="I10" s="7">
        <f t="shared" si="8"/>
        <v>1059</v>
      </c>
      <c r="J10" s="7">
        <f t="shared" si="8"/>
        <v>1236.8999999999999</v>
      </c>
      <c r="K10" s="7">
        <f t="shared" si="8"/>
        <v>1565.1000000000001</v>
      </c>
      <c r="L10" s="7">
        <f t="shared" si="8"/>
        <v>1797</v>
      </c>
      <c r="M10" s="7">
        <f t="shared" ref="M10:N10" si="9">SUM(M5:M9)</f>
        <v>2050</v>
      </c>
      <c r="N10" s="7">
        <f t="shared" si="9"/>
        <v>2695</v>
      </c>
      <c r="O10" s="7">
        <f t="shared" si="8"/>
        <v>3519.7293295377208</v>
      </c>
      <c r="P10" s="7">
        <f t="shared" si="8"/>
        <v>4163.83713291603</v>
      </c>
      <c r="Q10" s="7">
        <f t="shared" si="8"/>
        <v>4917.4051277742292</v>
      </c>
      <c r="R10" s="7">
        <f t="shared" si="8"/>
        <v>5786.2686180902219</v>
      </c>
      <c r="S10" s="7">
        <f t="shared" si="8"/>
        <v>6701.5498082793511</v>
      </c>
      <c r="T10" s="7">
        <f t="shared" si="8"/>
        <v>7701.3449143357457</v>
      </c>
      <c r="U10" s="7">
        <f t="shared" si="8"/>
        <v>8779.8834170728369</v>
      </c>
      <c r="V10" s="7">
        <f t="shared" si="8"/>
        <v>9884.87526599384</v>
      </c>
      <c r="W10" s="7">
        <f t="shared" si="8"/>
        <v>11036.271578480071</v>
      </c>
      <c r="X10" s="7">
        <f t="shared" si="8"/>
        <v>12217.495844462293</v>
      </c>
      <c r="Y10" s="7">
        <f t="shared" ref="Y10:Z10" si="10">SUM(Y5:Y9)</f>
        <v>13408.944036218765</v>
      </c>
      <c r="Z10" s="7">
        <f t="shared" si="10"/>
        <v>14654.76488079865</v>
      </c>
      <c r="AA10" s="3"/>
      <c r="AB10" s="190"/>
      <c r="AC10" s="236"/>
      <c r="AI10" s="6"/>
      <c r="AJ10" s="6"/>
    </row>
    <row r="11" spans="2:36">
      <c r="B11" t="s">
        <v>271</v>
      </c>
      <c r="C11" s="6">
        <f>+Model!Q36</f>
        <v>45.109000000000002</v>
      </c>
      <c r="D11" s="6">
        <f>+Model!R36</f>
        <v>60.853999999999999</v>
      </c>
      <c r="E11" s="6">
        <f>+Model!S36</f>
        <v>61.4</v>
      </c>
      <c r="F11" s="6">
        <f>+Model!T36</f>
        <v>73.5</v>
      </c>
      <c r="G11" s="6">
        <f>+Model!U36</f>
        <v>79.5</v>
      </c>
      <c r="H11" s="6">
        <f>+Model!V36</f>
        <v>90.3</v>
      </c>
      <c r="I11" s="6">
        <f>+Model!W36</f>
        <v>82.3</v>
      </c>
      <c r="J11" s="6">
        <f>+Model!X36</f>
        <v>92.7</v>
      </c>
      <c r="K11" s="6">
        <f>+Model!Y36</f>
        <v>95.9</v>
      </c>
      <c r="L11" s="6">
        <f>+Model!Z36</f>
        <v>101</v>
      </c>
      <c r="M11" s="6">
        <f>+Model!AA36</f>
        <v>97</v>
      </c>
      <c r="N11" s="6">
        <f>+Model!AB36</f>
        <v>99</v>
      </c>
      <c r="O11" s="60">
        <f>+Model!AC97*(1-O22)</f>
        <v>118.37760000000003</v>
      </c>
      <c r="P11" s="60">
        <f>+Model!AD97*(1-P22)</f>
        <v>132.66316800000001</v>
      </c>
      <c r="Q11" s="60">
        <f>+Model!AE97*(1-Q22)</f>
        <v>148.58274815999999</v>
      </c>
      <c r="R11" s="60">
        <f>+Model!AF97*(1-R22)</f>
        <v>163.44102297600003</v>
      </c>
      <c r="S11" s="60">
        <f>+Model!AG97*(1-S22)</f>
        <v>176.51630481408003</v>
      </c>
      <c r="T11" s="60">
        <f>+Model!AH97*(1-T22)</f>
        <v>188.87244615106562</v>
      </c>
      <c r="U11" s="60">
        <f>+Model!AI97*(1-U22)</f>
        <v>200.20479292012956</v>
      </c>
      <c r="V11" s="60">
        <f>+Model!AJ97*(1-V22)</f>
        <v>209.2140086015354</v>
      </c>
      <c r="W11" s="60">
        <f>+Model!AK97*(1-W22)</f>
        <v>216.53649890258913</v>
      </c>
      <c r="X11" s="60">
        <f>+Model!AL97*(1-X22)</f>
        <v>221.94991137515385</v>
      </c>
      <c r="Y11" s="60">
        <f>+Model!AM97*(1-Y22)</f>
        <v>225.27916004578117</v>
      </c>
      <c r="Z11" s="60">
        <f>+Model!AN97*(1-Z22)</f>
        <v>227.53195164623898</v>
      </c>
      <c r="AB11" s="132"/>
      <c r="AC11" s="236"/>
      <c r="AI11" s="6"/>
      <c r="AJ11" s="6"/>
    </row>
    <row r="12" spans="2:36">
      <c r="B12" t="s">
        <v>272</v>
      </c>
      <c r="C12" s="6">
        <f>+Model!Q37</f>
        <v>37.668999999999997</v>
      </c>
      <c r="D12" s="6">
        <f>+Model!R37</f>
        <v>51.066000000000003</v>
      </c>
      <c r="E12" s="6">
        <f>+Model!S37</f>
        <v>61.5</v>
      </c>
      <c r="F12" s="6">
        <f>+Model!T37</f>
        <v>102.4</v>
      </c>
      <c r="G12" s="6">
        <f>+Model!U37</f>
        <v>152.19999999999999</v>
      </c>
      <c r="H12" s="6">
        <f>+Model!V37</f>
        <v>163.69999999999999</v>
      </c>
      <c r="I12" s="6">
        <f>+Model!W37</f>
        <v>192.7</v>
      </c>
      <c r="J12" s="6">
        <f>+Model!X37</f>
        <v>212.6</v>
      </c>
      <c r="K12" s="6">
        <f>+Model!Y37</f>
        <v>264.7</v>
      </c>
      <c r="L12" s="6">
        <f>+Model!Z37</f>
        <v>300</v>
      </c>
      <c r="M12" s="6">
        <f>+Model!AA37</f>
        <v>330</v>
      </c>
      <c r="N12" s="6">
        <f>+Model!AB37</f>
        <v>433</v>
      </c>
      <c r="O12" s="60">
        <f t="shared" ref="O12:Z12" si="11">+$G$32+($F$32/((1+$AB12)^O$3))*O$20+$AC$12</f>
        <v>609.6008956677565</v>
      </c>
      <c r="P12" s="60">
        <f t="shared" si="11"/>
        <v>717.05396342971585</v>
      </c>
      <c r="Q12" s="60">
        <f t="shared" si="11"/>
        <v>843.75120040087995</v>
      </c>
      <c r="R12" s="60">
        <f t="shared" si="11"/>
        <v>989.83304607277955</v>
      </c>
      <c r="S12" s="60">
        <f t="shared" si="11"/>
        <v>1143.7190903844976</v>
      </c>
      <c r="T12" s="60">
        <f t="shared" si="11"/>
        <v>1311.8144425477396</v>
      </c>
      <c r="U12" s="60">
        <f t="shared" si="11"/>
        <v>1493.148906320341</v>
      </c>
      <c r="V12" s="60">
        <f t="shared" si="11"/>
        <v>1678.9309659210719</v>
      </c>
      <c r="W12" s="60">
        <f t="shared" si="11"/>
        <v>1872.5149987438074</v>
      </c>
      <c r="X12" s="60">
        <f t="shared" si="11"/>
        <v>2071.1139994503069</v>
      </c>
      <c r="Y12" s="60">
        <f t="shared" si="11"/>
        <v>2271.4319467620689</v>
      </c>
      <c r="Z12" s="60">
        <f t="shared" si="11"/>
        <v>2480.8915573696759</v>
      </c>
      <c r="AB12" s="132">
        <v>0</v>
      </c>
      <c r="AC12" s="236">
        <v>45</v>
      </c>
      <c r="AI12" s="6"/>
      <c r="AJ12" s="6"/>
    </row>
    <row r="13" spans="2:36">
      <c r="B13" t="s">
        <v>273</v>
      </c>
      <c r="C13" s="6">
        <f>+Model!Q38</f>
        <v>16.84</v>
      </c>
      <c r="D13" s="6">
        <f>+Model!R38</f>
        <v>18.917999999999999</v>
      </c>
      <c r="E13" s="6">
        <f>+Model!S38</f>
        <v>21</v>
      </c>
      <c r="F13" s="6">
        <f>+Model!T38</f>
        <v>29.3</v>
      </c>
      <c r="G13" s="6">
        <f>+Model!U38</f>
        <v>41</v>
      </c>
      <c r="H13" s="6">
        <f>+Model!V38</f>
        <v>43.2</v>
      </c>
      <c r="I13" s="6">
        <f>+Model!W38</f>
        <v>51.7</v>
      </c>
      <c r="J13" s="6">
        <f>+Model!X38</f>
        <v>58.9</v>
      </c>
      <c r="K13" s="6">
        <f>+Model!Y38</f>
        <v>78.2</v>
      </c>
      <c r="L13" s="6">
        <f>+Model!Z38</f>
        <v>35</v>
      </c>
      <c r="M13" s="6">
        <f>+Model!AA38</f>
        <v>35</v>
      </c>
      <c r="N13" s="6">
        <f>+Model!AB38</f>
        <v>40</v>
      </c>
      <c r="O13" s="60">
        <f t="shared" ref="O13:Z13" si="12">+$J$32+($I$32/((1+$AB13)^O$3))*O$20-$J$31+$AC$13</f>
        <v>47.504376858234238</v>
      </c>
      <c r="P13" s="60">
        <f t="shared" si="12"/>
        <v>54.001263961519214</v>
      </c>
      <c r="Q13" s="60">
        <f t="shared" si="12"/>
        <v>61.58258323564155</v>
      </c>
      <c r="R13" s="60">
        <f t="shared" si="12"/>
        <v>70.222968652587028</v>
      </c>
      <c r="S13" s="60">
        <f t="shared" si="12"/>
        <v>79.170957413531227</v>
      </c>
      <c r="T13" s="60">
        <f t="shared" si="12"/>
        <v>88.807869434331025</v>
      </c>
      <c r="U13" s="60">
        <f t="shared" si="12"/>
        <v>99.051606083588979</v>
      </c>
      <c r="V13" s="60">
        <f t="shared" si="12"/>
        <v>109.35238428443222</v>
      </c>
      <c r="W13" s="60">
        <f t="shared" si="12"/>
        <v>119.90520770013666</v>
      </c>
      <c r="X13" s="60">
        <f t="shared" si="12"/>
        <v>130.53512446805541</v>
      </c>
      <c r="Y13" s="60">
        <f t="shared" si="12"/>
        <v>141.04420285067116</v>
      </c>
      <c r="Z13" s="60">
        <f t="shared" si="12"/>
        <v>151.86189420392</v>
      </c>
      <c r="AB13" s="132">
        <v>0.01</v>
      </c>
      <c r="AC13" s="236">
        <v>12.5</v>
      </c>
      <c r="AI13" s="6"/>
      <c r="AJ13" s="6"/>
    </row>
    <row r="14" spans="2:36">
      <c r="B14" t="s">
        <v>274</v>
      </c>
      <c r="C14" s="6">
        <f>+Model!Q39</f>
        <v>43.396000000000001</v>
      </c>
      <c r="D14" s="6">
        <f>+Model!R39</f>
        <v>55.344000000000001</v>
      </c>
      <c r="E14" s="6">
        <f>+Model!S39</f>
        <v>62.3</v>
      </c>
      <c r="F14" s="6">
        <f>+Model!T39</f>
        <v>80.900000000000006</v>
      </c>
      <c r="G14" s="6">
        <f>+Model!U39</f>
        <v>103.3</v>
      </c>
      <c r="H14" s="6">
        <f>+Model!V39</f>
        <v>114.5</v>
      </c>
      <c r="I14" s="6">
        <f>+Model!W39</f>
        <v>129.80000000000001</v>
      </c>
      <c r="J14" s="6">
        <f>+Model!X39</f>
        <v>154.6</v>
      </c>
      <c r="K14" s="6">
        <f>+Model!Y39</f>
        <v>181.1</v>
      </c>
      <c r="L14" s="6">
        <f>+Model!Z39</f>
        <v>201</v>
      </c>
      <c r="M14" s="6">
        <f>+Model!AA39</f>
        <v>152</v>
      </c>
      <c r="N14" s="6">
        <f>+Model!AB39</f>
        <v>186</v>
      </c>
      <c r="O14" s="60">
        <f t="shared" ref="O14:Z14" si="13">+$M$32+($L$32/((1+$AB14)^O$3))*O$20+$AC$14</f>
        <v>321.30395250370492</v>
      </c>
      <c r="P14" s="60">
        <f t="shared" si="13"/>
        <v>386.71219463349325</v>
      </c>
      <c r="Q14" s="60">
        <f t="shared" si="13"/>
        <v>463.43483976596258</v>
      </c>
      <c r="R14" s="60">
        <f t="shared" si="13"/>
        <v>551.38506465971727</v>
      </c>
      <c r="S14" s="60">
        <f t="shared" si="13"/>
        <v>643.25549565918868</v>
      </c>
      <c r="T14" s="60">
        <f t="shared" si="13"/>
        <v>742.90723134468976</v>
      </c>
      <c r="U14" s="60">
        <f t="shared" si="13"/>
        <v>849.62548662335143</v>
      </c>
      <c r="V14" s="60">
        <f t="shared" si="13"/>
        <v>957.96177593702623</v>
      </c>
      <c r="W14" s="60">
        <f t="shared" si="13"/>
        <v>1069.9095574674823</v>
      </c>
      <c r="X14" s="60">
        <f t="shared" si="13"/>
        <v>1183.7321416454922</v>
      </c>
      <c r="Y14" s="60">
        <f t="shared" si="13"/>
        <v>1297.4224779761082</v>
      </c>
      <c r="Z14" s="60">
        <f t="shared" si="13"/>
        <v>1415.3897842668505</v>
      </c>
      <c r="AB14" s="132">
        <v>5.0000000000000001E-3</v>
      </c>
      <c r="AC14" s="236">
        <v>-50</v>
      </c>
      <c r="AI14" s="6"/>
      <c r="AJ14" s="6"/>
    </row>
    <row r="15" spans="2:36">
      <c r="B15" t="s">
        <v>275</v>
      </c>
      <c r="C15" s="6">
        <f>+Model!Q40</f>
        <v>8.2189999999999994</v>
      </c>
      <c r="D15" s="6">
        <f>+Model!R40</f>
        <v>8.6229999999999993</v>
      </c>
      <c r="E15" s="6">
        <f>+Model!S40</f>
        <v>15</v>
      </c>
      <c r="F15" s="6">
        <f>+Model!T40</f>
        <v>17.600000000000001</v>
      </c>
      <c r="G15" s="6">
        <f>+Model!U40</f>
        <v>22.8</v>
      </c>
      <c r="H15" s="6">
        <f>+Model!V40</f>
        <v>22.6</v>
      </c>
      <c r="I15" s="6">
        <f>+Model!W40</f>
        <v>28.2</v>
      </c>
      <c r="J15" s="6">
        <f>+Model!X40</f>
        <v>31.3</v>
      </c>
      <c r="K15" s="6">
        <f>+Model!Y40</f>
        <v>39.1</v>
      </c>
      <c r="L15" s="6">
        <f>+Model!Z40</f>
        <v>49</v>
      </c>
      <c r="M15" s="6">
        <f>+Model!AA40</f>
        <v>60</v>
      </c>
      <c r="N15" s="6">
        <f>+Model!AB40</f>
        <v>79</v>
      </c>
      <c r="O15" s="60">
        <f t="shared" ref="O15:Z15" si="14">+$P$32+($O$32/((1+$AB15)^O$3))*O$20+$AC$15</f>
        <v>96.98688741620532</v>
      </c>
      <c r="P15" s="60">
        <f t="shared" si="14"/>
        <v>115.77934236574927</v>
      </c>
      <c r="Q15" s="60">
        <f t="shared" si="14"/>
        <v>137.93740790638898</v>
      </c>
      <c r="R15" s="60">
        <f t="shared" si="14"/>
        <v>163.48564548502119</v>
      </c>
      <c r="S15" s="60">
        <f t="shared" si="14"/>
        <v>190.3987584870427</v>
      </c>
      <c r="T15" s="60">
        <f t="shared" si="14"/>
        <v>219.79693574293469</v>
      </c>
      <c r="U15" s="60">
        <f t="shared" si="14"/>
        <v>251.51049974089736</v>
      </c>
      <c r="V15" s="60">
        <f t="shared" si="14"/>
        <v>284.00190327359593</v>
      </c>
      <c r="W15" s="60">
        <f t="shared" si="14"/>
        <v>317.85779302661228</v>
      </c>
      <c r="X15" s="60">
        <f t="shared" si="14"/>
        <v>352.59074994943552</v>
      </c>
      <c r="Y15" s="60">
        <f t="shared" si="14"/>
        <v>387.62433325094554</v>
      </c>
      <c r="Z15" s="60">
        <f t="shared" si="14"/>
        <v>424.25670101928574</v>
      </c>
      <c r="AB15" s="132">
        <v>0</v>
      </c>
      <c r="AC15" s="236">
        <v>0</v>
      </c>
      <c r="AI15" s="6"/>
      <c r="AJ15" s="6"/>
    </row>
    <row r="16" spans="2:36">
      <c r="B16" t="s">
        <v>279</v>
      </c>
      <c r="C16" s="6">
        <f>+Model!Q41</f>
        <v>9.7750000000000004</v>
      </c>
      <c r="D16" s="6">
        <f>+Model!R41</f>
        <v>8.4789999999999992</v>
      </c>
      <c r="E16" s="6">
        <f>+Model!S41</f>
        <v>14.4</v>
      </c>
      <c r="F16" s="6">
        <f>+Model!T41</f>
        <v>19.600000000000001</v>
      </c>
      <c r="G16" s="6">
        <f>+Model!U41</f>
        <v>24.3</v>
      </c>
      <c r="H16" s="6">
        <f>+Model!V41</f>
        <v>29</v>
      </c>
      <c r="I16" s="6">
        <f>+Model!W41</f>
        <v>29</v>
      </c>
      <c r="J16" s="6">
        <f>+Model!X41</f>
        <v>48.6</v>
      </c>
      <c r="K16" s="6">
        <f>+Model!Y41</f>
        <v>52.3</v>
      </c>
      <c r="L16" s="6">
        <f>+Model!Z41</f>
        <v>73</v>
      </c>
      <c r="M16" s="6">
        <f>+Model!AA41</f>
        <v>13</v>
      </c>
      <c r="N16" s="6">
        <f>+Model!AB41</f>
        <v>62</v>
      </c>
      <c r="O16" s="60">
        <f>+O20*O23</f>
        <v>156.96180000000001</v>
      </c>
      <c r="P16" s="60">
        <f t="shared" ref="P16:Z16" si="15">+P20*P23</f>
        <v>116.55986849999999</v>
      </c>
      <c r="Q16" s="60">
        <f t="shared" si="15"/>
        <v>138.3244569675</v>
      </c>
      <c r="R16" s="60">
        <f t="shared" si="15"/>
        <v>163.41901569371251</v>
      </c>
      <c r="S16" s="60">
        <f t="shared" si="15"/>
        <v>189.85421274618093</v>
      </c>
      <c r="T16" s="60">
        <f t="shared" si="15"/>
        <v>218.73034493811753</v>
      </c>
      <c r="U16" s="60">
        <f t="shared" si="15"/>
        <v>249.88074784614386</v>
      </c>
      <c r="V16" s="60">
        <f t="shared" si="15"/>
        <v>281.79517761997351</v>
      </c>
      <c r="W16" s="60">
        <f t="shared" si="15"/>
        <v>315.04986342835286</v>
      </c>
      <c r="X16" s="60">
        <f t="shared" si="15"/>
        <v>349.1660416794814</v>
      </c>
      <c r="Y16" s="60">
        <f t="shared" si="15"/>
        <v>383.57750786549718</v>
      </c>
      <c r="Z16" s="60">
        <f t="shared" si="15"/>
        <v>419.55936772622118</v>
      </c>
      <c r="AB16" s="132"/>
      <c r="AI16" s="6"/>
      <c r="AJ16" s="6"/>
    </row>
    <row r="17" spans="2:28">
      <c r="B17" t="s">
        <v>7</v>
      </c>
      <c r="C17" s="6">
        <f>+Model!Q42</f>
        <v>6.7560000000000002</v>
      </c>
      <c r="D17" s="6">
        <f>+Model!R42</f>
        <v>7.8680000000000003</v>
      </c>
      <c r="E17" s="6">
        <f>+Model!S42</f>
        <v>7.6</v>
      </c>
      <c r="F17" s="6">
        <f>+Model!T42</f>
        <v>9.9</v>
      </c>
      <c r="G17" s="6">
        <f>+Model!U42</f>
        <v>16.5</v>
      </c>
      <c r="H17" s="6">
        <f>+Model!V42</f>
        <v>17</v>
      </c>
      <c r="I17" s="6">
        <f>+Model!W42</f>
        <v>22.4</v>
      </c>
      <c r="J17" s="6">
        <f>+Model!X42</f>
        <v>22.6</v>
      </c>
      <c r="K17" s="6">
        <f>+Model!Y42</f>
        <v>27</v>
      </c>
      <c r="L17" s="6">
        <f>+Model!Z42</f>
        <v>92</v>
      </c>
      <c r="M17" s="6">
        <f>+Model!AA42</f>
        <v>105</v>
      </c>
      <c r="N17" s="6">
        <f>+Model!AB42</f>
        <v>121</v>
      </c>
      <c r="O17" s="6">
        <f>+Model!AC42</f>
        <v>115.95588235294119</v>
      </c>
      <c r="P17" s="6">
        <f>+Model!AD42</f>
        <v>141.88329375000001</v>
      </c>
      <c r="Q17" s="6">
        <f>+Model!AE42</f>
        <v>165.12648037500003</v>
      </c>
      <c r="R17" s="6">
        <f>+Model!AF42</f>
        <v>198.26505498674999</v>
      </c>
      <c r="S17" s="6">
        <f>+Model!AG42</f>
        <v>236.95757275588312</v>
      </c>
      <c r="T17" s="6">
        <f>+Model!AH42</f>
        <v>278.45284536106544</v>
      </c>
      <c r="U17" s="6">
        <f>+Model!AI42</f>
        <v>328.09551740717632</v>
      </c>
      <c r="V17" s="6">
        <f>+Model!AJ42</f>
        <v>374.82112176921584</v>
      </c>
      <c r="W17" s="6">
        <f>+Model!AK42</f>
        <v>422.69276642996033</v>
      </c>
      <c r="X17" s="6">
        <f>+Model!AL42</f>
        <v>472.57479514252941</v>
      </c>
      <c r="Y17" s="6">
        <f>+Model!AM42</f>
        <v>523.74906251922209</v>
      </c>
      <c r="Z17" s="6">
        <f>+Model!AN42</f>
        <v>575.36626179824589</v>
      </c>
      <c r="AB17" s="132"/>
    </row>
    <row r="18" spans="2:28">
      <c r="B18" t="s">
        <v>277</v>
      </c>
      <c r="C18" s="6">
        <f>+Model!Q43</f>
        <v>67.923000000000002</v>
      </c>
      <c r="D18" s="6">
        <f>+Model!R43</f>
        <v>76.650000000000006</v>
      </c>
      <c r="E18" s="6">
        <f>+Model!S43</f>
        <v>85.1</v>
      </c>
      <c r="F18" s="6">
        <f>+Model!T43</f>
        <v>119.1</v>
      </c>
      <c r="G18" s="6">
        <f>+Model!U43</f>
        <v>173.2</v>
      </c>
      <c r="H18" s="6">
        <f>+Model!V43</f>
        <v>180.5</v>
      </c>
      <c r="I18" s="6">
        <f>+Model!W43</f>
        <v>190.6</v>
      </c>
      <c r="J18" s="6">
        <f>+Model!X43</f>
        <v>230.5</v>
      </c>
      <c r="K18" s="6">
        <f>+Model!Y43</f>
        <v>278.8</v>
      </c>
      <c r="L18" s="6">
        <f>+Model!Z43</f>
        <v>331</v>
      </c>
      <c r="M18" s="6">
        <f>+Model!AA43</f>
        <v>403</v>
      </c>
      <c r="N18" s="6">
        <f>+Model!AB43</f>
        <v>518</v>
      </c>
      <c r="O18" s="6">
        <f>+Model!AC43</f>
        <v>721.53846153846155</v>
      </c>
      <c r="P18" s="6">
        <f>+Model!AD43</f>
        <v>965.67419711538469</v>
      </c>
      <c r="Q18" s="6">
        <f>+Model!AE43</f>
        <v>1162.1136690865387</v>
      </c>
      <c r="R18" s="6">
        <f>+Model!AF43</f>
        <v>1348.8104934210294</v>
      </c>
      <c r="S18" s="6">
        <f>+Model!AG43</f>
        <v>1523.5651285634185</v>
      </c>
      <c r="T18" s="6">
        <f>+Model!AH43</f>
        <v>1680.741850195159</v>
      </c>
      <c r="U18" s="6">
        <f>+Model!AI43</f>
        <v>1849.4873198219013</v>
      </c>
      <c r="V18" s="6">
        <f>+Model!AJ43</f>
        <v>2022.439649773682</v>
      </c>
      <c r="W18" s="6">
        <f>+Model!AK43</f>
        <v>2158.664055719822</v>
      </c>
      <c r="X18" s="6">
        <f>+Model!AL43</f>
        <v>2280.765836912612</v>
      </c>
      <c r="Y18" s="6">
        <f>+Model!AM43</f>
        <v>2378.3035289582713</v>
      </c>
      <c r="Z18" s="6">
        <f>+Model!AN43</f>
        <v>2442.3202699590179</v>
      </c>
      <c r="AB18" s="132"/>
    </row>
    <row r="19" spans="2:28">
      <c r="B19" s="2" t="s">
        <v>278</v>
      </c>
      <c r="C19" s="7">
        <f>SUM(C10:C18)</f>
        <v>592.22599999999989</v>
      </c>
      <c r="D19" s="7">
        <f t="shared" ref="D19:L19" si="16">SUM(D10:D18)</f>
        <v>689.18100000000015</v>
      </c>
      <c r="E19" s="7">
        <f t="shared" si="16"/>
        <v>798.07</v>
      </c>
      <c r="F19" s="7">
        <f t="shared" si="16"/>
        <v>1096</v>
      </c>
      <c r="G19" s="7">
        <f t="shared" si="16"/>
        <v>1494.3999999999999</v>
      </c>
      <c r="H19" s="7">
        <f t="shared" si="16"/>
        <v>1573.1</v>
      </c>
      <c r="I19" s="7">
        <f t="shared" si="16"/>
        <v>1785.7</v>
      </c>
      <c r="J19" s="7">
        <f t="shared" si="16"/>
        <v>2088.6999999999998</v>
      </c>
      <c r="K19" s="7">
        <f t="shared" si="16"/>
        <v>2582.2000000000007</v>
      </c>
      <c r="L19" s="7">
        <f t="shared" si="16"/>
        <v>2979</v>
      </c>
      <c r="M19" s="7">
        <f t="shared" ref="M19:N19" si="17">SUM(M10:M18)</f>
        <v>3245</v>
      </c>
      <c r="N19" s="7">
        <f t="shared" si="17"/>
        <v>4233</v>
      </c>
      <c r="O19" s="7">
        <f t="shared" ref="O19" si="18">SUM(O10:O18)</f>
        <v>5707.9591858750264</v>
      </c>
      <c r="P19" s="7">
        <f t="shared" ref="P19" si="19">SUM(P10:P18)</f>
        <v>6794.1644246718934</v>
      </c>
      <c r="Q19" s="7">
        <f t="shared" ref="Q19" si="20">SUM(Q10:Q18)</f>
        <v>8038.25851367214</v>
      </c>
      <c r="R19" s="7">
        <f t="shared" ref="R19" si="21">SUM(R10:R18)</f>
        <v>9435.1309300378198</v>
      </c>
      <c r="S19" s="7">
        <f t="shared" ref="S19" si="22">SUM(S10:S18)</f>
        <v>10884.987329103176</v>
      </c>
      <c r="T19" s="7">
        <f t="shared" ref="T19" si="23">SUM(T10:T18)</f>
        <v>12431.46888005085</v>
      </c>
      <c r="U19" s="7">
        <f t="shared" ref="U19" si="24">SUM(U10:U18)</f>
        <v>14100.888293836368</v>
      </c>
      <c r="V19" s="7">
        <f t="shared" ref="V19" si="25">SUM(V10:V18)</f>
        <v>15803.392253174372</v>
      </c>
      <c r="W19" s="7">
        <f t="shared" ref="W19" si="26">SUM(W10:W18)</f>
        <v>17529.402319898833</v>
      </c>
      <c r="X19" s="7">
        <f t="shared" ref="X19:Z19" si="27">SUM(X10:X18)</f>
        <v>19279.924445085358</v>
      </c>
      <c r="Y19" s="7">
        <f t="shared" si="27"/>
        <v>21017.376256447329</v>
      </c>
      <c r="Z19" s="7">
        <f t="shared" si="27"/>
        <v>22791.94266878811</v>
      </c>
    </row>
    <row r="20" spans="2:28">
      <c r="B20" t="s">
        <v>206</v>
      </c>
      <c r="C20" s="6">
        <f>+Model!Q7</f>
        <v>633.96500000000003</v>
      </c>
      <c r="D20" s="6">
        <f>+Model!R7</f>
        <v>773.34099999999989</v>
      </c>
      <c r="E20" s="6">
        <f>+Model!S7</f>
        <v>891.3</v>
      </c>
      <c r="F20" s="6">
        <f>+Model!T7</f>
        <v>1210.8</v>
      </c>
      <c r="G20" s="6">
        <f>+Model!U7</f>
        <v>1669.3</v>
      </c>
      <c r="H20" s="6">
        <f>+Model!V7</f>
        <v>1838.3090000000002</v>
      </c>
      <c r="I20" s="6">
        <f>+Model!W7</f>
        <v>2125.0860000000002</v>
      </c>
      <c r="J20" s="6">
        <f>+Model!X7</f>
        <v>2479.4</v>
      </c>
      <c r="K20" s="6">
        <f>+Model!Y7</f>
        <v>3060.1</v>
      </c>
      <c r="L20" s="6">
        <f>+Model!Z7</f>
        <v>3489.5</v>
      </c>
      <c r="M20" s="6">
        <f>+Model!AA7</f>
        <v>3969</v>
      </c>
      <c r="N20" s="6">
        <f>+Model!AB7</f>
        <v>5107</v>
      </c>
      <c r="O20" s="6">
        <f>+Model!AC7</f>
        <v>6540.0749999999998</v>
      </c>
      <c r="P20" s="6">
        <f>+Model!AD7</f>
        <v>7770.6579000000002</v>
      </c>
      <c r="Q20" s="6">
        <f>+Model!AE7</f>
        <v>9221.6304645</v>
      </c>
      <c r="R20" s="6">
        <f>+Model!AF7</f>
        <v>10894.601046247501</v>
      </c>
      <c r="S20" s="6">
        <f>+Model!AG7</f>
        <v>12656.947516412063</v>
      </c>
      <c r="T20" s="6">
        <f>+Model!AH7</f>
        <v>14582.022995874502</v>
      </c>
      <c r="U20" s="6">
        <f>+Model!AI7</f>
        <v>16658.716523076258</v>
      </c>
      <c r="V20" s="6">
        <f>+Model!AJ7</f>
        <v>18786.345174664901</v>
      </c>
      <c r="W20" s="6">
        <f>+Model!AK7</f>
        <v>21003.324228556859</v>
      </c>
      <c r="X20" s="6">
        <f>+Model!AL7</f>
        <v>23277.736111965427</v>
      </c>
      <c r="Y20" s="6">
        <f>+Model!AM7</f>
        <v>25571.833857699814</v>
      </c>
      <c r="Z20" s="6">
        <f>+Model!AN7</f>
        <v>27970.624515081414</v>
      </c>
    </row>
    <row r="21" spans="2:28">
      <c r="L21" s="12"/>
      <c r="M21" s="12"/>
    </row>
    <row r="22" spans="2:28">
      <c r="B22" t="s">
        <v>402</v>
      </c>
      <c r="C22" s="12">
        <f>1-C11/Model!Q97</f>
        <v>0.39533792659714218</v>
      </c>
      <c r="D22" s="12">
        <f>1-D11/Model!R97</f>
        <v>0.44024798557709999</v>
      </c>
      <c r="E22" s="12">
        <f>1-E11/Model!S97</f>
        <v>0.44883303411131059</v>
      </c>
      <c r="F22" s="12">
        <f>1-F11/Model!T97</f>
        <v>0.42533229085222835</v>
      </c>
      <c r="G22" s="12">
        <f>1-G11/Model!U97</f>
        <v>0.42928930366116302</v>
      </c>
      <c r="H22" s="12">
        <f>1-H11/Model!V97</f>
        <v>0.40945268100635013</v>
      </c>
      <c r="I22" s="12">
        <f>1-I11/Model!W97</f>
        <v>0.44297423332814434</v>
      </c>
      <c r="J22" s="12">
        <f>1-J11/Model!X97</f>
        <v>0.44689737470167057</v>
      </c>
      <c r="K22" s="12">
        <f>1-K11/Model!Y97</f>
        <v>0.45074455899198163</v>
      </c>
      <c r="L22" s="12">
        <f>1-L11/Model!Z97</f>
        <v>0.41702741702741708</v>
      </c>
      <c r="M22" s="12">
        <f>1-M11/Model!AA97</f>
        <v>0.42603550295857984</v>
      </c>
      <c r="N22" s="12">
        <f>1-N11/Model!AB97</f>
        <v>0.4375</v>
      </c>
      <c r="O22" s="42">
        <v>0.41</v>
      </c>
      <c r="P22" s="42">
        <v>0.42</v>
      </c>
      <c r="Q22" s="42">
        <v>0.42</v>
      </c>
      <c r="R22" s="42">
        <v>0.42</v>
      </c>
      <c r="S22" s="42">
        <v>0.42</v>
      </c>
      <c r="T22" s="42">
        <v>0.42</v>
      </c>
      <c r="U22" s="42">
        <v>0.42</v>
      </c>
      <c r="V22" s="42">
        <v>0.42</v>
      </c>
      <c r="W22" s="42">
        <v>0.42</v>
      </c>
      <c r="X22" s="42">
        <v>0.42</v>
      </c>
      <c r="Y22" s="42">
        <v>0.42</v>
      </c>
      <c r="Z22" s="42">
        <v>0.42</v>
      </c>
    </row>
    <row r="23" spans="2:28">
      <c r="B23" t="s">
        <v>463</v>
      </c>
      <c r="C23" s="12">
        <f>+C16/C20</f>
        <v>1.5418832269920264E-2</v>
      </c>
      <c r="D23" s="12">
        <f t="shared" ref="D23:N23" si="28">+D16/D20</f>
        <v>1.0964115441958982E-2</v>
      </c>
      <c r="E23" s="12">
        <f t="shared" si="28"/>
        <v>1.6156176371592057E-2</v>
      </c>
      <c r="F23" s="12">
        <f t="shared" si="28"/>
        <v>1.6187644532540471E-2</v>
      </c>
      <c r="G23" s="12">
        <f t="shared" si="28"/>
        <v>1.4556999940094651E-2</v>
      </c>
      <c r="H23" s="12">
        <f t="shared" si="28"/>
        <v>1.5775367470865886E-2</v>
      </c>
      <c r="I23" s="12">
        <f t="shared" si="28"/>
        <v>1.3646506541382324E-2</v>
      </c>
      <c r="J23" s="12">
        <f t="shared" si="28"/>
        <v>1.9601516495926435E-2</v>
      </c>
      <c r="K23" s="12">
        <f t="shared" si="28"/>
        <v>1.7090944740367962E-2</v>
      </c>
      <c r="L23" s="12">
        <f t="shared" si="28"/>
        <v>2.0919902564837368E-2</v>
      </c>
      <c r="M23" s="12">
        <f t="shared" si="28"/>
        <v>3.2753842277651801E-3</v>
      </c>
      <c r="N23" s="12">
        <f t="shared" si="28"/>
        <v>1.2140199725866458E-2</v>
      </c>
      <c r="O23" s="42">
        <v>2.4E-2</v>
      </c>
      <c r="P23" s="42">
        <v>1.4999999999999999E-2</v>
      </c>
      <c r="Q23" s="42">
        <v>1.4999999999999999E-2</v>
      </c>
      <c r="R23" s="42">
        <v>1.4999999999999999E-2</v>
      </c>
      <c r="S23" s="42">
        <v>1.4999999999999999E-2</v>
      </c>
      <c r="T23" s="42">
        <v>1.4999999999999999E-2</v>
      </c>
      <c r="U23" s="42">
        <v>1.4999999999999999E-2</v>
      </c>
      <c r="V23" s="42">
        <v>1.4999999999999999E-2</v>
      </c>
      <c r="W23" s="42">
        <v>1.4999999999999999E-2</v>
      </c>
      <c r="X23" s="42">
        <v>1.4999999999999999E-2</v>
      </c>
      <c r="Y23" s="42">
        <v>1.4999999999999999E-2</v>
      </c>
      <c r="Z23" s="42">
        <v>1.4999999999999999E-2</v>
      </c>
    </row>
    <row r="25" spans="2:28">
      <c r="C25" s="43" t="str">
        <f>+B5</f>
        <v>Professional Services</v>
      </c>
      <c r="D25" s="43"/>
      <c r="F25" s="43" t="str">
        <f>+B6</f>
        <v>Maintenance</v>
      </c>
      <c r="G25" s="43"/>
      <c r="I25" s="43" t="str">
        <f>+B7</f>
        <v>R&amp;D</v>
      </c>
      <c r="J25" s="43"/>
      <c r="L25" s="43" t="str">
        <f>+B8</f>
        <v>S&amp;M</v>
      </c>
      <c r="M25" s="43"/>
      <c r="O25" s="43" t="str">
        <f>+B9</f>
        <v>G&amp;A</v>
      </c>
      <c r="P25" s="43"/>
    </row>
    <row r="26" spans="2:28">
      <c r="C26" s="187">
        <f t="array" ref="C26:D29">LINEST($C$5:$N$5,$C$20:$N$20,TRUE,TRUE)</f>
        <v>0.10378167919164884</v>
      </c>
      <c r="D26" s="187">
        <v>23.297925426295507</v>
      </c>
      <c r="F26" s="187">
        <f t="array" ref="F26:G29">LINEST($C$6:$N$6,$C$20:$N$20,TRUE,TRUE)</f>
        <v>0.10594559473501941</v>
      </c>
      <c r="G26" s="187">
        <v>-7.4344433541784838</v>
      </c>
      <c r="I26" s="187">
        <f t="array" ref="I26:J29">LINEST($C$7:$N$7,$C$20:$N$20,TRUE,TRUE)</f>
        <v>0.14360099731890263</v>
      </c>
      <c r="J26" s="187">
        <v>-4.6281564707390999</v>
      </c>
      <c r="L26" s="187">
        <f t="array" ref="L26:M29">LINEST($C$8:$N$8,$C$20:$N$20,TRUE,TRUE)</f>
        <v>7.2001243494480074E-2</v>
      </c>
      <c r="M26" s="187">
        <v>-0.5420128016409933</v>
      </c>
      <c r="O26" s="187">
        <f t="array" ref="O26:P29">LINEST($C$9:$N$9,$C$20:$N$20,TRUE,TRUE)</f>
        <v>9.4024202411641319E-2</v>
      </c>
      <c r="P26" s="187">
        <v>-17.576244962869595</v>
      </c>
    </row>
    <row r="27" spans="2:28">
      <c r="C27">
        <v>2.1200672638905134E-3</v>
      </c>
      <c r="D27">
        <v>5.5912800023625957</v>
      </c>
      <c r="F27">
        <v>1.8536577571582015E-3</v>
      </c>
      <c r="G27">
        <v>4.8886748667603577</v>
      </c>
      <c r="I27">
        <v>1.9327869523069272E-3</v>
      </c>
      <c r="J27">
        <v>5.0973632862146596</v>
      </c>
      <c r="L27">
        <v>8.1335612756266616E-4</v>
      </c>
      <c r="M27">
        <v>2.1450743230168907</v>
      </c>
      <c r="O27">
        <v>3.9881884144656017E-3</v>
      </c>
      <c r="P27">
        <v>10.518099358100034</v>
      </c>
    </row>
    <row r="28" spans="2:28">
      <c r="C28" s="64">
        <v>0.99584425095161289</v>
      </c>
      <c r="D28">
        <v>9.8527185682901823</v>
      </c>
      <c r="F28" s="64">
        <v>0.99694813117453451</v>
      </c>
      <c r="G28">
        <v>8.614617335155895</v>
      </c>
      <c r="I28" s="64">
        <v>0.99819171442152443</v>
      </c>
      <c r="J28">
        <v>8.9823592948638158</v>
      </c>
      <c r="L28" s="64">
        <v>0.99872553578397705</v>
      </c>
      <c r="M28">
        <v>3.7799597952205035</v>
      </c>
      <c r="O28" s="64">
        <v>0.98232628753745066</v>
      </c>
      <c r="P28">
        <v>18.534552518364954</v>
      </c>
    </row>
    <row r="29" spans="2:28">
      <c r="C29">
        <v>2396.3050688494177</v>
      </c>
      <c r="D29">
        <v>10</v>
      </c>
      <c r="F29">
        <v>3266.6808050718664</v>
      </c>
      <c r="G29">
        <v>10</v>
      </c>
      <c r="I29">
        <v>5520.0999571266693</v>
      </c>
      <c r="J29">
        <v>10</v>
      </c>
      <c r="L29">
        <v>7836.4345050076936</v>
      </c>
      <c r="M29">
        <v>10</v>
      </c>
      <c r="O29">
        <v>555.81207944793698</v>
      </c>
      <c r="P29">
        <v>10</v>
      </c>
    </row>
    <row r="31" spans="2:28">
      <c r="C31" s="43" t="str">
        <f>+B11</f>
        <v>Hardware</v>
      </c>
      <c r="D31" s="43"/>
      <c r="F31" s="43" t="str">
        <f>+B12</f>
        <v>Third party license, maint., prof. services</v>
      </c>
      <c r="G31" s="43"/>
      <c r="I31" s="43" t="str">
        <f>+B13</f>
        <v>Occupancy</v>
      </c>
      <c r="J31" s="203">
        <v>28</v>
      </c>
      <c r="L31" s="43" t="str">
        <f>+B14</f>
        <v>Travel, Telc, Supplies &amp; Software Equip</v>
      </c>
      <c r="M31" s="43"/>
      <c r="O31" s="43" t="str">
        <f>+B15</f>
        <v>Professional fees</v>
      </c>
      <c r="P31" s="43"/>
    </row>
    <row r="32" spans="2:28">
      <c r="C32" s="187">
        <f t="array" ref="C32:D35">LINEST($C$11:$N$11,$C$20:$N$20,TRUE,TRUE)</f>
        <v>1.0991481978495676E-2</v>
      </c>
      <c r="D32" s="187">
        <v>56.5897483660207</v>
      </c>
      <c r="F32" s="187">
        <f t="array" ref="F32:G35">LINEST($C$12:$N$12,$C$20:$N$20,TRUE,TRUE)</f>
        <v>8.7318837082783526E-2</v>
      </c>
      <c r="G32" s="187">
        <v>-6.4708477664290172</v>
      </c>
      <c r="I32" s="187">
        <f t="array" ref="I32:J35">LINEST($C$13:$N$13,$C$20:$N$20,TRUE,TRUE)</f>
        <v>5.6879300236971526E-3</v>
      </c>
      <c r="J32" s="187">
        <v>26.1731996802826</v>
      </c>
      <c r="L32" s="187">
        <f t="array" ref="L32:M35">LINEST($C$14:$L$14,$C$20:$L$20,TRUE,TRUE)</f>
        <v>5.5150616507356885E-2</v>
      </c>
      <c r="M32" s="187">
        <v>12.409257723255052</v>
      </c>
      <c r="O32" s="187">
        <f t="array" ref="O32:P35">LINEST($C$15:$N$15,$C$20:$N$20,TRUE,TRUE)</f>
        <v>1.5271181607955011E-2</v>
      </c>
      <c r="P32" s="187">
        <v>-2.8877856384410521</v>
      </c>
    </row>
    <row r="33" spans="2:32">
      <c r="C33">
        <v>2.0982323670119874E-3</v>
      </c>
      <c r="D33">
        <v>5.5336945547921657</v>
      </c>
      <c r="F33">
        <v>2.0939723458924127E-3</v>
      </c>
      <c r="G33">
        <v>5.5224595476293219</v>
      </c>
      <c r="I33">
        <v>3.57618134137935E-3</v>
      </c>
      <c r="J33">
        <v>9.4315079334715026</v>
      </c>
      <c r="L33">
        <v>9.7785404800368046E-4</v>
      </c>
      <c r="M33">
        <v>1.9951721420177944</v>
      </c>
      <c r="O33">
        <v>6.5029680079723752E-4</v>
      </c>
      <c r="P33">
        <v>1.7150359141084968</v>
      </c>
    </row>
    <row r="34" spans="2:32">
      <c r="C34" s="64">
        <v>0.73291555345324111</v>
      </c>
      <c r="D34">
        <v>9.751243913416749</v>
      </c>
      <c r="F34" s="64">
        <v>0.99428211227052099</v>
      </c>
      <c r="G34">
        <v>9.731446056102957</v>
      </c>
      <c r="I34" s="64">
        <v>0.20189644392487077</v>
      </c>
      <c r="J34">
        <v>16.619806789111788</v>
      </c>
      <c r="L34" s="64">
        <v>0.9974913132160268</v>
      </c>
      <c r="M34">
        <v>2.8695824215914159</v>
      </c>
      <c r="O34" s="64">
        <v>0.98218961574659713</v>
      </c>
      <c r="P34">
        <v>3.0221641894308928</v>
      </c>
    </row>
    <row r="35" spans="2:32">
      <c r="C35">
        <v>27.441341602979804</v>
      </c>
      <c r="D35">
        <v>10</v>
      </c>
      <c r="F35">
        <v>1738.8975777618314</v>
      </c>
      <c r="G35">
        <v>10</v>
      </c>
      <c r="I35">
        <v>2.5297023473713893</v>
      </c>
      <c r="J35">
        <v>10</v>
      </c>
      <c r="L35">
        <v>3180.9194183618392</v>
      </c>
      <c r="M35">
        <v>8</v>
      </c>
      <c r="O35">
        <v>551.47019950394088</v>
      </c>
      <c r="P35">
        <v>10</v>
      </c>
    </row>
    <row r="37" spans="2:32">
      <c r="B37" s="43"/>
      <c r="C37" s="43">
        <f>+C$4</f>
        <v>2010</v>
      </c>
      <c r="D37" s="43">
        <f t="shared" ref="D37:Z37" si="29">+D$4</f>
        <v>2011</v>
      </c>
      <c r="E37" s="43">
        <f t="shared" si="29"/>
        <v>2012</v>
      </c>
      <c r="F37" s="43">
        <f t="shared" si="29"/>
        <v>2013</v>
      </c>
      <c r="G37" s="43">
        <f t="shared" si="29"/>
        <v>2014</v>
      </c>
      <c r="H37" s="43">
        <f t="shared" si="29"/>
        <v>2015</v>
      </c>
      <c r="I37" s="43">
        <f t="shared" si="29"/>
        <v>2016</v>
      </c>
      <c r="J37" s="43">
        <f t="shared" si="29"/>
        <v>2017</v>
      </c>
      <c r="K37" s="43">
        <f t="shared" si="29"/>
        <v>2018</v>
      </c>
      <c r="L37" s="43">
        <f t="shared" si="29"/>
        <v>2019</v>
      </c>
      <c r="M37" s="43">
        <f t="shared" si="29"/>
        <v>2020</v>
      </c>
      <c r="N37" s="43">
        <f t="shared" si="29"/>
        <v>2021</v>
      </c>
      <c r="O37" s="43">
        <f t="shared" si="29"/>
        <v>2022</v>
      </c>
      <c r="P37" s="43">
        <f t="shared" si="29"/>
        <v>2023</v>
      </c>
      <c r="Q37" s="43">
        <f t="shared" si="29"/>
        <v>2024</v>
      </c>
      <c r="R37" s="43">
        <f t="shared" si="29"/>
        <v>2025</v>
      </c>
      <c r="S37" s="43">
        <f t="shared" si="29"/>
        <v>2026</v>
      </c>
      <c r="T37" s="43">
        <f t="shared" si="29"/>
        <v>2027</v>
      </c>
      <c r="U37" s="43">
        <f t="shared" si="29"/>
        <v>2028</v>
      </c>
      <c r="V37" s="43">
        <f t="shared" si="29"/>
        <v>2029</v>
      </c>
      <c r="W37" s="43">
        <f t="shared" si="29"/>
        <v>2030</v>
      </c>
      <c r="X37" s="43">
        <f t="shared" si="29"/>
        <v>2031</v>
      </c>
      <c r="Y37" s="43">
        <f t="shared" si="29"/>
        <v>2032</v>
      </c>
      <c r="Z37" s="43">
        <f t="shared" si="29"/>
        <v>2033</v>
      </c>
    </row>
    <row r="38" spans="2:32">
      <c r="B38" t="s">
        <v>234</v>
      </c>
      <c r="C38" s="150">
        <f t="shared" ref="C38:Z38" si="30">+C5/C$20</f>
        <v>0.14870537017027755</v>
      </c>
      <c r="D38" s="150">
        <f t="shared" si="30"/>
        <v>0.13015086488366712</v>
      </c>
      <c r="E38" s="150">
        <f t="shared" si="30"/>
        <v>0.11836643105576125</v>
      </c>
      <c r="F38" s="150">
        <f t="shared" si="30"/>
        <v>0.12256359431780642</v>
      </c>
      <c r="G38" s="150">
        <f t="shared" si="30"/>
        <v>0.13292997064637874</v>
      </c>
      <c r="H38" s="150">
        <f t="shared" si="30"/>
        <v>0.116193741095757</v>
      </c>
      <c r="I38" s="150">
        <f t="shared" si="30"/>
        <v>0.11194841055844328</v>
      </c>
      <c r="J38" s="150">
        <f t="shared" si="30"/>
        <v>0.10893764620472696</v>
      </c>
      <c r="K38" s="150">
        <f t="shared" si="30"/>
        <v>0.11143426685402438</v>
      </c>
      <c r="L38" s="150">
        <f t="shared" si="30"/>
        <v>0.11033099297893681</v>
      </c>
      <c r="M38" s="150">
        <f t="shared" si="30"/>
        <v>0.10859158478206098</v>
      </c>
      <c r="N38" s="150">
        <f t="shared" si="30"/>
        <v>0.10926179753279812</v>
      </c>
      <c r="O38" s="150">
        <f t="shared" si="30"/>
        <v>0.12263435678728733</v>
      </c>
      <c r="P38" s="150">
        <f t="shared" si="30"/>
        <v>0.11964879456501966</v>
      </c>
      <c r="Q38" s="150">
        <f t="shared" si="30"/>
        <v>0.11715219169493649</v>
      </c>
      <c r="R38" s="150">
        <f t="shared" si="30"/>
        <v>0.11509902113954547</v>
      </c>
      <c r="S38" s="150">
        <f t="shared" si="30"/>
        <v>0.11352320061823427</v>
      </c>
      <c r="T38" s="150">
        <f t="shared" si="30"/>
        <v>0.11223715381688969</v>
      </c>
      <c r="U38" s="150">
        <f t="shared" si="30"/>
        <v>0.11118308525168345</v>
      </c>
      <c r="V38" s="150">
        <f t="shared" si="30"/>
        <v>0.11034484644317862</v>
      </c>
      <c r="W38" s="150">
        <f t="shared" si="30"/>
        <v>0.10965207970942284</v>
      </c>
      <c r="X38" s="150">
        <f t="shared" si="30"/>
        <v>0.10907849692483539</v>
      </c>
      <c r="Y38" s="150">
        <f t="shared" si="30"/>
        <v>0.10860330935366282</v>
      </c>
      <c r="Z38" s="150">
        <f t="shared" si="30"/>
        <v>0.10818980119692673</v>
      </c>
      <c r="AB38" s="28">
        <f>+L38-C38</f>
        <v>-3.8374377191340736E-2</v>
      </c>
      <c r="AD38" s="12"/>
      <c r="AE38" s="12"/>
      <c r="AF38" s="12"/>
    </row>
    <row r="39" spans="2:32">
      <c r="B39" t="s">
        <v>266</v>
      </c>
      <c r="C39" s="150">
        <f t="shared" ref="C39:Z39" si="31">+C6/C$20</f>
        <v>0.10681031287216171</v>
      </c>
      <c r="D39" s="150">
        <f t="shared" si="31"/>
        <v>9.9158068691560408E-2</v>
      </c>
      <c r="E39" s="150">
        <f t="shared" si="31"/>
        <v>0.10557612476158421</v>
      </c>
      <c r="F39" s="150">
        <f t="shared" si="31"/>
        <v>0.10026428807400067</v>
      </c>
      <c r="G39" s="150">
        <f t="shared" si="31"/>
        <v>9.4171209489007368E-2</v>
      </c>
      <c r="H39" s="150">
        <f t="shared" si="31"/>
        <v>9.6012150296821683E-2</v>
      </c>
      <c r="I39" s="150">
        <f t="shared" si="31"/>
        <v>0.10060769305336348</v>
      </c>
      <c r="J39" s="150">
        <f t="shared" si="31"/>
        <v>0.10139549891102687</v>
      </c>
      <c r="K39" s="150">
        <f t="shared" si="31"/>
        <v>0.10676121695369432</v>
      </c>
      <c r="L39" s="150">
        <f t="shared" si="31"/>
        <v>0.10631895687061184</v>
      </c>
      <c r="M39" s="150">
        <f t="shared" si="31"/>
        <v>0.10128495842781557</v>
      </c>
      <c r="N39" s="150">
        <f t="shared" si="31"/>
        <v>0.10554141374583904</v>
      </c>
      <c r="O39" s="150">
        <f t="shared" si="31"/>
        <v>0.1032798082793322</v>
      </c>
      <c r="P39" s="150">
        <f t="shared" si="31"/>
        <v>0.10370196960333287</v>
      </c>
      <c r="Q39" s="150">
        <f t="shared" si="31"/>
        <v>0.1040549916121449</v>
      </c>
      <c r="R39" s="150">
        <f t="shared" si="31"/>
        <v>0.10434531187196004</v>
      </c>
      <c r="S39" s="150">
        <f t="shared" si="31"/>
        <v>0.10456813438515451</v>
      </c>
      <c r="T39" s="150">
        <f t="shared" si="31"/>
        <v>0.10474998262008098</v>
      </c>
      <c r="U39" s="150">
        <f t="shared" si="31"/>
        <v>0.10489902891285492</v>
      </c>
      <c r="V39" s="150">
        <f t="shared" si="31"/>
        <v>0.10501755667375295</v>
      </c>
      <c r="W39" s="150">
        <f t="shared" si="31"/>
        <v>0.10511551454559519</v>
      </c>
      <c r="X39" s="150">
        <f t="shared" si="31"/>
        <v>0.10519661969421994</v>
      </c>
      <c r="Y39" s="150">
        <f t="shared" si="31"/>
        <v>0.10526381166653882</v>
      </c>
      <c r="Z39" s="150">
        <f t="shared" si="31"/>
        <v>0.1053222821112781</v>
      </c>
      <c r="AB39" s="28">
        <f t="shared" ref="AB39:AB51" si="32">+L39-C39</f>
        <v>-4.9135600154986969E-4</v>
      </c>
      <c r="AD39" s="12"/>
      <c r="AE39" s="12"/>
      <c r="AF39" s="12"/>
    </row>
    <row r="40" spans="2:32">
      <c r="B40" t="s">
        <v>267</v>
      </c>
      <c r="C40" s="150">
        <f t="shared" ref="C40:Z40" si="33">+C7/C$20</f>
        <v>0.13592706221952316</v>
      </c>
      <c r="D40" s="150">
        <f t="shared" si="33"/>
        <v>0.13396418914812483</v>
      </c>
      <c r="E40" s="150">
        <f t="shared" si="33"/>
        <v>0.1413665432514305</v>
      </c>
      <c r="F40" s="150">
        <f t="shared" si="33"/>
        <v>0.14469772051536173</v>
      </c>
      <c r="G40" s="150">
        <f t="shared" si="33"/>
        <v>0.14904450967471397</v>
      </c>
      <c r="H40" s="150">
        <f t="shared" si="33"/>
        <v>0.14099914649822198</v>
      </c>
      <c r="I40" s="150">
        <f t="shared" si="33"/>
        <v>0.13839439909726006</v>
      </c>
      <c r="J40" s="150">
        <f t="shared" si="33"/>
        <v>0.13769460353311283</v>
      </c>
      <c r="K40" s="150">
        <f t="shared" si="33"/>
        <v>0.13747916734747231</v>
      </c>
      <c r="L40" s="150">
        <f t="shared" si="33"/>
        <v>0.14070783779911161</v>
      </c>
      <c r="M40" s="150">
        <f t="shared" si="33"/>
        <v>0.14588057445200303</v>
      </c>
      <c r="N40" s="150">
        <f t="shared" si="33"/>
        <v>0.14333268063442334</v>
      </c>
      <c r="O40" s="150">
        <f t="shared" si="33"/>
        <v>0.14289333624915357</v>
      </c>
      <c r="P40" s="150">
        <f t="shared" si="33"/>
        <v>0.14300540341549078</v>
      </c>
      <c r="Q40" s="150">
        <f t="shared" si="33"/>
        <v>0.14309911682297993</v>
      </c>
      <c r="R40" s="150">
        <f t="shared" si="33"/>
        <v>0.14317618539131644</v>
      </c>
      <c r="S40" s="150">
        <f t="shared" si="33"/>
        <v>0.1432353359724573</v>
      </c>
      <c r="T40" s="150">
        <f t="shared" si="33"/>
        <v>0.14328360950021324</v>
      </c>
      <c r="U40" s="150">
        <f t="shared" si="33"/>
        <v>0.14332317540721284</v>
      </c>
      <c r="V40" s="150">
        <f t="shared" si="33"/>
        <v>0.14335463984874494</v>
      </c>
      <c r="W40" s="150">
        <f t="shared" si="33"/>
        <v>0.143380643796747</v>
      </c>
      <c r="X40" s="150">
        <f t="shared" si="33"/>
        <v>0.14340217401201069</v>
      </c>
      <c r="Y40" s="150">
        <f t="shared" si="33"/>
        <v>0.14342001082819988</v>
      </c>
      <c r="Z40" s="150">
        <f t="shared" si="33"/>
        <v>0.14343553242310655</v>
      </c>
      <c r="AB40" s="28">
        <f t="shared" si="32"/>
        <v>4.7807755795884477E-3</v>
      </c>
      <c r="AD40" s="12"/>
      <c r="AE40" s="12"/>
      <c r="AF40" s="12"/>
    </row>
    <row r="41" spans="2:32">
      <c r="B41" t="s">
        <v>268</v>
      </c>
      <c r="C41" s="150">
        <f t="shared" ref="C41:Z41" si="34">+C8/C$20</f>
        <v>7.1145883447824396E-2</v>
      </c>
      <c r="D41" s="150">
        <f t="shared" si="34"/>
        <v>7.0883349001281459E-2</v>
      </c>
      <c r="E41" s="150">
        <f t="shared" si="34"/>
        <v>7.3263772018400092E-2</v>
      </c>
      <c r="F41" s="150">
        <f t="shared" si="34"/>
        <v>7.6891311529567227E-2</v>
      </c>
      <c r="G41" s="150">
        <f t="shared" si="34"/>
        <v>7.1467082010423524E-2</v>
      </c>
      <c r="H41" s="150">
        <f t="shared" si="34"/>
        <v>6.767088666812815E-2</v>
      </c>
      <c r="I41" s="150">
        <f t="shared" si="34"/>
        <v>6.959718336104985E-2</v>
      </c>
      <c r="J41" s="150">
        <f t="shared" si="34"/>
        <v>7.2961200290392839E-2</v>
      </c>
      <c r="K41" s="150">
        <f t="shared" si="34"/>
        <v>7.172968203653475E-2</v>
      </c>
      <c r="L41" s="150">
        <f t="shared" si="34"/>
        <v>7.2503223957587043E-2</v>
      </c>
      <c r="M41" s="150">
        <f t="shared" si="34"/>
        <v>7.1302595112118922E-2</v>
      </c>
      <c r="N41" s="150">
        <f t="shared" si="34"/>
        <v>7.2253769336205212E-2</v>
      </c>
      <c r="O41" s="150">
        <f t="shared" si="34"/>
        <v>7.1153850643229752E-2</v>
      </c>
      <c r="P41" s="150">
        <f t="shared" si="34"/>
        <v>7.1931492283113393E-2</v>
      </c>
      <c r="Q41" s="150">
        <f t="shared" si="34"/>
        <v>7.1942467250547121E-2</v>
      </c>
      <c r="R41" s="150">
        <f t="shared" si="34"/>
        <v>7.1951492907070758E-2</v>
      </c>
      <c r="S41" s="150">
        <f t="shared" si="34"/>
        <v>7.19584201517319E-2</v>
      </c>
      <c r="T41" s="150">
        <f t="shared" si="34"/>
        <v>7.1964073562585551E-2</v>
      </c>
      <c r="U41" s="150">
        <f t="shared" si="34"/>
        <v>7.1968707206291824E-2</v>
      </c>
      <c r="V41" s="150">
        <f t="shared" si="34"/>
        <v>7.1972392070927399E-2</v>
      </c>
      <c r="W41" s="150">
        <f t="shared" si="34"/>
        <v>7.1975437446078261E-2</v>
      </c>
      <c r="X41" s="150">
        <f t="shared" si="34"/>
        <v>7.1977958893304342E-2</v>
      </c>
      <c r="Y41" s="150">
        <f t="shared" si="34"/>
        <v>7.1980047799065458E-2</v>
      </c>
      <c r="Z41" s="150">
        <f t="shared" si="34"/>
        <v>7.1981865564561182E-2</v>
      </c>
      <c r="AB41" s="28">
        <f t="shared" si="32"/>
        <v>1.3573405097626473E-3</v>
      </c>
      <c r="AD41" s="12"/>
      <c r="AE41" s="12"/>
      <c r="AF41" s="12"/>
    </row>
    <row r="42" spans="2:32">
      <c r="B42" t="s">
        <v>269</v>
      </c>
      <c r="C42" s="150">
        <f t="shared" ref="C42:Z42" si="35">+C9/C$20</f>
        <v>9.9806771667205599E-2</v>
      </c>
      <c r="D42" s="150">
        <f t="shared" si="35"/>
        <v>8.4862951789702101E-2</v>
      </c>
      <c r="E42" s="150">
        <f t="shared" si="35"/>
        <v>8.8488724335240673E-2</v>
      </c>
      <c r="F42" s="150">
        <f t="shared" si="35"/>
        <v>8.7215064420218036E-2</v>
      </c>
      <c r="G42" s="150">
        <f t="shared" si="35"/>
        <v>8.0512789792128447E-2</v>
      </c>
      <c r="H42" s="150">
        <f t="shared" si="35"/>
        <v>7.5395376946965922E-2</v>
      </c>
      <c r="I42" s="150">
        <f t="shared" si="35"/>
        <v>7.7785087285879254E-2</v>
      </c>
      <c r="J42" s="150">
        <f t="shared" si="35"/>
        <v>7.7881745583608927E-2</v>
      </c>
      <c r="K42" s="150">
        <f t="shared" si="35"/>
        <v>8.4049540864677627E-2</v>
      </c>
      <c r="L42" s="150">
        <f t="shared" si="35"/>
        <v>8.5112480298036974E-2</v>
      </c>
      <c r="M42" s="150">
        <f t="shared" si="35"/>
        <v>8.9443184681279916E-2</v>
      </c>
      <c r="N42" s="150">
        <f t="shared" si="35"/>
        <v>9.7317407479929507E-2</v>
      </c>
      <c r="O42" s="150">
        <f t="shared" si="35"/>
        <v>9.8217389039796252E-2</v>
      </c>
      <c r="P42" s="150">
        <f t="shared" si="35"/>
        <v>9.7553344395504796E-2</v>
      </c>
      <c r="Q42" s="150">
        <f t="shared" si="35"/>
        <v>9.6998053418000996E-2</v>
      </c>
      <c r="R42" s="150">
        <f t="shared" si="35"/>
        <v>9.6541390046206058E-2</v>
      </c>
      <c r="S42" s="150">
        <f t="shared" si="35"/>
        <v>9.6190898212628911E-2</v>
      </c>
      <c r="T42" s="150">
        <f t="shared" si="35"/>
        <v>9.5904857451404257E-2</v>
      </c>
      <c r="U42" s="150">
        <f t="shared" si="35"/>
        <v>9.5670412970488519E-2</v>
      </c>
      <c r="V42" s="150">
        <f t="shared" si="35"/>
        <v>9.54839730472897E-2</v>
      </c>
      <c r="W42" s="150">
        <f t="shared" si="35"/>
        <v>9.5329888822930642E-2</v>
      </c>
      <c r="X42" s="150">
        <f t="shared" si="35"/>
        <v>9.5202313328666188E-2</v>
      </c>
      <c r="Y42" s="150">
        <f t="shared" si="35"/>
        <v>9.5096622762474811E-2</v>
      </c>
      <c r="Z42" s="150">
        <f t="shared" si="35"/>
        <v>9.5004650846832447E-2</v>
      </c>
      <c r="AB42" s="28">
        <f t="shared" si="32"/>
        <v>-1.4694291369168624E-2</v>
      </c>
      <c r="AD42" s="12"/>
      <c r="AE42" s="12"/>
      <c r="AF42" s="12"/>
    </row>
    <row r="43" spans="2:32">
      <c r="B43" s="2" t="s">
        <v>270</v>
      </c>
      <c r="C43" s="170">
        <f t="shared" ref="C43:Z43" si="36">+C10/C$20</f>
        <v>0.56239540037699243</v>
      </c>
      <c r="D43" s="170">
        <f t="shared" si="36"/>
        <v>0.51901942351433583</v>
      </c>
      <c r="E43" s="170">
        <f t="shared" si="36"/>
        <v>0.52706159542241682</v>
      </c>
      <c r="F43" s="170">
        <f t="shared" si="36"/>
        <v>0.53163197885695412</v>
      </c>
      <c r="G43" s="170">
        <f t="shared" si="36"/>
        <v>0.52812556161265201</v>
      </c>
      <c r="H43" s="170">
        <f t="shared" si="36"/>
        <v>0.49627130150589477</v>
      </c>
      <c r="I43" s="170">
        <f t="shared" si="36"/>
        <v>0.49833277335599591</v>
      </c>
      <c r="J43" s="170">
        <f t="shared" si="36"/>
        <v>0.49887069452286836</v>
      </c>
      <c r="K43" s="170">
        <f t="shared" si="36"/>
        <v>0.51145387405640341</v>
      </c>
      <c r="L43" s="170">
        <f t="shared" si="36"/>
        <v>0.51497349190428432</v>
      </c>
      <c r="M43" s="170">
        <f t="shared" si="36"/>
        <v>0.51650289745527844</v>
      </c>
      <c r="N43" s="170">
        <f t="shared" si="36"/>
        <v>0.52770706872919526</v>
      </c>
      <c r="O43" s="170">
        <f t="shared" si="36"/>
        <v>0.53817874099879903</v>
      </c>
      <c r="P43" s="170">
        <f t="shared" si="36"/>
        <v>0.53584100426246151</v>
      </c>
      <c r="Q43" s="170">
        <f t="shared" si="36"/>
        <v>0.53324682079860941</v>
      </c>
      <c r="R43" s="170">
        <f t="shared" si="36"/>
        <v>0.53111340135609875</v>
      </c>
      <c r="S43" s="170">
        <f t="shared" si="36"/>
        <v>0.5294759893402069</v>
      </c>
      <c r="T43" s="170">
        <f t="shared" si="36"/>
        <v>0.5281396769511737</v>
      </c>
      <c r="U43" s="170">
        <f t="shared" si="36"/>
        <v>0.52704440974853162</v>
      </c>
      <c r="V43" s="170">
        <f t="shared" si="36"/>
        <v>0.52617340808389357</v>
      </c>
      <c r="W43" s="170">
        <f t="shared" si="36"/>
        <v>0.52545356432077395</v>
      </c>
      <c r="X43" s="170">
        <f t="shared" si="36"/>
        <v>0.52485756285303653</v>
      </c>
      <c r="Y43" s="170">
        <f t="shared" si="36"/>
        <v>0.52436380240994185</v>
      </c>
      <c r="Z43" s="170">
        <f t="shared" si="36"/>
        <v>0.52393413214270501</v>
      </c>
      <c r="AD43" s="12"/>
      <c r="AE43" s="12"/>
      <c r="AF43" s="12"/>
    </row>
    <row r="44" spans="2:32">
      <c r="B44" t="s">
        <v>271</v>
      </c>
      <c r="C44" s="150">
        <f t="shared" ref="C44:Z44" si="37">+C11/C$20</f>
        <v>7.1153770318550705E-2</v>
      </c>
      <c r="D44" s="150">
        <f t="shared" si="37"/>
        <v>7.8689737127606074E-2</v>
      </c>
      <c r="E44" s="150">
        <f t="shared" si="37"/>
        <v>6.8888140917760576E-2</v>
      </c>
      <c r="F44" s="150">
        <f t="shared" si="37"/>
        <v>6.0703666997026763E-2</v>
      </c>
      <c r="G44" s="150">
        <f t="shared" si="37"/>
        <v>4.7624752890433115E-2</v>
      </c>
      <c r="H44" s="150">
        <f t="shared" si="37"/>
        <v>4.9121230435144464E-2</v>
      </c>
      <c r="I44" s="150">
        <f t="shared" si="37"/>
        <v>3.8727844426060871E-2</v>
      </c>
      <c r="J44" s="150">
        <f t="shared" si="37"/>
        <v>3.7388077760748567E-2</v>
      </c>
      <c r="K44" s="150">
        <f t="shared" si="37"/>
        <v>3.1338845135779878E-2</v>
      </c>
      <c r="L44" s="150">
        <f t="shared" si="37"/>
        <v>2.894397478148732E-2</v>
      </c>
      <c r="M44" s="150">
        <f t="shared" si="37"/>
        <v>2.4439405391786344E-2</v>
      </c>
      <c r="N44" s="150">
        <f t="shared" si="37"/>
        <v>1.9385157626786765E-2</v>
      </c>
      <c r="O44" s="150">
        <f t="shared" si="37"/>
        <v>1.8100342885976083E-2</v>
      </c>
      <c r="P44" s="150">
        <f t="shared" si="37"/>
        <v>1.7072321250945818E-2</v>
      </c>
      <c r="Q44" s="150">
        <f t="shared" si="37"/>
        <v>1.6112416207957017E-2</v>
      </c>
      <c r="R44" s="150">
        <f t="shared" si="37"/>
        <v>1.5002020017272234E-2</v>
      </c>
      <c r="S44" s="150">
        <f t="shared" si="37"/>
        <v>1.3946198685361864E-2</v>
      </c>
      <c r="T44" s="150">
        <f t="shared" si="37"/>
        <v>1.2952417247216026E-2</v>
      </c>
      <c r="U44" s="150">
        <f t="shared" si="37"/>
        <v>1.2018020274419018E-2</v>
      </c>
      <c r="V44" s="150">
        <f t="shared" si="37"/>
        <v>1.1136493376246465E-2</v>
      </c>
      <c r="W44" s="150">
        <f t="shared" si="37"/>
        <v>1.0309629873169242E-2</v>
      </c>
      <c r="X44" s="150">
        <f t="shared" si="37"/>
        <v>9.5348581282810058E-3</v>
      </c>
      <c r="Y44" s="150">
        <f t="shared" si="37"/>
        <v>8.8096599289435949E-3</v>
      </c>
      <c r="Z44" s="150">
        <f t="shared" si="37"/>
        <v>8.1346754171883646E-3</v>
      </c>
      <c r="AB44" s="28">
        <f t="shared" si="32"/>
        <v>-4.2209795537063388E-2</v>
      </c>
      <c r="AD44" s="12"/>
      <c r="AE44" s="12"/>
      <c r="AF44" s="12"/>
    </row>
    <row r="45" spans="2:32">
      <c r="B45" t="s">
        <v>272</v>
      </c>
      <c r="C45" s="150">
        <f t="shared" ref="C45:Z45" si="38">+C12/C$20</f>
        <v>5.9418106677813436E-2</v>
      </c>
      <c r="D45" s="150">
        <f t="shared" si="38"/>
        <v>6.6032966052491732E-2</v>
      </c>
      <c r="E45" s="150">
        <f t="shared" si="38"/>
        <v>6.9000336587007743E-2</v>
      </c>
      <c r="F45" s="150">
        <f t="shared" si="38"/>
        <v>8.4572183680211438E-2</v>
      </c>
      <c r="G45" s="150">
        <f t="shared" si="38"/>
        <v>9.117594201162163E-2</v>
      </c>
      <c r="H45" s="150">
        <f t="shared" si="38"/>
        <v>8.9049229482094663E-2</v>
      </c>
      <c r="I45" s="150">
        <f t="shared" si="38"/>
        <v>9.0678683121530129E-2</v>
      </c>
      <c r="J45" s="150">
        <f t="shared" si="38"/>
        <v>8.5746551585060893E-2</v>
      </c>
      <c r="K45" s="150">
        <f t="shared" si="38"/>
        <v>8.6500441162053521E-2</v>
      </c>
      <c r="L45" s="150">
        <f t="shared" si="38"/>
        <v>8.5972202321249469E-2</v>
      </c>
      <c r="M45" s="150">
        <f t="shared" si="38"/>
        <v>8.3144368858654574E-2</v>
      </c>
      <c r="N45" s="150">
        <f t="shared" si="38"/>
        <v>8.4785588408067353E-2</v>
      </c>
      <c r="O45" s="150">
        <f t="shared" si="38"/>
        <v>9.321007720366456E-2</v>
      </c>
      <c r="P45" s="150">
        <f t="shared" si="38"/>
        <v>9.2277124106790995E-2</v>
      </c>
      <c r="Q45" s="150">
        <f t="shared" si="38"/>
        <v>9.1496965059381014E-2</v>
      </c>
      <c r="R45" s="150">
        <f t="shared" si="38"/>
        <v>9.0855373397423694E-2</v>
      </c>
      <c r="S45" s="150">
        <f t="shared" si="38"/>
        <v>9.0362948009498748E-2</v>
      </c>
      <c r="T45" s="150">
        <f t="shared" si="38"/>
        <v>8.9961073502549949E-2</v>
      </c>
      <c r="U45" s="150">
        <f t="shared" si="38"/>
        <v>8.9631689467311426E-2</v>
      </c>
      <c r="V45" s="150">
        <f t="shared" si="38"/>
        <v>8.9369749693796921E-2</v>
      </c>
      <c r="W45" s="150">
        <f t="shared" si="38"/>
        <v>8.9153268233505154E-2</v>
      </c>
      <c r="X45" s="150">
        <f t="shared" si="38"/>
        <v>8.8974030356229306E-2</v>
      </c>
      <c r="Y45" s="150">
        <f t="shared" si="38"/>
        <v>8.8825539826434027E-2</v>
      </c>
      <c r="Z45" s="150">
        <f t="shared" si="38"/>
        <v>8.8696323388561094E-2</v>
      </c>
      <c r="AB45" s="28">
        <f t="shared" si="32"/>
        <v>2.6554095643436033E-2</v>
      </c>
      <c r="AD45" s="12"/>
      <c r="AE45" s="12"/>
      <c r="AF45" s="12"/>
    </row>
    <row r="46" spans="2:32">
      <c r="B46" t="s">
        <v>273</v>
      </c>
      <c r="C46" s="150">
        <f t="shared" ref="C46:Z46" si="39">+C13/C$20</f>
        <v>2.6562980606184883E-2</v>
      </c>
      <c r="D46" s="150">
        <f t="shared" si="39"/>
        <v>2.4462688516450056E-2</v>
      </c>
      <c r="E46" s="150">
        <f t="shared" si="39"/>
        <v>2.3561090541905083E-2</v>
      </c>
      <c r="F46" s="150">
        <f t="shared" si="39"/>
        <v>2.41988767756855E-2</v>
      </c>
      <c r="G46" s="150">
        <f t="shared" si="39"/>
        <v>2.4561193314562992E-2</v>
      </c>
      <c r="H46" s="150">
        <f t="shared" si="39"/>
        <v>2.3499857749703666E-2</v>
      </c>
      <c r="I46" s="150">
        <f t="shared" si="39"/>
        <v>2.432842717894711E-2</v>
      </c>
      <c r="J46" s="150">
        <f t="shared" si="39"/>
        <v>2.375574735823183E-2</v>
      </c>
      <c r="K46" s="150">
        <f t="shared" si="39"/>
        <v>2.5554720433972746E-2</v>
      </c>
      <c r="L46" s="150">
        <f t="shared" si="39"/>
        <v>1.0030090270812437E-2</v>
      </c>
      <c r="M46" s="150">
        <f t="shared" si="39"/>
        <v>8.8183421516754845E-3</v>
      </c>
      <c r="N46" s="150">
        <f t="shared" si="39"/>
        <v>7.8323869199138432E-3</v>
      </c>
      <c r="O46" s="150">
        <f t="shared" si="39"/>
        <v>7.2635828883054459E-3</v>
      </c>
      <c r="P46" s="150">
        <f t="shared" si="39"/>
        <v>6.9493812050996622E-3</v>
      </c>
      <c r="Q46" s="150">
        <f t="shared" si="39"/>
        <v>6.6780580150888292E-3</v>
      </c>
      <c r="R46" s="150">
        <f t="shared" si="39"/>
        <v>6.4456668357557147E-3</v>
      </c>
      <c r="S46" s="150">
        <f t="shared" si="39"/>
        <v>6.2551383191619863E-3</v>
      </c>
      <c r="T46" s="150">
        <f t="shared" si="39"/>
        <v>6.0902296930581065E-3</v>
      </c>
      <c r="U46" s="150">
        <f t="shared" si="39"/>
        <v>5.9459326261047246E-3</v>
      </c>
      <c r="V46" s="150">
        <f t="shared" si="39"/>
        <v>5.8208439836346607E-3</v>
      </c>
      <c r="W46" s="150">
        <f t="shared" si="39"/>
        <v>5.7088681008461185E-3</v>
      </c>
      <c r="X46" s="150">
        <f t="shared" si="39"/>
        <v>5.607724215111993E-3</v>
      </c>
      <c r="Y46" s="150">
        <f t="shared" si="39"/>
        <v>5.5156076656661841E-3</v>
      </c>
      <c r="Z46" s="150">
        <f t="shared" si="39"/>
        <v>5.4293351270021861E-3</v>
      </c>
      <c r="AB46" s="28">
        <f t="shared" si="32"/>
        <v>-1.6532890335372447E-2</v>
      </c>
      <c r="AD46" s="12"/>
      <c r="AE46" s="12"/>
      <c r="AF46" s="12"/>
    </row>
    <row r="47" spans="2:32">
      <c r="B47" t="s">
        <v>274</v>
      </c>
      <c r="C47" s="150">
        <f t="shared" ref="C47:Z47" si="40">+C14/C$20</f>
        <v>6.8451728407719667E-2</v>
      </c>
      <c r="D47" s="150">
        <f t="shared" si="40"/>
        <v>7.1564807762681676E-2</v>
      </c>
      <c r="E47" s="150">
        <f t="shared" si="40"/>
        <v>6.989790194098508E-2</v>
      </c>
      <c r="F47" s="150">
        <f t="shared" si="40"/>
        <v>6.6815328708292043E-2</v>
      </c>
      <c r="G47" s="150">
        <f t="shared" si="40"/>
        <v>6.1882226082789191E-2</v>
      </c>
      <c r="H47" s="150">
        <f t="shared" si="40"/>
        <v>6.2285502600487722E-2</v>
      </c>
      <c r="I47" s="150">
        <f t="shared" si="40"/>
        <v>6.1079881002462956E-2</v>
      </c>
      <c r="J47" s="150">
        <f t="shared" si="40"/>
        <v>6.2353795273049926E-2</v>
      </c>
      <c r="K47" s="150">
        <f t="shared" si="40"/>
        <v>5.9181072513970132E-2</v>
      </c>
      <c r="L47" s="150">
        <f t="shared" si="40"/>
        <v>5.7601375555237137E-2</v>
      </c>
      <c r="M47" s="150">
        <f t="shared" si="40"/>
        <v>3.8296800201562106E-2</v>
      </c>
      <c r="N47" s="150">
        <f t="shared" si="40"/>
        <v>3.6420599177599371E-2</v>
      </c>
      <c r="O47" s="150">
        <f t="shared" si="40"/>
        <v>4.9128481325321945E-2</v>
      </c>
      <c r="P47" s="150">
        <f t="shared" si="40"/>
        <v>4.9765695467496165E-2</v>
      </c>
      <c r="Q47" s="150">
        <f t="shared" si="40"/>
        <v>5.0255195277019826E-2</v>
      </c>
      <c r="R47" s="150">
        <f t="shared" si="40"/>
        <v>5.0610854157861471E-2</v>
      </c>
      <c r="S47" s="150">
        <f t="shared" si="40"/>
        <v>5.0822324642263821E-2</v>
      </c>
      <c r="T47" s="150">
        <f t="shared" si="40"/>
        <v>5.0946787805428002E-2</v>
      </c>
      <c r="U47" s="150">
        <f t="shared" si="40"/>
        <v>5.1001857522842135E-2</v>
      </c>
      <c r="V47" s="150">
        <f t="shared" si="40"/>
        <v>5.0992450475621252E-2</v>
      </c>
      <c r="W47" s="150">
        <f t="shared" si="40"/>
        <v>5.0940010534751237E-2</v>
      </c>
      <c r="X47" s="150">
        <f t="shared" si="40"/>
        <v>5.0852545795337024E-2</v>
      </c>
      <c r="Y47" s="150">
        <f t="shared" si="40"/>
        <v>5.0736387745826353E-2</v>
      </c>
      <c r="Z47" s="150">
        <f t="shared" si="40"/>
        <v>5.0602723707641559E-2</v>
      </c>
      <c r="AB47" s="28">
        <f t="shared" si="32"/>
        <v>-1.085035285248253E-2</v>
      </c>
      <c r="AD47" s="12"/>
      <c r="AE47" s="12"/>
      <c r="AF47" s="12"/>
    </row>
    <row r="48" spans="2:32">
      <c r="B48" t="s">
        <v>275</v>
      </c>
      <c r="C48" s="150">
        <f t="shared" ref="C48:Z48" si="41">+C15/C$20</f>
        <v>1.2964438099895103E-2</v>
      </c>
      <c r="D48" s="150">
        <f t="shared" si="41"/>
        <v>1.1150320492512359E-2</v>
      </c>
      <c r="E48" s="150">
        <f t="shared" si="41"/>
        <v>1.6829350387075059E-2</v>
      </c>
      <c r="F48" s="150">
        <f t="shared" si="41"/>
        <v>1.453584407003634E-2</v>
      </c>
      <c r="G48" s="150">
        <f t="shared" si="41"/>
        <v>1.3658419696878933E-2</v>
      </c>
      <c r="H48" s="150">
        <f t="shared" si="41"/>
        <v>1.2293907063502382E-2</v>
      </c>
      <c r="I48" s="150">
        <f t="shared" si="41"/>
        <v>1.3270051188516605E-2</v>
      </c>
      <c r="J48" s="150">
        <f t="shared" si="41"/>
        <v>1.2624021940792127E-2</v>
      </c>
      <c r="K48" s="150">
        <f t="shared" si="41"/>
        <v>1.2777360216986373E-2</v>
      </c>
      <c r="L48" s="150">
        <f t="shared" si="41"/>
        <v>1.4042126379137413E-2</v>
      </c>
      <c r="M48" s="150">
        <f t="shared" si="41"/>
        <v>1.5117157974300832E-2</v>
      </c>
      <c r="N48" s="150">
        <f t="shared" si="41"/>
        <v>1.5468964166829842E-2</v>
      </c>
      <c r="O48" s="150">
        <f t="shared" si="41"/>
        <v>1.4829629234558522E-2</v>
      </c>
      <c r="P48" s="150">
        <f t="shared" si="41"/>
        <v>1.4899554690954709E-2</v>
      </c>
      <c r="Q48" s="150">
        <f t="shared" si="41"/>
        <v>1.4958028131510906E-2</v>
      </c>
      <c r="R48" s="150">
        <f t="shared" si="41"/>
        <v>1.5006115854176379E-2</v>
      </c>
      <c r="S48" s="150">
        <f t="shared" si="41"/>
        <v>1.5043023465188241E-2</v>
      </c>
      <c r="T48" s="150">
        <f t="shared" si="41"/>
        <v>1.5073144227321471E-2</v>
      </c>
      <c r="U48" s="150">
        <f t="shared" si="41"/>
        <v>1.5097831780287268E-2</v>
      </c>
      <c r="V48" s="150">
        <f t="shared" si="41"/>
        <v>1.5117464340887251E-2</v>
      </c>
      <c r="W48" s="150">
        <f t="shared" si="41"/>
        <v>1.513368977061458E-2</v>
      </c>
      <c r="X48" s="150">
        <f t="shared" si="41"/>
        <v>1.5147123768973123E-2</v>
      </c>
      <c r="Y48" s="150">
        <f t="shared" si="41"/>
        <v>1.5158253233145805E-2</v>
      </c>
      <c r="Z48" s="150">
        <f t="shared" si="41"/>
        <v>1.5167938091283296E-2</v>
      </c>
      <c r="AB48" s="28">
        <f t="shared" si="32"/>
        <v>1.0776882792423101E-3</v>
      </c>
      <c r="AD48" s="12"/>
      <c r="AE48" s="12"/>
      <c r="AF48" s="12"/>
    </row>
    <row r="49" spans="2:32">
      <c r="B49" t="s">
        <v>276</v>
      </c>
      <c r="C49" s="150">
        <f t="shared" ref="C49:Z49" si="42">+C16/C$20</f>
        <v>1.5418832269920264E-2</v>
      </c>
      <c r="D49" s="150">
        <f t="shared" si="42"/>
        <v>1.0964115441958982E-2</v>
      </c>
      <c r="E49" s="150">
        <f t="shared" si="42"/>
        <v>1.6156176371592057E-2</v>
      </c>
      <c r="F49" s="150">
        <f t="shared" si="42"/>
        <v>1.6187644532540471E-2</v>
      </c>
      <c r="G49" s="150">
        <f t="shared" si="42"/>
        <v>1.4556999940094651E-2</v>
      </c>
      <c r="H49" s="150">
        <f t="shared" si="42"/>
        <v>1.5775367470865886E-2</v>
      </c>
      <c r="I49" s="150">
        <f t="shared" si="42"/>
        <v>1.3646506541382324E-2</v>
      </c>
      <c r="J49" s="150">
        <f t="shared" si="42"/>
        <v>1.9601516495926435E-2</v>
      </c>
      <c r="K49" s="150">
        <f t="shared" si="42"/>
        <v>1.7090944740367962E-2</v>
      </c>
      <c r="L49" s="150">
        <f t="shared" si="42"/>
        <v>2.0919902564837368E-2</v>
      </c>
      <c r="M49" s="150">
        <f t="shared" si="42"/>
        <v>3.2753842277651801E-3</v>
      </c>
      <c r="N49" s="150">
        <f t="shared" si="42"/>
        <v>1.2140199725866458E-2</v>
      </c>
      <c r="O49" s="150">
        <f t="shared" si="42"/>
        <v>2.4000000000000004E-2</v>
      </c>
      <c r="P49" s="150">
        <f t="shared" si="42"/>
        <v>1.4999999999999999E-2</v>
      </c>
      <c r="Q49" s="150">
        <f t="shared" si="42"/>
        <v>1.4999999999999999E-2</v>
      </c>
      <c r="R49" s="150">
        <f t="shared" si="42"/>
        <v>1.4999999999999999E-2</v>
      </c>
      <c r="S49" s="150">
        <f t="shared" si="42"/>
        <v>1.4999999999999999E-2</v>
      </c>
      <c r="T49" s="150">
        <f t="shared" si="42"/>
        <v>1.4999999999999999E-2</v>
      </c>
      <c r="U49" s="150">
        <f t="shared" si="42"/>
        <v>1.4999999999999999E-2</v>
      </c>
      <c r="V49" s="150">
        <f t="shared" si="42"/>
        <v>1.4999999999999999E-2</v>
      </c>
      <c r="W49" s="150">
        <f t="shared" si="42"/>
        <v>1.4999999999999999E-2</v>
      </c>
      <c r="X49" s="150">
        <f t="shared" si="42"/>
        <v>1.4999999999999999E-2</v>
      </c>
      <c r="Y49" s="150">
        <f t="shared" si="42"/>
        <v>1.4999999999999999E-2</v>
      </c>
      <c r="Z49" s="150">
        <f t="shared" si="42"/>
        <v>1.4999999999999999E-2</v>
      </c>
      <c r="AB49" s="28">
        <f t="shared" si="32"/>
        <v>5.5010702949171049E-3</v>
      </c>
      <c r="AD49" s="12"/>
      <c r="AE49" s="12"/>
      <c r="AF49" s="12"/>
    </row>
    <row r="50" spans="2:32">
      <c r="B50" t="s">
        <v>7</v>
      </c>
      <c r="C50" s="150">
        <f t="shared" ref="C50:Z50" si="43">+C17/C$20</f>
        <v>1.0656739725379161E-2</v>
      </c>
      <c r="D50" s="150">
        <f t="shared" si="43"/>
        <v>1.0174037067735968E-2</v>
      </c>
      <c r="E50" s="150">
        <f t="shared" si="43"/>
        <v>8.5268708627846967E-3</v>
      </c>
      <c r="F50" s="150">
        <f t="shared" si="43"/>
        <v>8.1764122893954409E-3</v>
      </c>
      <c r="G50" s="150">
        <f t="shared" si="43"/>
        <v>9.884382675372911E-3</v>
      </c>
      <c r="H50" s="150">
        <f t="shared" si="43"/>
        <v>9.2476292070593127E-3</v>
      </c>
      <c r="I50" s="150">
        <f t="shared" si="43"/>
        <v>1.054074988024014E-2</v>
      </c>
      <c r="J50" s="150">
        <f t="shared" si="43"/>
        <v>9.1151084939904824E-3</v>
      </c>
      <c r="K50" s="150">
        <f t="shared" si="43"/>
        <v>8.8232410705532498E-3</v>
      </c>
      <c r="L50" s="150">
        <f t="shared" si="43"/>
        <v>2.6364808711849836E-2</v>
      </c>
      <c r="M50" s="150">
        <f t="shared" si="43"/>
        <v>2.6455026455026454E-2</v>
      </c>
      <c r="N50" s="150">
        <f t="shared" si="43"/>
        <v>2.3692970432739376E-2</v>
      </c>
      <c r="O50" s="150">
        <f t="shared" si="43"/>
        <v>1.7730053914204531E-2</v>
      </c>
      <c r="P50" s="150">
        <f t="shared" si="43"/>
        <v>1.8258852155877303E-2</v>
      </c>
      <c r="Q50" s="150">
        <f t="shared" si="43"/>
        <v>1.7906429997458506E-2</v>
      </c>
      <c r="R50" s="150">
        <f t="shared" si="43"/>
        <v>1.8198468594225369E-2</v>
      </c>
      <c r="S50" s="150">
        <f t="shared" si="43"/>
        <v>1.872154186059664E-2</v>
      </c>
      <c r="T50" s="150">
        <f t="shared" si="43"/>
        <v>1.909562517079039E-2</v>
      </c>
      <c r="U50" s="150">
        <f t="shared" si="43"/>
        <v>1.9695125789113855E-2</v>
      </c>
      <c r="V50" s="150">
        <f t="shared" si="43"/>
        <v>1.9951785101590506E-2</v>
      </c>
      <c r="W50" s="150">
        <f t="shared" si="43"/>
        <v>2.0125041247292291E-2</v>
      </c>
      <c r="X50" s="150">
        <f t="shared" si="43"/>
        <v>2.0301578850686102E-2</v>
      </c>
      <c r="Y50" s="150">
        <f t="shared" si="43"/>
        <v>2.0481482299382237E-2</v>
      </c>
      <c r="Z50" s="150">
        <f t="shared" si="43"/>
        <v>2.0570375948810709E-2</v>
      </c>
      <c r="AB50" s="28">
        <f t="shared" si="32"/>
        <v>1.5708068986470675E-2</v>
      </c>
    </row>
    <row r="51" spans="2:32">
      <c r="B51" t="s">
        <v>277</v>
      </c>
      <c r="C51" s="150">
        <f t="shared" ref="C51:Z51" si="44">+C18/C$20</f>
        <v>0.10713998406852113</v>
      </c>
      <c r="D51" s="150">
        <f t="shared" si="44"/>
        <v>9.9115396700808586E-2</v>
      </c>
      <c r="E51" s="150">
        <f t="shared" si="44"/>
        <v>9.547851452933917E-2</v>
      </c>
      <c r="F51" s="150">
        <f t="shared" si="44"/>
        <v>9.8364717542120908E-2</v>
      </c>
      <c r="G51" s="150">
        <f t="shared" si="44"/>
        <v>0.1037560654166417</v>
      </c>
      <c r="H51" s="150">
        <f t="shared" si="44"/>
        <v>9.8188063051423885E-2</v>
      </c>
      <c r="I51" s="150">
        <f t="shared" si="44"/>
        <v>8.9690487820257611E-2</v>
      </c>
      <c r="J51" s="150">
        <f t="shared" si="44"/>
        <v>9.2966040171009109E-2</v>
      </c>
      <c r="K51" s="150">
        <f t="shared" si="44"/>
        <v>9.1108133721120227E-2</v>
      </c>
      <c r="L51" s="150">
        <f t="shared" si="44"/>
        <v>9.4855996561111905E-2</v>
      </c>
      <c r="M51" s="150">
        <f t="shared" si="44"/>
        <v>0.10153691106072059</v>
      </c>
      <c r="N51" s="150">
        <f t="shared" si="44"/>
        <v>0.10142941061288428</v>
      </c>
      <c r="O51" s="150">
        <f t="shared" si="44"/>
        <v>0.11032571668344195</v>
      </c>
      <c r="P51" s="150">
        <f t="shared" si="44"/>
        <v>0.12427187112630253</v>
      </c>
      <c r="Q51" s="150">
        <f t="shared" si="44"/>
        <v>0.12602041185235771</v>
      </c>
      <c r="R51" s="150">
        <f t="shared" si="44"/>
        <v>0.12380540486937877</v>
      </c>
      <c r="S51" s="150">
        <f t="shared" si="44"/>
        <v>0.12037382051144921</v>
      </c>
      <c r="T51" s="150">
        <f t="shared" si="44"/>
        <v>0.11526122614610257</v>
      </c>
      <c r="U51" s="150">
        <f t="shared" si="44"/>
        <v>0.11102219773413663</v>
      </c>
      <c r="V51" s="150">
        <f t="shared" si="44"/>
        <v>0.10765476898088332</v>
      </c>
      <c r="W51" s="150">
        <f t="shared" si="44"/>
        <v>0.10277725717269204</v>
      </c>
      <c r="X51" s="150">
        <f t="shared" si="44"/>
        <v>9.7980569327797848E-2</v>
      </c>
      <c r="Y51" s="150">
        <f t="shared" si="44"/>
        <v>9.3004809205036801E-2</v>
      </c>
      <c r="Z51" s="150">
        <f t="shared" si="44"/>
        <v>8.7317330674620761E-2</v>
      </c>
      <c r="AB51" s="28">
        <f t="shared" si="32"/>
        <v>-1.2283987507409222E-2</v>
      </c>
    </row>
    <row r="52" spans="2:32">
      <c r="B52" s="2" t="s">
        <v>278</v>
      </c>
      <c r="C52" s="170">
        <f t="shared" ref="C52:Z52" si="45">+C19/C$20</f>
        <v>0.93416198055097655</v>
      </c>
      <c r="D52" s="170">
        <f t="shared" si="45"/>
        <v>0.89117349267658152</v>
      </c>
      <c r="E52" s="170">
        <f t="shared" si="45"/>
        <v>0.8953999775608662</v>
      </c>
      <c r="F52" s="170">
        <f t="shared" si="45"/>
        <v>0.90518665345226301</v>
      </c>
      <c r="G52" s="170">
        <f t="shared" si="45"/>
        <v>0.89522554364104712</v>
      </c>
      <c r="H52" s="170">
        <f t="shared" si="45"/>
        <v>0.85573208856617666</v>
      </c>
      <c r="I52" s="170">
        <f t="shared" si="45"/>
        <v>0.84029540451539364</v>
      </c>
      <c r="J52" s="170">
        <f t="shared" si="45"/>
        <v>0.8424215536016777</v>
      </c>
      <c r="K52" s="170">
        <f t="shared" si="45"/>
        <v>0.8438286330512077</v>
      </c>
      <c r="L52" s="170">
        <f t="shared" si="45"/>
        <v>0.85370396905000712</v>
      </c>
      <c r="M52" s="170">
        <f t="shared" si="45"/>
        <v>0.81758629377676995</v>
      </c>
      <c r="N52" s="170">
        <f t="shared" si="45"/>
        <v>0.82886234579988249</v>
      </c>
      <c r="O52" s="170">
        <f t="shared" si="45"/>
        <v>0.87276662513427239</v>
      </c>
      <c r="P52" s="170">
        <f t="shared" si="45"/>
        <v>0.87433580426592883</v>
      </c>
      <c r="Q52" s="170">
        <f t="shared" si="45"/>
        <v>0.87167432533938316</v>
      </c>
      <c r="R52" s="170">
        <f t="shared" si="45"/>
        <v>0.86603730508219245</v>
      </c>
      <c r="S52" s="170">
        <f t="shared" si="45"/>
        <v>0.86000098483372756</v>
      </c>
      <c r="T52" s="170">
        <f t="shared" si="45"/>
        <v>0.85252018074364033</v>
      </c>
      <c r="U52" s="170">
        <f t="shared" si="45"/>
        <v>0.84645706494274664</v>
      </c>
      <c r="V52" s="170">
        <f t="shared" si="45"/>
        <v>0.84121696403655388</v>
      </c>
      <c r="W52" s="170">
        <f t="shared" si="45"/>
        <v>0.8346013292536445</v>
      </c>
      <c r="X52" s="170">
        <f t="shared" si="45"/>
        <v>0.82825599329545285</v>
      </c>
      <c r="Y52" s="170">
        <f t="shared" si="45"/>
        <v>0.82189554231437678</v>
      </c>
      <c r="Z52" s="170">
        <f t="shared" si="45"/>
        <v>0.81485283449781309</v>
      </c>
      <c r="AD52" s="12"/>
      <c r="AE52" s="12"/>
      <c r="AF52" s="12"/>
    </row>
    <row r="53" spans="2:32"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6" spans="2:32" ht="15" thickBot="1">
      <c r="B56" s="43"/>
      <c r="C56" s="43">
        <f>+C$4</f>
        <v>2010</v>
      </c>
      <c r="D56" s="43">
        <f t="shared" ref="D56:Z56" si="46">+D$4</f>
        <v>2011</v>
      </c>
      <c r="E56" s="43">
        <f t="shared" si="46"/>
        <v>2012</v>
      </c>
      <c r="F56" s="43">
        <f t="shared" si="46"/>
        <v>2013</v>
      </c>
      <c r="G56" s="43">
        <f t="shared" si="46"/>
        <v>2014</v>
      </c>
      <c r="H56" s="43">
        <f t="shared" si="46"/>
        <v>2015</v>
      </c>
      <c r="I56" s="43">
        <f t="shared" si="46"/>
        <v>2016</v>
      </c>
      <c r="J56" s="43">
        <f t="shared" si="46"/>
        <v>2017</v>
      </c>
      <c r="K56" s="43">
        <f t="shared" si="46"/>
        <v>2018</v>
      </c>
      <c r="L56" s="43">
        <f t="shared" si="46"/>
        <v>2019</v>
      </c>
      <c r="M56" s="43">
        <f t="shared" si="46"/>
        <v>2020</v>
      </c>
      <c r="N56" s="43">
        <f t="shared" si="46"/>
        <v>2021</v>
      </c>
      <c r="O56" s="43">
        <f t="shared" si="46"/>
        <v>2022</v>
      </c>
      <c r="P56" s="43">
        <f t="shared" si="46"/>
        <v>2023</v>
      </c>
      <c r="Q56" s="43">
        <f t="shared" si="46"/>
        <v>2024</v>
      </c>
      <c r="R56" s="43">
        <f t="shared" si="46"/>
        <v>2025</v>
      </c>
      <c r="S56" s="43">
        <f t="shared" si="46"/>
        <v>2026</v>
      </c>
      <c r="T56" s="43">
        <f t="shared" si="46"/>
        <v>2027</v>
      </c>
      <c r="U56" s="43">
        <f t="shared" si="46"/>
        <v>2028</v>
      </c>
      <c r="V56" s="43">
        <f t="shared" si="46"/>
        <v>2029</v>
      </c>
      <c r="W56" s="43">
        <f t="shared" si="46"/>
        <v>2030</v>
      </c>
      <c r="X56" s="43">
        <f t="shared" si="46"/>
        <v>2031</v>
      </c>
      <c r="Y56" s="43">
        <f t="shared" si="46"/>
        <v>2032</v>
      </c>
      <c r="Z56" s="43">
        <f t="shared" si="46"/>
        <v>2033</v>
      </c>
    </row>
    <row r="57" spans="2:32" ht="15" thickBot="1">
      <c r="B57" s="191" t="s">
        <v>274</v>
      </c>
      <c r="C57" s="1" cm="1">
        <f t="array" ref="C57">+INDEX($C$38:$X$52,MATCH($B$57,$B$38:$B$52,0),COLUMNS($C$56:C56))</f>
        <v>6.8451728407719667E-2</v>
      </c>
      <c r="D57" s="1" cm="1">
        <f t="array" ref="D57">+INDEX($C$38:$X$52,MATCH($B$57,$B$38:$B$52,0),COLUMNS($C$56:D56))</f>
        <v>7.1564807762681676E-2</v>
      </c>
      <c r="E57" s="1" cm="1">
        <f t="array" ref="E57">+INDEX($C$38:$X$52,MATCH($B$57,$B$38:$B$52,0),COLUMNS($C$56:E56))</f>
        <v>6.989790194098508E-2</v>
      </c>
      <c r="F57" s="1" cm="1">
        <f t="array" ref="F57">+INDEX($C$38:$X$52,MATCH($B$57,$B$38:$B$52,0),COLUMNS($C$56:F56))</f>
        <v>6.6815328708292043E-2</v>
      </c>
      <c r="G57" s="1" cm="1">
        <f t="array" ref="G57">+INDEX($C$38:$X$52,MATCH($B$57,$B$38:$B$52,0),COLUMNS($C$56:G56))</f>
        <v>6.1882226082789191E-2</v>
      </c>
      <c r="H57" s="1" cm="1">
        <f t="array" ref="H57">+INDEX($C$38:$X$52,MATCH($B$57,$B$38:$B$52,0),COLUMNS($C$56:H56))</f>
        <v>6.2285502600487722E-2</v>
      </c>
      <c r="I57" s="1" cm="1">
        <f t="array" ref="I57">+INDEX($C$38:$X$52,MATCH($B$57,$B$38:$B$52,0),COLUMNS($C$56:I56))</f>
        <v>6.1079881002462956E-2</v>
      </c>
      <c r="J57" s="1" cm="1">
        <f t="array" ref="J57">+INDEX($C$38:$X$52,MATCH($B$57,$B$38:$B$52,0),COLUMNS($C$56:J56))</f>
        <v>6.2353795273049926E-2</v>
      </c>
      <c r="K57" s="1" cm="1">
        <f t="array" ref="K57">+INDEX($C$38:$X$52,MATCH($B$57,$B$38:$B$52,0),COLUMNS($C$56:K56))</f>
        <v>5.9181072513970132E-2</v>
      </c>
      <c r="L57" s="1" cm="1">
        <f t="array" ref="L57">+INDEX($C$38:$X$52,MATCH($B$57,$B$38:$B$52,0),COLUMNS($C$56:L56))</f>
        <v>5.7601375555237137E-2</v>
      </c>
      <c r="M57" s="1" cm="1">
        <f t="array" ref="M57">+INDEX($C$38:$X$52,MATCH($B$57,$B$38:$B$52,0),COLUMNS($C$56:M56))</f>
        <v>3.8296800201562106E-2</v>
      </c>
      <c r="N57" s="1" cm="1">
        <f t="array" ref="N57">+INDEX($C$38:$X$52,MATCH($B$57,$B$38:$B$52,0),COLUMNS($C$56:N56))</f>
        <v>3.6420599177599371E-2</v>
      </c>
    </row>
    <row r="58" spans="2:32">
      <c r="M58" s="1"/>
      <c r="N58" s="1"/>
      <c r="O58" s="1" cm="1">
        <f t="array" ref="O58">+INDEX($C$38:$Z$52,MATCH($B$57,$B$38:$B$52,0),COLUMNS($C$56:O56))</f>
        <v>4.9128481325321945E-2</v>
      </c>
      <c r="P58" s="1" cm="1">
        <f t="array" ref="P58">+INDEX($C$38:$Z$52,MATCH($B$57,$B$38:$B$52,0),COLUMNS($C$56:P56))</f>
        <v>4.9765695467496165E-2</v>
      </c>
      <c r="Q58" s="1" cm="1">
        <f t="array" ref="Q58">+INDEX($C$38:$Z$52,MATCH($B$57,$B$38:$B$52,0),COLUMNS($C$56:Q56))</f>
        <v>5.0255195277019826E-2</v>
      </c>
      <c r="R58" s="1" cm="1">
        <f t="array" ref="R58">+INDEX($C$38:$Z$52,MATCH($B$57,$B$38:$B$52,0),COLUMNS($C$56:R56))</f>
        <v>5.0610854157861471E-2</v>
      </c>
      <c r="S58" s="1" cm="1">
        <f t="array" ref="S58">+INDEX($C$38:$Z$52,MATCH($B$57,$B$38:$B$52,0),COLUMNS($C$56:S56))</f>
        <v>5.0822324642263821E-2</v>
      </c>
      <c r="T58" s="1" cm="1">
        <f t="array" ref="T58">+INDEX($C$38:$Z$52,MATCH($B$57,$B$38:$B$52,0),COLUMNS($C$56:T56))</f>
        <v>5.0946787805428002E-2</v>
      </c>
      <c r="U58" s="1" cm="1">
        <f t="array" ref="U58">+INDEX($C$38:$Z$52,MATCH($B$57,$B$38:$B$52,0),COLUMNS($C$56:U56))</f>
        <v>5.1001857522842135E-2</v>
      </c>
      <c r="V58" s="1" cm="1">
        <f t="array" ref="V58">+INDEX($C$38:$Z$52,MATCH($B$57,$B$38:$B$52,0),COLUMNS($C$56:V56))</f>
        <v>5.0992450475621252E-2</v>
      </c>
      <c r="W58" s="1" cm="1">
        <f t="array" ref="W58">+INDEX($C$38:$Z$52,MATCH($B$57,$B$38:$B$52,0),COLUMNS($C$56:W56))</f>
        <v>5.0940010534751237E-2</v>
      </c>
      <c r="X58" s="1" cm="1">
        <f t="array" ref="X58">+INDEX($C$38:$Z$52,MATCH($B$57,$B$38:$B$52,0),COLUMNS($C$56:X56))</f>
        <v>5.0852545795337024E-2</v>
      </c>
      <c r="Y58" s="1" cm="1">
        <f t="array" ref="Y58">+INDEX($C$38:$Z$52,MATCH($B$57,$B$38:$B$52,0),COLUMNS($C$56:Y56))</f>
        <v>5.0736387745826353E-2</v>
      </c>
      <c r="Z58" s="1" cm="1">
        <f t="array" ref="Z58">+INDEX($C$38:$Z$52,MATCH($B$57,$B$38:$B$52,0),COLUMNS($C$56:Z56))</f>
        <v>5.0602723707641559E-2</v>
      </c>
    </row>
    <row r="59" spans="2:32">
      <c r="B59" s="3" t="s">
        <v>206</v>
      </c>
      <c r="C59" s="6">
        <f>+C20</f>
        <v>633.96500000000003</v>
      </c>
      <c r="D59" s="6">
        <f t="shared" ref="D59:Z59" si="47">+D20</f>
        <v>773.34099999999989</v>
      </c>
      <c r="E59" s="6">
        <f t="shared" si="47"/>
        <v>891.3</v>
      </c>
      <c r="F59" s="6">
        <f t="shared" si="47"/>
        <v>1210.8</v>
      </c>
      <c r="G59" s="6">
        <f t="shared" si="47"/>
        <v>1669.3</v>
      </c>
      <c r="H59" s="6">
        <f t="shared" si="47"/>
        <v>1838.3090000000002</v>
      </c>
      <c r="I59" s="6">
        <f t="shared" si="47"/>
        <v>2125.0860000000002</v>
      </c>
      <c r="J59" s="6">
        <f t="shared" si="47"/>
        <v>2479.4</v>
      </c>
      <c r="K59" s="6">
        <f t="shared" si="47"/>
        <v>3060.1</v>
      </c>
      <c r="L59" s="6">
        <f t="shared" si="47"/>
        <v>3489.5</v>
      </c>
      <c r="M59" s="6">
        <f t="shared" si="47"/>
        <v>3969</v>
      </c>
      <c r="N59" s="6">
        <f t="shared" si="47"/>
        <v>5107</v>
      </c>
      <c r="O59" s="6">
        <f t="shared" si="47"/>
        <v>6540.0749999999998</v>
      </c>
      <c r="P59" s="6">
        <f t="shared" si="47"/>
        <v>7770.6579000000002</v>
      </c>
      <c r="Q59" s="6">
        <f t="shared" si="47"/>
        <v>9221.6304645</v>
      </c>
      <c r="R59" s="6">
        <f t="shared" si="47"/>
        <v>10894.601046247501</v>
      </c>
      <c r="S59" s="6">
        <f t="shared" si="47"/>
        <v>12656.947516412063</v>
      </c>
      <c r="T59" s="6">
        <f t="shared" si="47"/>
        <v>14582.022995874502</v>
      </c>
      <c r="U59" s="6">
        <f t="shared" si="47"/>
        <v>16658.716523076258</v>
      </c>
      <c r="V59" s="6">
        <f t="shared" si="47"/>
        <v>18786.345174664901</v>
      </c>
      <c r="W59" s="6">
        <f t="shared" si="47"/>
        <v>21003.324228556859</v>
      </c>
      <c r="X59" s="6">
        <f t="shared" si="47"/>
        <v>23277.736111965427</v>
      </c>
      <c r="Y59" s="6">
        <f t="shared" si="47"/>
        <v>25571.833857699814</v>
      </c>
      <c r="Z59" s="6">
        <f t="shared" si="47"/>
        <v>27970.624515081414</v>
      </c>
    </row>
    <row r="75" spans="2:30">
      <c r="B75" s="6"/>
    </row>
    <row r="78" spans="2:30">
      <c r="B78" s="43"/>
      <c r="C78" s="43">
        <f>+Model!M3</f>
        <v>2006</v>
      </c>
      <c r="D78" s="43">
        <f>+Model!N3</f>
        <v>2007</v>
      </c>
      <c r="E78" s="43">
        <f>+Model!O3</f>
        <v>2008</v>
      </c>
      <c r="F78" s="43">
        <f>+Model!P3</f>
        <v>2009</v>
      </c>
      <c r="G78" s="43">
        <f>+Model!Q3</f>
        <v>2010</v>
      </c>
      <c r="H78" s="43">
        <f>+Model!R3</f>
        <v>2011</v>
      </c>
      <c r="I78" s="43">
        <f>+Model!S3</f>
        <v>2012</v>
      </c>
      <c r="J78" s="43">
        <f>+Model!T3</f>
        <v>2013</v>
      </c>
      <c r="K78" s="43">
        <f>+Model!U3</f>
        <v>2014</v>
      </c>
      <c r="L78" s="43">
        <f>+Model!V3</f>
        <v>2015</v>
      </c>
      <c r="M78" s="43">
        <f>+Model!W3</f>
        <v>2016</v>
      </c>
      <c r="N78" s="43">
        <f>+Model!X3</f>
        <v>2017</v>
      </c>
      <c r="O78" s="43">
        <f>+Model!Y3</f>
        <v>2018</v>
      </c>
      <c r="P78" s="43">
        <f>+Model!Z3</f>
        <v>2019</v>
      </c>
      <c r="Q78" s="43">
        <f>+Model!AA3</f>
        <v>2020</v>
      </c>
      <c r="R78" s="43">
        <f>+Model!AB3</f>
        <v>2021</v>
      </c>
      <c r="S78" s="43">
        <f>+Model!AC3</f>
        <v>2022</v>
      </c>
      <c r="T78" s="43">
        <f>+Model!AD3</f>
        <v>2023</v>
      </c>
      <c r="U78" s="43">
        <f>+Model!AE3</f>
        <v>2024</v>
      </c>
      <c r="V78" s="43">
        <f>+Model!AF3</f>
        <v>2025</v>
      </c>
      <c r="W78" s="43">
        <f>+Model!AG3</f>
        <v>2026</v>
      </c>
      <c r="X78" s="43">
        <f>+Model!AH3</f>
        <v>2027</v>
      </c>
      <c r="Y78" s="43">
        <f>+Model!AI3</f>
        <v>2028</v>
      </c>
      <c r="Z78" s="43">
        <f>+Model!AJ3</f>
        <v>2029</v>
      </c>
      <c r="AA78" s="43">
        <f>+Model!AK3</f>
        <v>2030</v>
      </c>
      <c r="AB78" s="43">
        <f>+Model!AL3</f>
        <v>2031</v>
      </c>
      <c r="AC78" s="43">
        <f>+Model!AM3</f>
        <v>2032</v>
      </c>
      <c r="AD78" s="43">
        <f>+Model!AN3</f>
        <v>2033</v>
      </c>
    </row>
    <row r="79" spans="2:30">
      <c r="AB79"/>
    </row>
    <row r="80" spans="2:30">
      <c r="B80" t="s">
        <v>241</v>
      </c>
      <c r="C80" s="86">
        <f>+Model!M80</f>
        <v>0.66628243436653289</v>
      </c>
      <c r="D80" s="86">
        <f>+Model!N80</f>
        <v>1.7557461249531994</v>
      </c>
      <c r="E80" s="86">
        <f>+Model!O80</f>
        <v>1.1058436513249787</v>
      </c>
      <c r="F80" s="86">
        <f>+Model!P80</f>
        <v>0.41852491170601464</v>
      </c>
      <c r="G80" s="86">
        <f>+Model!Q80</f>
        <v>0.50280832761185201</v>
      </c>
      <c r="H80" s="86">
        <f>+Model!R80</f>
        <v>0.39468004279941843</v>
      </c>
      <c r="I80" s="86">
        <f>+Model!S80</f>
        <v>0.89510319509763492</v>
      </c>
      <c r="J80" s="86">
        <f>+Model!T80</f>
        <v>1.7066149246639075</v>
      </c>
      <c r="K80" s="86">
        <f>+Model!U80</f>
        <v>0.31355044185662367</v>
      </c>
      <c r="L80" s="86">
        <f>+Model!V80</f>
        <v>0.99351824117893728</v>
      </c>
      <c r="M80" s="86">
        <f>+Model!W80</f>
        <v>0.60285362798093245</v>
      </c>
      <c r="N80" s="86">
        <f>+Model!X80</f>
        <v>0.88818772415822012</v>
      </c>
      <c r="O80" s="86">
        <f>+Model!Y80</f>
        <v>0.93123592073613137</v>
      </c>
      <c r="P80" s="86">
        <f>+Model!Z80</f>
        <v>1.1122847103964124</v>
      </c>
      <c r="Q80" s="86">
        <f>+Model!AA80</f>
        <v>0.85570574396855392</v>
      </c>
      <c r="R80" s="86">
        <f>+Model!AB80</f>
        <v>1.3994369129580995</v>
      </c>
      <c r="S80" s="86">
        <f>+Model!AC80</f>
        <v>1.1499999999999999</v>
      </c>
      <c r="T80" s="207">
        <f>+Model!AD80</f>
        <v>1.3</v>
      </c>
      <c r="U80" s="207">
        <f>+Model!AE80</f>
        <v>1.325</v>
      </c>
      <c r="V80" s="207">
        <f>+Model!AF80</f>
        <v>1.3474999999999999</v>
      </c>
      <c r="W80" s="207">
        <f>+Model!AG80</f>
        <v>1.3699999999999999</v>
      </c>
      <c r="X80" s="207">
        <f>+Model!AH80</f>
        <v>1.39</v>
      </c>
      <c r="Y80" s="207">
        <f>+Model!AI80</f>
        <v>1.41</v>
      </c>
      <c r="Z80" s="207">
        <f>+Model!AJ80</f>
        <v>1.4249999999999998</v>
      </c>
      <c r="AA80" s="207">
        <f>+Model!AK80</f>
        <v>1.4399999999999997</v>
      </c>
      <c r="AB80" s="207">
        <f>+Model!AL80</f>
        <v>1.4524999999999997</v>
      </c>
      <c r="AC80" s="207">
        <f>+Model!AM80</f>
        <v>1.4649999999999996</v>
      </c>
      <c r="AD80" s="207">
        <f>+Model!AN80</f>
        <v>1.4649999999999996</v>
      </c>
    </row>
    <row r="81" spans="2:30">
      <c r="B81" t="s">
        <v>244</v>
      </c>
      <c r="C81" s="4">
        <f>+Model!M84</f>
        <v>1.4288666666666667</v>
      </c>
      <c r="D81" s="4">
        <f>+Model!N84</f>
        <v>3.3091875000000002</v>
      </c>
      <c r="E81" s="4">
        <f>+Model!O84</f>
        <v>4.9020000000000001</v>
      </c>
      <c r="F81" s="4">
        <f>+Model!P84</f>
        <v>2.7279444444444443</v>
      </c>
      <c r="G81" s="4">
        <f ca="1">+Model!Q84</f>
        <v>5.1483499999999989</v>
      </c>
      <c r="H81" s="4">
        <f ca="1">+Model!R84</f>
        <v>1.7059999999999993</v>
      </c>
      <c r="I81" s="4">
        <f ca="1">+Model!S84</f>
        <v>4.3263749999999987</v>
      </c>
      <c r="J81" s="4">
        <f ca="1">+Model!T84</f>
        <v>19.891384615384606</v>
      </c>
      <c r="K81" s="4">
        <f ca="1">+Model!U84</f>
        <v>4.3388214285714275</v>
      </c>
      <c r="L81" s="4">
        <f>+Model!V84</f>
        <v>8.2923999999999989</v>
      </c>
      <c r="M81" s="4">
        <f>+Model!W84</f>
        <v>4.432925</v>
      </c>
      <c r="N81" s="4">
        <f>+Model!X84</f>
        <v>5.0640000000000001</v>
      </c>
      <c r="O81" s="4">
        <f>+Model!Y84</f>
        <v>7.3353383458646624</v>
      </c>
      <c r="P81" s="4">
        <f>+Model!Z84</f>
        <v>5.5483870967741939</v>
      </c>
      <c r="Q81" s="4">
        <f>+Model!AA84</f>
        <v>5.8214285714285712</v>
      </c>
      <c r="R81" s="4">
        <f>+Model!AB84</f>
        <v>12.071428571428571</v>
      </c>
      <c r="S81" s="4">
        <f>+Model!AC84</f>
        <v>12.825932835820895</v>
      </c>
      <c r="T81" s="206">
        <f>+Model!AD84</f>
        <v>12.145853571428574</v>
      </c>
      <c r="U81" s="206">
        <f>+Model!AE84</f>
        <v>12.355346061000006</v>
      </c>
      <c r="V81" s="206">
        <f>+Model!AF84</f>
        <v>12.426147050913753</v>
      </c>
      <c r="W81" s="206">
        <f>+Model!AG84</f>
        <v>12.291673415707486</v>
      </c>
      <c r="X81" s="206">
        <f>+Model!AH84</f>
        <v>12.706168978975878</v>
      </c>
      <c r="Y81" s="206">
        <f>+Model!AI84</f>
        <v>13.19400155562548</v>
      </c>
      <c r="Z81" s="206">
        <f>+Model!AJ84</f>
        <v>12.982085727944186</v>
      </c>
      <c r="AA81" s="206">
        <f>+Model!AK84</f>
        <v>13.112102142317127</v>
      </c>
      <c r="AB81" s="206">
        <f>+Model!AL84</f>
        <v>13.096580391758598</v>
      </c>
      <c r="AC81" s="206">
        <f>+Model!AM84</f>
        <v>12.788206276510959</v>
      </c>
      <c r="AD81" s="206">
        <f>+Model!AN84</f>
        <v>13.111957810535584</v>
      </c>
    </row>
    <row r="82" spans="2:30"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</row>
    <row r="83" spans="2:30">
      <c r="Q83" s="86"/>
    </row>
    <row r="84" spans="2:30">
      <c r="AB84"/>
    </row>
    <row r="85" spans="2:30">
      <c r="AB85"/>
    </row>
    <row r="86" spans="2:30">
      <c r="L86" s="1"/>
    </row>
  </sheetData>
  <dataValidations disablePrompts="1" count="1">
    <dataValidation type="list" allowBlank="1" showInputMessage="1" showErrorMessage="1" sqref="B57" xr:uid="{54F7952F-A835-400F-A204-80C0C9B8C859}">
      <formula1>$B$5:$B$19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5EF4-7C0B-4529-9EAF-CD738CC71B42}">
  <dimension ref="B2:X68"/>
  <sheetViews>
    <sheetView showGridLines="0" zoomScale="85" zoomScaleNormal="85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37" sqref="D37"/>
    </sheetView>
  </sheetViews>
  <sheetFormatPr defaultRowHeight="14.5"/>
  <cols>
    <col min="2" max="2" width="20" bestFit="1" customWidth="1"/>
  </cols>
  <sheetData>
    <row r="2" spans="2:24">
      <c r="B2" t="s">
        <v>206</v>
      </c>
      <c r="C2" s="5">
        <v>100</v>
      </c>
    </row>
    <row r="3" spans="2:24">
      <c r="B3" t="s">
        <v>472</v>
      </c>
      <c r="C3" s="6">
        <f>+C2*C4</f>
        <v>105</v>
      </c>
    </row>
    <row r="4" spans="2:24">
      <c r="B4" t="s">
        <v>241</v>
      </c>
      <c r="C4" s="184">
        <v>1.05</v>
      </c>
    </row>
    <row r="5" spans="2:24">
      <c r="B5" t="s">
        <v>473</v>
      </c>
      <c r="C5" s="244">
        <f>+C4/E14</f>
        <v>3.6585365853658542</v>
      </c>
    </row>
    <row r="6" spans="2:24">
      <c r="B6" t="s">
        <v>474</v>
      </c>
      <c r="C6" s="154">
        <v>0</v>
      </c>
    </row>
    <row r="7" spans="2:24">
      <c r="B7" t="s">
        <v>468</v>
      </c>
      <c r="C7" s="6">
        <f>+C3-C8</f>
        <v>105</v>
      </c>
    </row>
    <row r="8" spans="2:24">
      <c r="B8" t="s">
        <v>163</v>
      </c>
      <c r="C8" s="6">
        <f>+C6*C3</f>
        <v>0</v>
      </c>
    </row>
    <row r="10" spans="2:24">
      <c r="B10" s="43" t="s">
        <v>8</v>
      </c>
      <c r="C10" s="43"/>
      <c r="D10" s="43">
        <v>0</v>
      </c>
      <c r="E10" s="43">
        <f>+D10+1</f>
        <v>1</v>
      </c>
      <c r="F10" s="43">
        <f t="shared" ref="F10:X10" si="0">+E10+1</f>
        <v>2</v>
      </c>
      <c r="G10" s="43">
        <f t="shared" si="0"/>
        <v>3</v>
      </c>
      <c r="H10" s="43">
        <f t="shared" si="0"/>
        <v>4</v>
      </c>
      <c r="I10" s="43">
        <f t="shared" si="0"/>
        <v>5</v>
      </c>
      <c r="J10" s="43">
        <f t="shared" si="0"/>
        <v>6</v>
      </c>
      <c r="K10" s="43">
        <f t="shared" si="0"/>
        <v>7</v>
      </c>
      <c r="L10" s="43">
        <f t="shared" si="0"/>
        <v>8</v>
      </c>
      <c r="M10" s="43">
        <f t="shared" si="0"/>
        <v>9</v>
      </c>
      <c r="N10" s="43">
        <f t="shared" si="0"/>
        <v>10</v>
      </c>
      <c r="O10" s="43">
        <f t="shared" si="0"/>
        <v>11</v>
      </c>
      <c r="P10" s="43">
        <f t="shared" si="0"/>
        <v>12</v>
      </c>
      <c r="Q10" s="43">
        <f t="shared" si="0"/>
        <v>13</v>
      </c>
      <c r="R10" s="43">
        <f t="shared" si="0"/>
        <v>14</v>
      </c>
      <c r="S10" s="43">
        <f t="shared" si="0"/>
        <v>15</v>
      </c>
      <c r="T10" s="43">
        <f t="shared" si="0"/>
        <v>16</v>
      </c>
      <c r="U10" s="43">
        <f t="shared" si="0"/>
        <v>17</v>
      </c>
      <c r="V10" s="43">
        <f t="shared" si="0"/>
        <v>18</v>
      </c>
      <c r="W10" s="43">
        <f t="shared" si="0"/>
        <v>19</v>
      </c>
      <c r="X10" s="43">
        <f t="shared" si="0"/>
        <v>20</v>
      </c>
    </row>
    <row r="11" spans="2:24">
      <c r="B11" s="245" t="s">
        <v>469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</row>
    <row r="12" spans="2:24">
      <c r="B12" t="s">
        <v>206</v>
      </c>
      <c r="D12" s="239">
        <f>+C2</f>
        <v>100</v>
      </c>
      <c r="E12" s="6">
        <f>+D12*(1+E13)</f>
        <v>102.3</v>
      </c>
      <c r="F12" s="6">
        <f t="shared" ref="F12:X12" si="1">+E12*(1+F13)</f>
        <v>104.65289999999999</v>
      </c>
      <c r="G12" s="6">
        <f t="shared" si="1"/>
        <v>107.05991669999997</v>
      </c>
      <c r="H12" s="6">
        <f t="shared" si="1"/>
        <v>109.52229478409997</v>
      </c>
      <c r="I12" s="6">
        <f t="shared" si="1"/>
        <v>112.04130756413426</v>
      </c>
      <c r="J12" s="6">
        <f t="shared" si="1"/>
        <v>114.61825763810934</v>
      </c>
      <c r="K12" s="6">
        <f t="shared" si="1"/>
        <v>117.25447756378584</v>
      </c>
      <c r="L12" s="6">
        <f t="shared" si="1"/>
        <v>119.9513305477529</v>
      </c>
      <c r="M12" s="6">
        <f t="shared" si="1"/>
        <v>122.71021115035121</v>
      </c>
      <c r="N12" s="6">
        <f t="shared" si="1"/>
        <v>125.53254600680928</v>
      </c>
      <c r="O12" s="6">
        <f t="shared" si="1"/>
        <v>128.41979456496588</v>
      </c>
      <c r="P12" s="6">
        <f t="shared" si="1"/>
        <v>131.37344983996007</v>
      </c>
      <c r="Q12" s="6">
        <f t="shared" si="1"/>
        <v>134.39503918627915</v>
      </c>
      <c r="R12" s="6">
        <f t="shared" si="1"/>
        <v>137.48612508756355</v>
      </c>
      <c r="S12" s="6">
        <f t="shared" si="1"/>
        <v>140.6483059645775</v>
      </c>
      <c r="T12" s="6">
        <f t="shared" si="1"/>
        <v>143.88321700176277</v>
      </c>
      <c r="U12" s="6">
        <f t="shared" si="1"/>
        <v>147.19253099280331</v>
      </c>
      <c r="V12" s="6">
        <f t="shared" si="1"/>
        <v>150.57795920563777</v>
      </c>
      <c r="W12" s="6">
        <f t="shared" si="1"/>
        <v>154.04125226736741</v>
      </c>
      <c r="X12" s="6">
        <f t="shared" si="1"/>
        <v>157.58420106951684</v>
      </c>
    </row>
    <row r="13" spans="2:24">
      <c r="B13" t="s">
        <v>237</v>
      </c>
      <c r="E13" s="42">
        <v>2.3E-2</v>
      </c>
      <c r="F13" s="42">
        <v>2.3E-2</v>
      </c>
      <c r="G13" s="42">
        <v>2.3E-2</v>
      </c>
      <c r="H13" s="42">
        <v>2.3E-2</v>
      </c>
      <c r="I13" s="42">
        <v>2.3E-2</v>
      </c>
      <c r="J13" s="42">
        <v>2.3E-2</v>
      </c>
      <c r="K13" s="42">
        <v>2.3E-2</v>
      </c>
      <c r="L13" s="42">
        <v>2.3E-2</v>
      </c>
      <c r="M13" s="42">
        <v>2.3E-2</v>
      </c>
      <c r="N13" s="42">
        <v>2.3E-2</v>
      </c>
      <c r="O13" s="42">
        <v>2.3E-2</v>
      </c>
      <c r="P13" s="42">
        <v>2.3E-2</v>
      </c>
      <c r="Q13" s="42">
        <v>2.3E-2</v>
      </c>
      <c r="R13" s="42">
        <v>2.3E-2</v>
      </c>
      <c r="S13" s="42">
        <v>2.3E-2</v>
      </c>
      <c r="T13" s="42">
        <v>2.3E-2</v>
      </c>
      <c r="U13" s="42">
        <v>2.3E-2</v>
      </c>
      <c r="V13" s="42">
        <v>2.3E-2</v>
      </c>
      <c r="W13" s="42">
        <v>2.3E-2</v>
      </c>
      <c r="X13" s="42">
        <v>2.3E-2</v>
      </c>
    </row>
    <row r="14" spans="2:24">
      <c r="B14" t="s">
        <v>94</v>
      </c>
      <c r="E14" s="42">
        <v>0.28699999999999998</v>
      </c>
      <c r="F14" s="42">
        <v>0.28699999999999998</v>
      </c>
      <c r="G14" s="42">
        <v>0.28699999999999998</v>
      </c>
      <c r="H14" s="42">
        <v>0.28699999999999998</v>
      </c>
      <c r="I14" s="42">
        <v>0.28699999999999998</v>
      </c>
      <c r="J14" s="42">
        <v>0.28699999999999998</v>
      </c>
      <c r="K14" s="42">
        <v>0.28699999999999998</v>
      </c>
      <c r="L14" s="42">
        <v>0.28699999999999998</v>
      </c>
      <c r="M14" s="42">
        <v>0.28699999999999998</v>
      </c>
      <c r="N14" s="42">
        <v>0.28699999999999998</v>
      </c>
      <c r="O14" s="42">
        <v>0.28699999999999998</v>
      </c>
      <c r="P14" s="42">
        <v>0.28699999999999998</v>
      </c>
      <c r="Q14" s="42">
        <v>0.28699999999999998</v>
      </c>
      <c r="R14" s="42">
        <v>0.28699999999999998</v>
      </c>
      <c r="S14" s="42">
        <v>0.28699999999999998</v>
      </c>
      <c r="T14" s="42">
        <v>0.28699999999999998</v>
      </c>
      <c r="U14" s="42">
        <v>0.28699999999999998</v>
      </c>
      <c r="V14" s="42">
        <v>0.28699999999999998</v>
      </c>
      <c r="W14" s="42">
        <v>0.28699999999999998</v>
      </c>
      <c r="X14" s="42">
        <v>0.28699999999999998</v>
      </c>
    </row>
    <row r="15" spans="2:24">
      <c r="B15" s="2" t="s">
        <v>93</v>
      </c>
      <c r="C15" s="2"/>
      <c r="D15" s="2"/>
      <c r="E15" s="7">
        <f>+E14*E12</f>
        <v>29.360099999999996</v>
      </c>
      <c r="F15" s="7">
        <f t="shared" ref="F15:X15" si="2">+F14*F12</f>
        <v>30.035382299999995</v>
      </c>
      <c r="G15" s="7">
        <f t="shared" si="2"/>
        <v>30.72619609289999</v>
      </c>
      <c r="H15" s="7">
        <f t="shared" si="2"/>
        <v>31.432898603036687</v>
      </c>
      <c r="I15" s="7">
        <f t="shared" si="2"/>
        <v>32.155855270906528</v>
      </c>
      <c r="J15" s="7">
        <f t="shared" si="2"/>
        <v>32.895439942137379</v>
      </c>
      <c r="K15" s="7">
        <f t="shared" si="2"/>
        <v>33.652035060806533</v>
      </c>
      <c r="L15" s="7">
        <f t="shared" si="2"/>
        <v>34.426031867205083</v>
      </c>
      <c r="M15" s="7">
        <f t="shared" si="2"/>
        <v>35.217830600150798</v>
      </c>
      <c r="N15" s="7">
        <f t="shared" si="2"/>
        <v>36.027840703954261</v>
      </c>
      <c r="O15" s="7">
        <f t="shared" si="2"/>
        <v>36.856481040145205</v>
      </c>
      <c r="P15" s="7">
        <f t="shared" si="2"/>
        <v>37.704180104068541</v>
      </c>
      <c r="Q15" s="7">
        <f t="shared" si="2"/>
        <v>38.571376246462115</v>
      </c>
      <c r="R15" s="7">
        <f t="shared" si="2"/>
        <v>39.458517900130737</v>
      </c>
      <c r="S15" s="7">
        <f t="shared" si="2"/>
        <v>40.36606381183374</v>
      </c>
      <c r="T15" s="7">
        <f t="shared" si="2"/>
        <v>41.294483279505911</v>
      </c>
      <c r="U15" s="7">
        <f t="shared" si="2"/>
        <v>42.244256394934546</v>
      </c>
      <c r="V15" s="7">
        <f t="shared" si="2"/>
        <v>43.215874292018036</v>
      </c>
      <c r="W15" s="7">
        <f t="shared" si="2"/>
        <v>44.209839400734445</v>
      </c>
      <c r="X15" s="7">
        <f t="shared" si="2"/>
        <v>45.22666570695133</v>
      </c>
    </row>
    <row r="16" spans="2:24">
      <c r="B16" s="71" t="s">
        <v>423</v>
      </c>
      <c r="E16" s="6">
        <f>+E42+E50</f>
        <v>-1.75</v>
      </c>
      <c r="F16" s="6">
        <f t="shared" ref="F16:X16" si="3">+F42+F50</f>
        <v>-1.7902499999999999</v>
      </c>
      <c r="G16" s="6">
        <f t="shared" si="3"/>
        <v>-1.8314257499999997</v>
      </c>
      <c r="H16" s="6">
        <f t="shared" si="3"/>
        <v>-1.8735485422499998</v>
      </c>
      <c r="I16" s="6">
        <f t="shared" si="3"/>
        <v>-1.9166401587217494</v>
      </c>
      <c r="J16" s="6">
        <f t="shared" si="3"/>
        <v>-1.9607228823723495</v>
      </c>
      <c r="K16" s="6">
        <f t="shared" si="3"/>
        <v>-2.0058195086669137</v>
      </c>
      <c r="L16" s="6">
        <f t="shared" si="3"/>
        <v>-2.0519533573662523</v>
      </c>
      <c r="M16" s="6">
        <f t="shared" si="3"/>
        <v>-2.0991482845856759</v>
      </c>
      <c r="N16" s="6">
        <f t="shared" si="3"/>
        <v>-2.1474286951311465</v>
      </c>
      <c r="O16" s="6">
        <f t="shared" si="3"/>
        <v>-2.1968195551191627</v>
      </c>
      <c r="P16" s="6">
        <f t="shared" si="3"/>
        <v>-2.247346404886903</v>
      </c>
      <c r="Q16" s="6">
        <f t="shared" si="3"/>
        <v>-2.2990353721993011</v>
      </c>
      <c r="R16" s="6">
        <f t="shared" si="3"/>
        <v>-2.3519131857598854</v>
      </c>
      <c r="S16" s="6">
        <f t="shared" si="3"/>
        <v>-2.406007189032362</v>
      </c>
      <c r="T16" s="6">
        <f t="shared" si="3"/>
        <v>-2.4613453543801063</v>
      </c>
      <c r="U16" s="6">
        <f t="shared" si="3"/>
        <v>-2.5179562975308483</v>
      </c>
      <c r="V16" s="6">
        <f t="shared" si="3"/>
        <v>-2.5758692923740583</v>
      </c>
      <c r="W16" s="6">
        <f t="shared" si="3"/>
        <v>-2.6351142860986609</v>
      </c>
      <c r="X16" s="6">
        <f t="shared" si="3"/>
        <v>-2.6957219146789297</v>
      </c>
    </row>
    <row r="17" spans="2:24">
      <c r="B17" s="71" t="s">
        <v>311</v>
      </c>
      <c r="E17" s="6">
        <f>+E35</f>
        <v>-10.5</v>
      </c>
      <c r="F17" s="6">
        <f t="shared" ref="F17:X17" si="4">+F35</f>
        <v>-10.5</v>
      </c>
      <c r="G17" s="6">
        <f t="shared" si="4"/>
        <v>-10.5</v>
      </c>
      <c r="H17" s="6">
        <f t="shared" si="4"/>
        <v>-10.5</v>
      </c>
      <c r="I17" s="6">
        <f t="shared" si="4"/>
        <v>-10.5</v>
      </c>
      <c r="J17" s="6">
        <f t="shared" si="4"/>
        <v>-10.5</v>
      </c>
      <c r="K17" s="6">
        <f t="shared" si="4"/>
        <v>-10.5</v>
      </c>
      <c r="L17" s="6">
        <f t="shared" si="4"/>
        <v>-10.5</v>
      </c>
      <c r="M17" s="6">
        <f t="shared" si="4"/>
        <v>-10.5</v>
      </c>
      <c r="N17" s="6">
        <f t="shared" si="4"/>
        <v>-10.5</v>
      </c>
      <c r="O17" s="6">
        <f t="shared" si="4"/>
        <v>0</v>
      </c>
      <c r="P17" s="6">
        <f t="shared" si="4"/>
        <v>0</v>
      </c>
      <c r="Q17" s="6">
        <f t="shared" si="4"/>
        <v>0</v>
      </c>
      <c r="R17" s="6">
        <f t="shared" si="4"/>
        <v>0</v>
      </c>
      <c r="S17" s="6">
        <f t="shared" si="4"/>
        <v>0</v>
      </c>
      <c r="T17" s="6">
        <f t="shared" si="4"/>
        <v>0</v>
      </c>
      <c r="U17" s="6">
        <f t="shared" si="4"/>
        <v>0</v>
      </c>
      <c r="V17" s="6">
        <f t="shared" si="4"/>
        <v>0</v>
      </c>
      <c r="W17" s="6">
        <f t="shared" si="4"/>
        <v>0</v>
      </c>
      <c r="X17" s="6">
        <f t="shared" si="4"/>
        <v>0</v>
      </c>
    </row>
    <row r="18" spans="2:24">
      <c r="B18" s="2" t="s">
        <v>4</v>
      </c>
      <c r="C18" s="2"/>
      <c r="D18" s="2"/>
      <c r="E18" s="7">
        <f>SUM(E15:E17)</f>
        <v>17.110099999999996</v>
      </c>
      <c r="F18" s="7">
        <f t="shared" ref="F18:X18" si="5">SUM(F15:F17)</f>
        <v>17.745132299999995</v>
      </c>
      <c r="G18" s="7">
        <f t="shared" si="5"/>
        <v>18.394770342899989</v>
      </c>
      <c r="H18" s="7">
        <f t="shared" si="5"/>
        <v>19.059350060786688</v>
      </c>
      <c r="I18" s="7">
        <f t="shared" si="5"/>
        <v>19.73921511218478</v>
      </c>
      <c r="J18" s="7">
        <f t="shared" si="5"/>
        <v>20.434717059765031</v>
      </c>
      <c r="K18" s="7">
        <f t="shared" si="5"/>
        <v>21.146215552139619</v>
      </c>
      <c r="L18" s="7">
        <f t="shared" si="5"/>
        <v>21.874078509838832</v>
      </c>
      <c r="M18" s="7">
        <f t="shared" si="5"/>
        <v>22.618682315565124</v>
      </c>
      <c r="N18" s="7">
        <f t="shared" si="5"/>
        <v>23.380412008823114</v>
      </c>
      <c r="O18" s="7">
        <f t="shared" si="5"/>
        <v>34.659661485026042</v>
      </c>
      <c r="P18" s="7">
        <f t="shared" si="5"/>
        <v>35.456833699181637</v>
      </c>
      <c r="Q18" s="7">
        <f t="shared" si="5"/>
        <v>36.272340874262817</v>
      </c>
      <c r="R18" s="7">
        <f t="shared" si="5"/>
        <v>37.106604714370853</v>
      </c>
      <c r="S18" s="7">
        <f t="shared" si="5"/>
        <v>37.960056622801375</v>
      </c>
      <c r="T18" s="7">
        <f t="shared" si="5"/>
        <v>38.833137925125804</v>
      </c>
      <c r="U18" s="7">
        <f t="shared" si="5"/>
        <v>39.726300097403694</v>
      </c>
      <c r="V18" s="7">
        <f t="shared" si="5"/>
        <v>40.640004999643978</v>
      </c>
      <c r="W18" s="7">
        <f t="shared" si="5"/>
        <v>41.574725114635783</v>
      </c>
      <c r="X18" s="7">
        <f t="shared" si="5"/>
        <v>42.530943792272403</v>
      </c>
    </row>
    <row r="19" spans="2:24">
      <c r="B19" t="s">
        <v>475</v>
      </c>
      <c r="E19" s="81">
        <f>E63+E55</f>
        <v>-0.22303575</v>
      </c>
      <c r="F19" s="81">
        <f t="shared" ref="F19:X19" si="6">F63+F55</f>
        <v>-0.22816557225</v>
      </c>
      <c r="G19" s="81">
        <f t="shared" si="6"/>
        <v>-0.23341338041174997</v>
      </c>
      <c r="H19" s="81">
        <f t="shared" si="6"/>
        <v>-0.2387818881612202</v>
      </c>
      <c r="I19" s="81">
        <f t="shared" si="6"/>
        <v>-0.24427387158892824</v>
      </c>
      <c r="J19" s="81">
        <f t="shared" si="6"/>
        <v>-0.24989217063547361</v>
      </c>
      <c r="K19" s="81">
        <f t="shared" si="6"/>
        <v>-0.25563969056008945</v>
      </c>
      <c r="L19" s="81">
        <f t="shared" si="6"/>
        <v>-0.26151940344297148</v>
      </c>
      <c r="M19" s="81">
        <f t="shared" si="6"/>
        <v>-0.26753434972215984</v>
      </c>
      <c r="N19" s="81">
        <f t="shared" si="6"/>
        <v>-0.27368763976576949</v>
      </c>
      <c r="O19" s="81">
        <f t="shared" si="6"/>
        <v>-0.27998245548038214</v>
      </c>
      <c r="P19" s="81">
        <f t="shared" si="6"/>
        <v>-0.28642205195643083</v>
      </c>
      <c r="Q19" s="81">
        <f t="shared" si="6"/>
        <v>-0.29300975915142879</v>
      </c>
      <c r="R19" s="81">
        <f t="shared" si="6"/>
        <v>-0.2997489836119116</v>
      </c>
      <c r="S19" s="81">
        <f t="shared" si="6"/>
        <v>-0.30664321023498553</v>
      </c>
      <c r="T19" s="81">
        <f t="shared" si="6"/>
        <v>-0.31369600407039017</v>
      </c>
      <c r="U19" s="81">
        <f t="shared" si="6"/>
        <v>-0.32091101216400919</v>
      </c>
      <c r="V19" s="81">
        <f t="shared" si="6"/>
        <v>-0.32829196544378131</v>
      </c>
      <c r="W19" s="81">
        <f t="shared" si="6"/>
        <v>-0.33584268064898831</v>
      </c>
      <c r="X19" s="81">
        <f t="shared" si="6"/>
        <v>-0.34356706230391493</v>
      </c>
    </row>
    <row r="20" spans="2:24">
      <c r="B20" s="2" t="s">
        <v>101</v>
      </c>
      <c r="C20" s="2"/>
      <c r="D20" s="2"/>
      <c r="E20" s="7">
        <f>SUM(E18:E19)</f>
        <v>16.887064249999995</v>
      </c>
      <c r="F20" s="7">
        <f t="shared" ref="F20:X20" si="7">SUM(F18:F19)</f>
        <v>17.516966727749995</v>
      </c>
      <c r="G20" s="7">
        <f t="shared" si="7"/>
        <v>18.161356962488238</v>
      </c>
      <c r="H20" s="7">
        <f t="shared" si="7"/>
        <v>18.820568172625467</v>
      </c>
      <c r="I20" s="7">
        <f t="shared" si="7"/>
        <v>19.494941240595853</v>
      </c>
      <c r="J20" s="7">
        <f t="shared" si="7"/>
        <v>20.184824889129558</v>
      </c>
      <c r="K20" s="7">
        <f t="shared" si="7"/>
        <v>20.890575861579531</v>
      </c>
      <c r="L20" s="7">
        <f t="shared" si="7"/>
        <v>21.61255910639586</v>
      </c>
      <c r="M20" s="7">
        <f t="shared" si="7"/>
        <v>22.351147965842966</v>
      </c>
      <c r="N20" s="7">
        <f t="shared" si="7"/>
        <v>23.106724369057346</v>
      </c>
      <c r="O20" s="7">
        <f t="shared" si="7"/>
        <v>34.379679029545663</v>
      </c>
      <c r="P20" s="7">
        <f t="shared" si="7"/>
        <v>35.170411647225208</v>
      </c>
      <c r="Q20" s="7">
        <f t="shared" si="7"/>
        <v>35.979331115111385</v>
      </c>
      <c r="R20" s="7">
        <f t="shared" si="7"/>
        <v>36.80685573075894</v>
      </c>
      <c r="S20" s="7">
        <f t="shared" si="7"/>
        <v>37.653413412566387</v>
      </c>
      <c r="T20" s="7">
        <f t="shared" si="7"/>
        <v>38.519441921055417</v>
      </c>
      <c r="U20" s="7">
        <f t="shared" si="7"/>
        <v>39.405389085239683</v>
      </c>
      <c r="V20" s="7">
        <f t="shared" si="7"/>
        <v>40.311713034200196</v>
      </c>
      <c r="W20" s="7">
        <f t="shared" si="7"/>
        <v>41.238882433986795</v>
      </c>
      <c r="X20" s="7">
        <f t="shared" si="7"/>
        <v>42.187376729968491</v>
      </c>
    </row>
    <row r="21" spans="2:24">
      <c r="B21" t="s">
        <v>5</v>
      </c>
      <c r="E21" s="65">
        <v>0.25</v>
      </c>
      <c r="F21" s="65">
        <v>0.25</v>
      </c>
      <c r="G21" s="65">
        <v>0.25</v>
      </c>
      <c r="H21" s="65">
        <v>0.25</v>
      </c>
      <c r="I21" s="65">
        <v>0.25</v>
      </c>
      <c r="J21" s="65">
        <v>0.25</v>
      </c>
      <c r="K21" s="65">
        <v>0.25</v>
      </c>
      <c r="L21" s="65">
        <v>0.25</v>
      </c>
      <c r="M21" s="65">
        <v>0.25</v>
      </c>
      <c r="N21" s="65">
        <v>0.25</v>
      </c>
      <c r="O21" s="65">
        <v>0.25</v>
      </c>
      <c r="P21" s="65">
        <v>0.25</v>
      </c>
      <c r="Q21" s="65">
        <v>0.25</v>
      </c>
      <c r="R21" s="65">
        <v>0.25</v>
      </c>
      <c r="S21" s="65">
        <v>0.25</v>
      </c>
      <c r="T21" s="65">
        <v>0.25</v>
      </c>
      <c r="U21" s="65">
        <v>0.25</v>
      </c>
      <c r="V21" s="65">
        <v>0.25</v>
      </c>
      <c r="W21" s="65">
        <v>0.25</v>
      </c>
      <c r="X21" s="65">
        <v>0.25</v>
      </c>
    </row>
    <row r="22" spans="2:24">
      <c r="B22" t="s">
        <v>467</v>
      </c>
      <c r="E22" s="6">
        <f>+E20*-E21</f>
        <v>-4.2217660624999986</v>
      </c>
      <c r="F22" s="6">
        <f t="shared" ref="F22:X22" si="8">+F20*-F21</f>
        <v>-4.3792416819374989</v>
      </c>
      <c r="G22" s="6">
        <f t="shared" si="8"/>
        <v>-4.5403392406220595</v>
      </c>
      <c r="H22" s="6">
        <f t="shared" si="8"/>
        <v>-4.7051420431563669</v>
      </c>
      <c r="I22" s="6">
        <f t="shared" si="8"/>
        <v>-4.8737353101489633</v>
      </c>
      <c r="J22" s="6">
        <f t="shared" si="8"/>
        <v>-5.0462062222823896</v>
      </c>
      <c r="K22" s="6">
        <f t="shared" si="8"/>
        <v>-5.2226439653948828</v>
      </c>
      <c r="L22" s="6">
        <f t="shared" si="8"/>
        <v>-5.403139776598965</v>
      </c>
      <c r="M22" s="6">
        <f t="shared" si="8"/>
        <v>-5.5877869914607414</v>
      </c>
      <c r="N22" s="6">
        <f t="shared" si="8"/>
        <v>-5.7766810922643366</v>
      </c>
      <c r="O22" s="6">
        <f t="shared" si="8"/>
        <v>-8.5949197573864158</v>
      </c>
      <c r="P22" s="6">
        <f t="shared" si="8"/>
        <v>-8.792602911806302</v>
      </c>
      <c r="Q22" s="6">
        <f t="shared" si="8"/>
        <v>-8.9948327787778464</v>
      </c>
      <c r="R22" s="6">
        <f t="shared" si="8"/>
        <v>-9.201713932689735</v>
      </c>
      <c r="S22" s="6">
        <f t="shared" si="8"/>
        <v>-9.4133533531415967</v>
      </c>
      <c r="T22" s="6">
        <f t="shared" si="8"/>
        <v>-9.6298604802638543</v>
      </c>
      <c r="U22" s="6">
        <f t="shared" si="8"/>
        <v>-9.8513472713099208</v>
      </c>
      <c r="V22" s="6">
        <f t="shared" si="8"/>
        <v>-10.077928258550049</v>
      </c>
      <c r="W22" s="6">
        <f t="shared" si="8"/>
        <v>-10.309720608496699</v>
      </c>
      <c r="X22" s="6">
        <f t="shared" si="8"/>
        <v>-10.546844182492123</v>
      </c>
    </row>
    <row r="23" spans="2:24">
      <c r="B23" s="2" t="s">
        <v>106</v>
      </c>
      <c r="C23" s="2"/>
      <c r="D23" s="2"/>
      <c r="E23" s="7">
        <f>+E20+E22</f>
        <v>12.665298187499996</v>
      </c>
      <c r="F23" s="7">
        <f t="shared" ref="F23:X23" si="9">+F20+F22</f>
        <v>13.137725045812497</v>
      </c>
      <c r="G23" s="7">
        <f t="shared" si="9"/>
        <v>13.621017721866178</v>
      </c>
      <c r="H23" s="7">
        <f t="shared" si="9"/>
        <v>14.1154261294691</v>
      </c>
      <c r="I23" s="7">
        <f t="shared" si="9"/>
        <v>14.621205930446891</v>
      </c>
      <c r="J23" s="7">
        <f t="shared" si="9"/>
        <v>15.138618666847169</v>
      </c>
      <c r="K23" s="7">
        <f t="shared" si="9"/>
        <v>15.667931896184648</v>
      </c>
      <c r="L23" s="7">
        <f t="shared" si="9"/>
        <v>16.209419329796894</v>
      </c>
      <c r="M23" s="7">
        <f t="shared" si="9"/>
        <v>16.763360974382223</v>
      </c>
      <c r="N23" s="7">
        <f t="shared" si="9"/>
        <v>17.33004327679301</v>
      </c>
      <c r="O23" s="7">
        <f t="shared" si="9"/>
        <v>25.784759272159249</v>
      </c>
      <c r="P23" s="7">
        <f t="shared" si="9"/>
        <v>26.377808735418906</v>
      </c>
      <c r="Q23" s="7">
        <f t="shared" si="9"/>
        <v>26.984498336333537</v>
      </c>
      <c r="R23" s="7">
        <f t="shared" si="9"/>
        <v>27.605141798069205</v>
      </c>
      <c r="S23" s="7">
        <f t="shared" si="9"/>
        <v>28.240060059424792</v>
      </c>
      <c r="T23" s="7">
        <f t="shared" si="9"/>
        <v>28.889581440791563</v>
      </c>
      <c r="U23" s="7">
        <f t="shared" si="9"/>
        <v>29.554041813929764</v>
      </c>
      <c r="V23" s="7">
        <f t="shared" si="9"/>
        <v>30.233784775650147</v>
      </c>
      <c r="W23" s="7">
        <f t="shared" si="9"/>
        <v>30.929161825490098</v>
      </c>
      <c r="X23" s="7">
        <f t="shared" si="9"/>
        <v>31.640532547476369</v>
      </c>
    </row>
    <row r="24" spans="2:24">
      <c r="B24" t="s">
        <v>476</v>
      </c>
      <c r="E24" s="6">
        <f>-E17-E16</f>
        <v>12.25</v>
      </c>
      <c r="F24" s="6">
        <f t="shared" ref="F24:X24" si="10">-F17-F16</f>
        <v>12.29025</v>
      </c>
      <c r="G24" s="6">
        <f t="shared" si="10"/>
        <v>12.331425749999999</v>
      </c>
      <c r="H24" s="6">
        <f t="shared" si="10"/>
        <v>12.373548542249999</v>
      </c>
      <c r="I24" s="6">
        <f t="shared" si="10"/>
        <v>12.41664015872175</v>
      </c>
      <c r="J24" s="6">
        <f t="shared" si="10"/>
        <v>12.46072288237235</v>
      </c>
      <c r="K24" s="6">
        <f t="shared" si="10"/>
        <v>12.505819508666914</v>
      </c>
      <c r="L24" s="6">
        <f t="shared" si="10"/>
        <v>12.551953357366251</v>
      </c>
      <c r="M24" s="6">
        <f t="shared" si="10"/>
        <v>12.599148284585675</v>
      </c>
      <c r="N24" s="6">
        <f t="shared" si="10"/>
        <v>12.647428695131147</v>
      </c>
      <c r="O24" s="6">
        <f t="shared" si="10"/>
        <v>2.1968195551191627</v>
      </c>
      <c r="P24" s="6">
        <f t="shared" si="10"/>
        <v>2.247346404886903</v>
      </c>
      <c r="Q24" s="6">
        <f t="shared" si="10"/>
        <v>2.2990353721993011</v>
      </c>
      <c r="R24" s="6">
        <f t="shared" si="10"/>
        <v>2.3519131857598854</v>
      </c>
      <c r="S24" s="6">
        <f t="shared" si="10"/>
        <v>2.406007189032362</v>
      </c>
      <c r="T24" s="6">
        <f t="shared" si="10"/>
        <v>2.4613453543801063</v>
      </c>
      <c r="U24" s="6">
        <f t="shared" si="10"/>
        <v>2.5179562975308483</v>
      </c>
      <c r="V24" s="6">
        <f t="shared" si="10"/>
        <v>2.5758692923740583</v>
      </c>
      <c r="W24" s="6">
        <f t="shared" si="10"/>
        <v>2.6351142860986609</v>
      </c>
      <c r="X24" s="6">
        <f t="shared" si="10"/>
        <v>2.6957219146789297</v>
      </c>
    </row>
    <row r="25" spans="2:24">
      <c r="B25" t="s">
        <v>477</v>
      </c>
      <c r="E25" s="6">
        <f>-E41+E50</f>
        <v>-1.7983</v>
      </c>
      <c r="F25" s="6">
        <f t="shared" ref="F25:X25" si="11">-F41+F50</f>
        <v>-1.8396608999999997</v>
      </c>
      <c r="G25" s="6">
        <f t="shared" si="11"/>
        <v>-1.8819731006999998</v>
      </c>
      <c r="H25" s="6">
        <f t="shared" si="11"/>
        <v>-1.9252584820160996</v>
      </c>
      <c r="I25" s="6">
        <f t="shared" si="11"/>
        <v>-1.9695394271024693</v>
      </c>
      <c r="J25" s="6">
        <f t="shared" si="11"/>
        <v>-2.0148388339258263</v>
      </c>
      <c r="K25" s="6">
        <f t="shared" si="11"/>
        <v>-2.0611801271061201</v>
      </c>
      <c r="L25" s="6">
        <f t="shared" si="11"/>
        <v>-2.1085872700295605</v>
      </c>
      <c r="M25" s="6">
        <f t="shared" si="11"/>
        <v>-2.1570847772402404</v>
      </c>
      <c r="N25" s="6">
        <f t="shared" si="11"/>
        <v>-2.206697727116766</v>
      </c>
      <c r="O25" s="6">
        <f t="shared" si="11"/>
        <v>-2.257451774840451</v>
      </c>
      <c r="P25" s="6">
        <f t="shared" si="11"/>
        <v>-2.3093731656617811</v>
      </c>
      <c r="Q25" s="6">
        <f t="shared" si="11"/>
        <v>-2.3624887484720016</v>
      </c>
      <c r="R25" s="6">
        <f t="shared" si="11"/>
        <v>-2.416825989686858</v>
      </c>
      <c r="S25" s="6">
        <f t="shared" si="11"/>
        <v>-2.4724129874496548</v>
      </c>
      <c r="T25" s="6">
        <f t="shared" si="11"/>
        <v>-2.5292784861609974</v>
      </c>
      <c r="U25" s="6">
        <f t="shared" si="11"/>
        <v>-2.5874518913426998</v>
      </c>
      <c r="V25" s="6">
        <f t="shared" si="11"/>
        <v>-2.6469632848435811</v>
      </c>
      <c r="W25" s="6">
        <f t="shared" si="11"/>
        <v>-2.7078434403949831</v>
      </c>
      <c r="X25" s="6">
        <f t="shared" si="11"/>
        <v>-2.7701238395240679</v>
      </c>
    </row>
    <row r="26" spans="2:24">
      <c r="B26" t="s">
        <v>127</v>
      </c>
      <c r="E26" s="6">
        <f>+E60-D60</f>
        <v>0</v>
      </c>
      <c r="F26" s="6">
        <f t="shared" ref="F26:X26" si="12">+F60-E60</f>
        <v>0</v>
      </c>
      <c r="G26" s="6">
        <f t="shared" si="12"/>
        <v>0</v>
      </c>
      <c r="H26" s="6">
        <f t="shared" si="12"/>
        <v>0</v>
      </c>
      <c r="I26" s="6">
        <f t="shared" si="12"/>
        <v>0</v>
      </c>
      <c r="J26" s="6">
        <f t="shared" si="12"/>
        <v>0</v>
      </c>
      <c r="K26" s="6">
        <f t="shared" si="12"/>
        <v>0</v>
      </c>
      <c r="L26" s="6">
        <f t="shared" si="12"/>
        <v>0</v>
      </c>
      <c r="M26" s="6">
        <f t="shared" si="12"/>
        <v>0</v>
      </c>
      <c r="N26" s="6">
        <f t="shared" si="12"/>
        <v>0</v>
      </c>
      <c r="O26" s="6">
        <f t="shared" si="12"/>
        <v>0</v>
      </c>
      <c r="P26" s="6">
        <f t="shared" si="12"/>
        <v>0</v>
      </c>
      <c r="Q26" s="6">
        <f t="shared" si="12"/>
        <v>0</v>
      </c>
      <c r="R26" s="6">
        <f t="shared" si="12"/>
        <v>0</v>
      </c>
      <c r="S26" s="6">
        <f t="shared" si="12"/>
        <v>0</v>
      </c>
      <c r="T26" s="6">
        <f t="shared" si="12"/>
        <v>0</v>
      </c>
      <c r="U26" s="6">
        <f t="shared" si="12"/>
        <v>0</v>
      </c>
      <c r="V26" s="6">
        <f t="shared" si="12"/>
        <v>0</v>
      </c>
      <c r="W26" s="6">
        <f t="shared" si="12"/>
        <v>0</v>
      </c>
      <c r="X26" s="6">
        <f t="shared" si="12"/>
        <v>0</v>
      </c>
    </row>
    <row r="27" spans="2:24">
      <c r="B27" s="2" t="s">
        <v>469</v>
      </c>
      <c r="C27" s="2"/>
      <c r="D27" s="7">
        <f>-C7</f>
        <v>-105</v>
      </c>
      <c r="E27" s="7">
        <f>SUM(E23:E26)</f>
        <v>23.116998187499995</v>
      </c>
      <c r="F27" s="7">
        <f t="shared" ref="F27:X27" si="13">SUM(F23:F26)</f>
        <v>23.588314145812497</v>
      </c>
      <c r="G27" s="7">
        <f t="shared" si="13"/>
        <v>24.070470371166174</v>
      </c>
      <c r="H27" s="7">
        <f t="shared" si="13"/>
        <v>24.563716189702998</v>
      </c>
      <c r="I27" s="7">
        <f t="shared" si="13"/>
        <v>25.068306662066171</v>
      </c>
      <c r="J27" s="7">
        <f t="shared" si="13"/>
        <v>25.584502715293691</v>
      </c>
      <c r="K27" s="7">
        <f t="shared" si="13"/>
        <v>26.112571277745442</v>
      </c>
      <c r="L27" s="7">
        <f t="shared" si="13"/>
        <v>26.652785417133586</v>
      </c>
      <c r="M27" s="7">
        <f t="shared" si="13"/>
        <v>27.205424481727658</v>
      </c>
      <c r="N27" s="7">
        <f t="shared" si="13"/>
        <v>27.770774244807392</v>
      </c>
      <c r="O27" s="7">
        <f t="shared" si="13"/>
        <v>25.724127052437961</v>
      </c>
      <c r="P27" s="7">
        <f t="shared" si="13"/>
        <v>26.315781974644025</v>
      </c>
      <c r="Q27" s="7">
        <f t="shared" si="13"/>
        <v>26.92104496006084</v>
      </c>
      <c r="R27" s="7">
        <f t="shared" si="13"/>
        <v>27.540228994142232</v>
      </c>
      <c r="S27" s="7">
        <f t="shared" si="13"/>
        <v>28.173654261007499</v>
      </c>
      <c r="T27" s="7">
        <f t="shared" si="13"/>
        <v>28.821648309010673</v>
      </c>
      <c r="U27" s="7">
        <f t="shared" si="13"/>
        <v>29.484546220117917</v>
      </c>
      <c r="V27" s="7">
        <f t="shared" si="13"/>
        <v>30.162690783180622</v>
      </c>
      <c r="W27" s="7">
        <f t="shared" si="13"/>
        <v>30.85643267119378</v>
      </c>
      <c r="X27" s="7">
        <f t="shared" si="13"/>
        <v>31.566130622631228</v>
      </c>
    </row>
    <row r="28" spans="2:24" ht="15" thickBot="1"/>
    <row r="29" spans="2:24" ht="15" thickBot="1">
      <c r="B29" s="3" t="s">
        <v>478</v>
      </c>
      <c r="C29" s="250">
        <f>IRR(D27:X27)</f>
        <v>0.23328770215289785</v>
      </c>
    </row>
    <row r="32" spans="2:24">
      <c r="B32" s="245" t="s">
        <v>479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>
      <c r="B33" t="s">
        <v>480</v>
      </c>
      <c r="C33" s="65">
        <v>1</v>
      </c>
    </row>
    <row r="34" spans="2:24">
      <c r="B34" t="s">
        <v>481</v>
      </c>
      <c r="D34" s="246"/>
      <c r="E34" s="6">
        <f>+D36</f>
        <v>105</v>
      </c>
      <c r="F34" s="6">
        <f t="shared" ref="F34:X34" si="14">+E36</f>
        <v>94.5</v>
      </c>
      <c r="G34" s="6">
        <f t="shared" si="14"/>
        <v>84</v>
      </c>
      <c r="H34" s="6">
        <f t="shared" si="14"/>
        <v>73.5</v>
      </c>
      <c r="I34" s="6">
        <f t="shared" si="14"/>
        <v>63</v>
      </c>
      <c r="J34" s="6">
        <f t="shared" si="14"/>
        <v>52.5</v>
      </c>
      <c r="K34" s="6">
        <f t="shared" si="14"/>
        <v>42</v>
      </c>
      <c r="L34" s="6">
        <f t="shared" si="14"/>
        <v>31.5</v>
      </c>
      <c r="M34" s="6">
        <f t="shared" si="14"/>
        <v>21</v>
      </c>
      <c r="N34" s="6">
        <f t="shared" si="14"/>
        <v>10.5</v>
      </c>
      <c r="O34" s="6">
        <f t="shared" si="14"/>
        <v>0</v>
      </c>
      <c r="P34" s="6">
        <f t="shared" si="14"/>
        <v>0</v>
      </c>
      <c r="Q34" s="6">
        <f t="shared" si="14"/>
        <v>0</v>
      </c>
      <c r="R34" s="6">
        <f t="shared" si="14"/>
        <v>0</v>
      </c>
      <c r="S34" s="6">
        <f t="shared" si="14"/>
        <v>0</v>
      </c>
      <c r="T34" s="6">
        <f t="shared" si="14"/>
        <v>0</v>
      </c>
      <c r="U34" s="6">
        <f t="shared" si="14"/>
        <v>0</v>
      </c>
      <c r="V34" s="6">
        <f t="shared" si="14"/>
        <v>0</v>
      </c>
      <c r="W34" s="6">
        <f t="shared" si="14"/>
        <v>0</v>
      </c>
      <c r="X34" s="6">
        <f t="shared" si="14"/>
        <v>0</v>
      </c>
    </row>
    <row r="35" spans="2:24">
      <c r="B35" s="61" t="s">
        <v>311</v>
      </c>
      <c r="D35" s="6"/>
      <c r="E35" s="6">
        <f>IF(E34&gt;0,MAX(-E34,-$D$36/$C$37),0)</f>
        <v>-10.5</v>
      </c>
      <c r="F35" s="6">
        <f t="shared" ref="F35:X35" si="15">IF(F34&gt;0,MAX(-F34,-$D$36/$C$37),0)</f>
        <v>-10.5</v>
      </c>
      <c r="G35" s="6">
        <f t="shared" si="15"/>
        <v>-10.5</v>
      </c>
      <c r="H35" s="6">
        <f t="shared" si="15"/>
        <v>-10.5</v>
      </c>
      <c r="I35" s="6">
        <f t="shared" si="15"/>
        <v>-10.5</v>
      </c>
      <c r="J35" s="6">
        <f t="shared" si="15"/>
        <v>-10.5</v>
      </c>
      <c r="K35" s="6">
        <f t="shared" si="15"/>
        <v>-10.5</v>
      </c>
      <c r="L35" s="6">
        <f t="shared" si="15"/>
        <v>-10.5</v>
      </c>
      <c r="M35" s="6">
        <f t="shared" si="15"/>
        <v>-10.5</v>
      </c>
      <c r="N35" s="6">
        <f t="shared" si="15"/>
        <v>-10.5</v>
      </c>
      <c r="O35" s="6">
        <f t="shared" si="15"/>
        <v>0</v>
      </c>
      <c r="P35" s="6">
        <f t="shared" si="15"/>
        <v>0</v>
      </c>
      <c r="Q35" s="6">
        <f t="shared" si="15"/>
        <v>0</v>
      </c>
      <c r="R35" s="6">
        <f t="shared" si="15"/>
        <v>0</v>
      </c>
      <c r="S35" s="6">
        <f t="shared" si="15"/>
        <v>0</v>
      </c>
      <c r="T35" s="6">
        <f t="shared" si="15"/>
        <v>0</v>
      </c>
      <c r="U35" s="6">
        <f t="shared" si="15"/>
        <v>0</v>
      </c>
      <c r="V35" s="6">
        <f t="shared" si="15"/>
        <v>0</v>
      </c>
      <c r="W35" s="6">
        <f t="shared" si="15"/>
        <v>0</v>
      </c>
      <c r="X35" s="6">
        <f t="shared" si="15"/>
        <v>0</v>
      </c>
    </row>
    <row r="36" spans="2:24">
      <c r="B36" s="2" t="s">
        <v>310</v>
      </c>
      <c r="C36" s="2"/>
      <c r="D36" s="247">
        <f>+C33*$C$3</f>
        <v>105</v>
      </c>
      <c r="E36" s="7">
        <f t="shared" ref="E36:X36" si="16">SUM(E34:E35)</f>
        <v>94.5</v>
      </c>
      <c r="F36" s="7">
        <f t="shared" si="16"/>
        <v>84</v>
      </c>
      <c r="G36" s="7">
        <f t="shared" si="16"/>
        <v>73.5</v>
      </c>
      <c r="H36" s="7">
        <f t="shared" si="16"/>
        <v>63</v>
      </c>
      <c r="I36" s="7">
        <f t="shared" si="16"/>
        <v>52.5</v>
      </c>
      <c r="J36" s="7">
        <f t="shared" si="16"/>
        <v>42</v>
      </c>
      <c r="K36" s="7">
        <f t="shared" si="16"/>
        <v>31.5</v>
      </c>
      <c r="L36" s="7">
        <f t="shared" si="16"/>
        <v>21</v>
      </c>
      <c r="M36" s="7">
        <f t="shared" si="16"/>
        <v>10.5</v>
      </c>
      <c r="N36" s="7">
        <f t="shared" si="16"/>
        <v>0</v>
      </c>
      <c r="O36" s="7">
        <f t="shared" si="16"/>
        <v>0</v>
      </c>
      <c r="P36" s="7">
        <f t="shared" si="16"/>
        <v>0</v>
      </c>
      <c r="Q36" s="7">
        <f t="shared" si="16"/>
        <v>0</v>
      </c>
      <c r="R36" s="7">
        <f t="shared" si="16"/>
        <v>0</v>
      </c>
      <c r="S36" s="7">
        <f t="shared" si="16"/>
        <v>0</v>
      </c>
      <c r="T36" s="7">
        <f t="shared" si="16"/>
        <v>0</v>
      </c>
      <c r="U36" s="7">
        <f t="shared" si="16"/>
        <v>0</v>
      </c>
      <c r="V36" s="7">
        <f t="shared" si="16"/>
        <v>0</v>
      </c>
      <c r="W36" s="7">
        <f t="shared" si="16"/>
        <v>0</v>
      </c>
      <c r="X36" s="7">
        <f t="shared" si="16"/>
        <v>0</v>
      </c>
    </row>
    <row r="37" spans="2:24">
      <c r="B37" t="s">
        <v>482</v>
      </c>
      <c r="C37" s="248">
        <v>10</v>
      </c>
    </row>
    <row r="39" spans="2:24">
      <c r="B39" t="s">
        <v>483</v>
      </c>
      <c r="C39" s="42">
        <v>0.02</v>
      </c>
    </row>
    <row r="40" spans="2:24">
      <c r="B40" t="s">
        <v>484</v>
      </c>
      <c r="D40" s="246"/>
      <c r="E40" s="6">
        <f>+D43</f>
        <v>2.1</v>
      </c>
      <c r="F40" s="6">
        <f t="shared" ref="F40:X40" si="17">+E43</f>
        <v>2.1482999999999999</v>
      </c>
      <c r="G40" s="6">
        <f t="shared" si="17"/>
        <v>2.1977108999999997</v>
      </c>
      <c r="H40" s="6">
        <f t="shared" si="17"/>
        <v>2.2482582506999997</v>
      </c>
      <c r="I40" s="6">
        <f t="shared" si="17"/>
        <v>2.2999681904660996</v>
      </c>
      <c r="J40" s="6">
        <f t="shared" si="17"/>
        <v>2.3528674588468195</v>
      </c>
      <c r="K40" s="6">
        <f t="shared" si="17"/>
        <v>2.4069834104002963</v>
      </c>
      <c r="L40" s="6">
        <f t="shared" si="17"/>
        <v>2.4623440288395027</v>
      </c>
      <c r="M40" s="6">
        <f t="shared" si="17"/>
        <v>2.5189779415028113</v>
      </c>
      <c r="N40" s="6">
        <f t="shared" si="17"/>
        <v>2.5769144341573758</v>
      </c>
      <c r="O40" s="6">
        <f t="shared" si="17"/>
        <v>2.6361834661429953</v>
      </c>
      <c r="P40" s="6">
        <f t="shared" si="17"/>
        <v>2.6968156858642836</v>
      </c>
      <c r="Q40" s="6">
        <f t="shared" si="17"/>
        <v>2.7588424466391617</v>
      </c>
      <c r="R40" s="6">
        <f t="shared" si="17"/>
        <v>2.8222958229118622</v>
      </c>
      <c r="S40" s="6">
        <f t="shared" si="17"/>
        <v>2.8872086268388348</v>
      </c>
      <c r="T40" s="6">
        <f t="shared" si="17"/>
        <v>2.9536144252561276</v>
      </c>
      <c r="U40" s="6">
        <f t="shared" si="17"/>
        <v>3.0215475570370183</v>
      </c>
      <c r="V40" s="6">
        <f t="shared" si="17"/>
        <v>3.0910431508488698</v>
      </c>
      <c r="W40" s="6">
        <f t="shared" si="17"/>
        <v>3.1621371433183931</v>
      </c>
      <c r="X40" s="6">
        <f t="shared" si="17"/>
        <v>3.2348662976147158</v>
      </c>
    </row>
    <row r="41" spans="2:24">
      <c r="B41" s="61" t="s">
        <v>124</v>
      </c>
      <c r="D41" s="246"/>
      <c r="E41" s="6">
        <f>+E43-E42-E40</f>
        <v>0.74829999999999997</v>
      </c>
      <c r="F41" s="6">
        <f t="shared" ref="F41:X41" si="18">+F43-F42-F40</f>
        <v>0.76551089999999977</v>
      </c>
      <c r="G41" s="6">
        <f t="shared" si="18"/>
        <v>0.78311765069999995</v>
      </c>
      <c r="H41" s="6">
        <f t="shared" si="18"/>
        <v>0.80112935666609975</v>
      </c>
      <c r="I41" s="6">
        <f t="shared" si="18"/>
        <v>0.81955533186941976</v>
      </c>
      <c r="J41" s="6">
        <f t="shared" si="18"/>
        <v>0.83840510450241679</v>
      </c>
      <c r="K41" s="6">
        <f t="shared" si="18"/>
        <v>0.85768842190597194</v>
      </c>
      <c r="L41" s="6">
        <f t="shared" si="18"/>
        <v>0.87741525560980937</v>
      </c>
      <c r="M41" s="6">
        <f t="shared" si="18"/>
        <v>0.89759580648883475</v>
      </c>
      <c r="N41" s="6">
        <f t="shared" si="18"/>
        <v>0.91824051003807794</v>
      </c>
      <c r="O41" s="6">
        <f t="shared" si="18"/>
        <v>0.93936004176895338</v>
      </c>
      <c r="P41" s="6">
        <f t="shared" si="18"/>
        <v>0.9609653227296393</v>
      </c>
      <c r="Q41" s="6">
        <f t="shared" si="18"/>
        <v>0.98306752515242124</v>
      </c>
      <c r="R41" s="6">
        <f t="shared" si="18"/>
        <v>1.0056780782309267</v>
      </c>
      <c r="S41" s="6">
        <f t="shared" si="18"/>
        <v>1.0288086740302376</v>
      </c>
      <c r="T41" s="6">
        <f t="shared" si="18"/>
        <v>1.0524712735329333</v>
      </c>
      <c r="U41" s="6">
        <f t="shared" si="18"/>
        <v>1.0766781128241911</v>
      </c>
      <c r="V41" s="6">
        <f t="shared" si="18"/>
        <v>1.1014417094191464</v>
      </c>
      <c r="W41" s="6">
        <f t="shared" si="18"/>
        <v>1.1267748687357866</v>
      </c>
      <c r="X41" s="6">
        <f t="shared" si="18"/>
        <v>1.1526906907167098</v>
      </c>
    </row>
    <row r="42" spans="2:24">
      <c r="B42" s="61" t="s">
        <v>423</v>
      </c>
      <c r="D42" s="6"/>
      <c r="E42" s="6">
        <f>-E40/E44</f>
        <v>-0.70000000000000007</v>
      </c>
      <c r="F42" s="6">
        <f t="shared" ref="F42:X42" si="19">-F40/F44</f>
        <v>-0.71609999999999996</v>
      </c>
      <c r="G42" s="6">
        <f t="shared" si="19"/>
        <v>-0.7325702999999999</v>
      </c>
      <c r="H42" s="6">
        <f t="shared" si="19"/>
        <v>-0.74941941689999991</v>
      </c>
      <c r="I42" s="6">
        <f t="shared" si="19"/>
        <v>-0.76665606348869986</v>
      </c>
      <c r="J42" s="6">
        <f t="shared" si="19"/>
        <v>-0.78428915294893986</v>
      </c>
      <c r="K42" s="6">
        <f t="shared" si="19"/>
        <v>-0.80232780346676547</v>
      </c>
      <c r="L42" s="6">
        <f t="shared" si="19"/>
        <v>-0.82078134294650085</v>
      </c>
      <c r="M42" s="6">
        <f t="shared" si="19"/>
        <v>-0.83965931383427039</v>
      </c>
      <c r="N42" s="6">
        <f t="shared" si="19"/>
        <v>-0.85897147805245855</v>
      </c>
      <c r="O42" s="6">
        <f t="shared" si="19"/>
        <v>-0.87872782204766509</v>
      </c>
      <c r="P42" s="6">
        <f t="shared" si="19"/>
        <v>-0.89893856195476118</v>
      </c>
      <c r="Q42" s="6">
        <f t="shared" si="19"/>
        <v>-0.91961414887972059</v>
      </c>
      <c r="R42" s="6">
        <f t="shared" si="19"/>
        <v>-0.94076527430395407</v>
      </c>
      <c r="S42" s="6">
        <f t="shared" si="19"/>
        <v>-0.96240287561294491</v>
      </c>
      <c r="T42" s="6">
        <f t="shared" si="19"/>
        <v>-0.98453814175204257</v>
      </c>
      <c r="U42" s="6">
        <f t="shared" si="19"/>
        <v>-1.0071825190123394</v>
      </c>
      <c r="V42" s="6">
        <f t="shared" si="19"/>
        <v>-1.0303477169496233</v>
      </c>
      <c r="W42" s="6">
        <f t="shared" si="19"/>
        <v>-1.0540457144394644</v>
      </c>
      <c r="X42" s="6">
        <f t="shared" si="19"/>
        <v>-1.0782887658715719</v>
      </c>
    </row>
    <row r="43" spans="2:24">
      <c r="B43" s="2" t="s">
        <v>310</v>
      </c>
      <c r="C43" s="2"/>
      <c r="D43" s="247">
        <f>+C39*$C$3</f>
        <v>2.1</v>
      </c>
      <c r="E43" s="7">
        <f>+E12*E45</f>
        <v>2.1482999999999999</v>
      </c>
      <c r="F43" s="7">
        <f t="shared" ref="F43:X43" si="20">+F12*F45</f>
        <v>2.1977108999999997</v>
      </c>
      <c r="G43" s="7">
        <f t="shared" si="20"/>
        <v>2.2482582506999997</v>
      </c>
      <c r="H43" s="7">
        <f t="shared" si="20"/>
        <v>2.2999681904660996</v>
      </c>
      <c r="I43" s="7">
        <f t="shared" si="20"/>
        <v>2.3528674588468195</v>
      </c>
      <c r="J43" s="7">
        <f t="shared" si="20"/>
        <v>2.4069834104002963</v>
      </c>
      <c r="K43" s="7">
        <f t="shared" si="20"/>
        <v>2.4623440288395027</v>
      </c>
      <c r="L43" s="7">
        <f t="shared" si="20"/>
        <v>2.5189779415028113</v>
      </c>
      <c r="M43" s="7">
        <f t="shared" si="20"/>
        <v>2.5769144341573758</v>
      </c>
      <c r="N43" s="7">
        <f t="shared" si="20"/>
        <v>2.6361834661429953</v>
      </c>
      <c r="O43" s="7">
        <f t="shared" si="20"/>
        <v>2.6968156858642836</v>
      </c>
      <c r="P43" s="7">
        <f t="shared" si="20"/>
        <v>2.7588424466391617</v>
      </c>
      <c r="Q43" s="7">
        <f t="shared" si="20"/>
        <v>2.8222958229118622</v>
      </c>
      <c r="R43" s="7">
        <f t="shared" si="20"/>
        <v>2.8872086268388348</v>
      </c>
      <c r="S43" s="7">
        <f t="shared" si="20"/>
        <v>2.9536144252561276</v>
      </c>
      <c r="T43" s="7">
        <f t="shared" si="20"/>
        <v>3.0215475570370183</v>
      </c>
      <c r="U43" s="7">
        <f t="shared" si="20"/>
        <v>3.0910431508488698</v>
      </c>
      <c r="V43" s="7">
        <f t="shared" si="20"/>
        <v>3.1621371433183931</v>
      </c>
      <c r="W43" s="7">
        <f t="shared" si="20"/>
        <v>3.2348662976147158</v>
      </c>
      <c r="X43" s="7">
        <f t="shared" si="20"/>
        <v>3.309268222459854</v>
      </c>
    </row>
    <row r="44" spans="2:24">
      <c r="B44" t="s">
        <v>485</v>
      </c>
      <c r="D44" s="248">
        <v>3</v>
      </c>
      <c r="E44" s="248">
        <v>3</v>
      </c>
      <c r="F44" s="248">
        <v>3</v>
      </c>
      <c r="G44" s="248">
        <v>3</v>
      </c>
      <c r="H44" s="248">
        <v>3</v>
      </c>
      <c r="I44" s="248">
        <v>3</v>
      </c>
      <c r="J44" s="248">
        <v>3</v>
      </c>
      <c r="K44" s="248">
        <v>3</v>
      </c>
      <c r="L44" s="248">
        <v>3</v>
      </c>
      <c r="M44" s="248">
        <v>3</v>
      </c>
      <c r="N44" s="248">
        <v>3</v>
      </c>
      <c r="O44" s="248">
        <v>3</v>
      </c>
      <c r="P44" s="248">
        <v>3</v>
      </c>
      <c r="Q44" s="248">
        <v>3</v>
      </c>
      <c r="R44" s="248">
        <v>3</v>
      </c>
      <c r="S44" s="248">
        <v>3</v>
      </c>
      <c r="T44" s="248">
        <v>3</v>
      </c>
      <c r="U44" s="248">
        <v>3</v>
      </c>
      <c r="V44" s="248">
        <v>3</v>
      </c>
      <c r="W44" s="248">
        <v>3</v>
      </c>
      <c r="X44" s="248">
        <v>3</v>
      </c>
    </row>
    <row r="45" spans="2:24">
      <c r="B45" t="s">
        <v>486</v>
      </c>
      <c r="D45" s="249">
        <f>+D43/D12</f>
        <v>2.1000000000000001E-2</v>
      </c>
      <c r="E45" s="1">
        <f>+D45</f>
        <v>2.1000000000000001E-2</v>
      </c>
      <c r="F45" s="1">
        <f t="shared" ref="F45:X45" si="21">+E45</f>
        <v>2.1000000000000001E-2</v>
      </c>
      <c r="G45" s="1">
        <f t="shared" si="21"/>
        <v>2.1000000000000001E-2</v>
      </c>
      <c r="H45" s="1">
        <f t="shared" si="21"/>
        <v>2.1000000000000001E-2</v>
      </c>
      <c r="I45" s="1">
        <f t="shared" si="21"/>
        <v>2.1000000000000001E-2</v>
      </c>
      <c r="J45" s="1">
        <f t="shared" si="21"/>
        <v>2.1000000000000001E-2</v>
      </c>
      <c r="K45" s="1">
        <f t="shared" si="21"/>
        <v>2.1000000000000001E-2</v>
      </c>
      <c r="L45" s="1">
        <f t="shared" si="21"/>
        <v>2.1000000000000001E-2</v>
      </c>
      <c r="M45" s="1">
        <f t="shared" si="21"/>
        <v>2.1000000000000001E-2</v>
      </c>
      <c r="N45" s="1">
        <f t="shared" si="21"/>
        <v>2.1000000000000001E-2</v>
      </c>
      <c r="O45" s="1">
        <f t="shared" si="21"/>
        <v>2.1000000000000001E-2</v>
      </c>
      <c r="P45" s="1">
        <f t="shared" si="21"/>
        <v>2.1000000000000001E-2</v>
      </c>
      <c r="Q45" s="1">
        <f t="shared" si="21"/>
        <v>2.1000000000000001E-2</v>
      </c>
      <c r="R45" s="1">
        <f t="shared" si="21"/>
        <v>2.1000000000000001E-2</v>
      </c>
      <c r="S45" s="1">
        <f t="shared" si="21"/>
        <v>2.1000000000000001E-2</v>
      </c>
      <c r="T45" s="1">
        <f t="shared" si="21"/>
        <v>2.1000000000000001E-2</v>
      </c>
      <c r="U45" s="1">
        <f t="shared" si="21"/>
        <v>2.1000000000000001E-2</v>
      </c>
      <c r="V45" s="1">
        <f t="shared" si="21"/>
        <v>2.1000000000000001E-2</v>
      </c>
      <c r="W45" s="1">
        <f t="shared" si="21"/>
        <v>2.1000000000000001E-2</v>
      </c>
      <c r="X45" s="1">
        <f t="shared" si="21"/>
        <v>2.1000000000000001E-2</v>
      </c>
    </row>
    <row r="47" spans="2:24">
      <c r="B47" t="s">
        <v>487</v>
      </c>
      <c r="C47" s="42">
        <v>0.03</v>
      </c>
    </row>
    <row r="48" spans="2:24">
      <c r="B48" t="s">
        <v>488</v>
      </c>
      <c r="D48" s="246"/>
      <c r="E48" s="6">
        <f>+D51</f>
        <v>3.15</v>
      </c>
      <c r="F48" s="6">
        <f t="shared" ref="F48:X48" si="22">+E51</f>
        <v>3.2224499999999998</v>
      </c>
      <c r="G48" s="6">
        <f t="shared" si="22"/>
        <v>3.2965663499999995</v>
      </c>
      <c r="H48" s="6">
        <f t="shared" si="22"/>
        <v>3.3723873760499994</v>
      </c>
      <c r="I48" s="6">
        <f t="shared" si="22"/>
        <v>3.4499522856991489</v>
      </c>
      <c r="J48" s="6">
        <f t="shared" si="22"/>
        <v>3.529301188270229</v>
      </c>
      <c r="K48" s="6">
        <f t="shared" si="22"/>
        <v>3.6104751156004444</v>
      </c>
      <c r="L48" s="6">
        <f t="shared" si="22"/>
        <v>3.6935160432592542</v>
      </c>
      <c r="M48" s="6">
        <f t="shared" si="22"/>
        <v>3.7784669122542165</v>
      </c>
      <c r="N48" s="6">
        <f t="shared" si="22"/>
        <v>3.8653716512360634</v>
      </c>
      <c r="O48" s="6">
        <f t="shared" si="22"/>
        <v>3.9542751992144924</v>
      </c>
      <c r="P48" s="6">
        <f t="shared" si="22"/>
        <v>4.0452235287964253</v>
      </c>
      <c r="Q48" s="6">
        <f t="shared" si="22"/>
        <v>4.1382636699587421</v>
      </c>
      <c r="R48" s="6">
        <f t="shared" si="22"/>
        <v>4.2334437343677935</v>
      </c>
      <c r="S48" s="6">
        <f t="shared" si="22"/>
        <v>4.3308129402582516</v>
      </c>
      <c r="T48" s="6">
        <f t="shared" si="22"/>
        <v>4.4304216378841916</v>
      </c>
      <c r="U48" s="6">
        <f t="shared" si="22"/>
        <v>4.532321335555527</v>
      </c>
      <c r="V48" s="6">
        <f t="shared" si="22"/>
        <v>4.6365647262733045</v>
      </c>
      <c r="W48" s="6">
        <f t="shared" si="22"/>
        <v>4.7432057149775897</v>
      </c>
      <c r="X48" s="6">
        <f t="shared" si="22"/>
        <v>4.8522994464220739</v>
      </c>
    </row>
    <row r="49" spans="2:24">
      <c r="B49" s="61" t="s">
        <v>416</v>
      </c>
      <c r="D49" s="246"/>
      <c r="E49" s="6">
        <f>+E51-E50-E48</f>
        <v>1.1224500000000002</v>
      </c>
      <c r="F49" s="6">
        <f t="shared" ref="F49:X49" si="23">+F51-F50-F48</f>
        <v>1.1482663499999997</v>
      </c>
      <c r="G49" s="6">
        <f t="shared" si="23"/>
        <v>1.1746764760499997</v>
      </c>
      <c r="H49" s="6">
        <f t="shared" si="23"/>
        <v>1.2016940349991496</v>
      </c>
      <c r="I49" s="6">
        <f t="shared" si="23"/>
        <v>1.2293329978041299</v>
      </c>
      <c r="J49" s="6">
        <f t="shared" si="23"/>
        <v>1.257607656753625</v>
      </c>
      <c r="K49" s="6">
        <f t="shared" si="23"/>
        <v>1.2865326328589579</v>
      </c>
      <c r="L49" s="6">
        <f t="shared" si="23"/>
        <v>1.3161228834147134</v>
      </c>
      <c r="M49" s="6">
        <f t="shared" si="23"/>
        <v>1.3463937097332521</v>
      </c>
      <c r="N49" s="6">
        <f t="shared" si="23"/>
        <v>1.3773607650571171</v>
      </c>
      <c r="O49" s="6">
        <f t="shared" si="23"/>
        <v>1.4090400626534305</v>
      </c>
      <c r="P49" s="6">
        <f t="shared" si="23"/>
        <v>1.4414479840944585</v>
      </c>
      <c r="Q49" s="6">
        <f t="shared" si="23"/>
        <v>1.4746012877286319</v>
      </c>
      <c r="R49" s="6">
        <f t="shared" si="23"/>
        <v>1.5085171173463889</v>
      </c>
      <c r="S49" s="6">
        <f t="shared" si="23"/>
        <v>1.5432130110453572</v>
      </c>
      <c r="T49" s="6">
        <f t="shared" si="23"/>
        <v>1.5787069102993989</v>
      </c>
      <c r="U49" s="6">
        <f t="shared" si="23"/>
        <v>1.6150171692362862</v>
      </c>
      <c r="V49" s="6">
        <f t="shared" si="23"/>
        <v>1.6521625641287203</v>
      </c>
      <c r="W49" s="6">
        <f t="shared" si="23"/>
        <v>1.6901623031036808</v>
      </c>
      <c r="X49" s="6">
        <f t="shared" si="23"/>
        <v>1.7290360360750645</v>
      </c>
    </row>
    <row r="50" spans="2:24">
      <c r="B50" s="61" t="s">
        <v>489</v>
      </c>
      <c r="D50" s="6"/>
      <c r="E50" s="6">
        <f>-E48/E52</f>
        <v>-1.05</v>
      </c>
      <c r="F50" s="6">
        <f t="shared" ref="F50:X50" si="24">-F48/F52</f>
        <v>-1.0741499999999999</v>
      </c>
      <c r="G50" s="6">
        <f t="shared" si="24"/>
        <v>-1.0988554499999998</v>
      </c>
      <c r="H50" s="6">
        <f t="shared" si="24"/>
        <v>-1.1241291253499999</v>
      </c>
      <c r="I50" s="6">
        <f t="shared" si="24"/>
        <v>-1.1499840952330496</v>
      </c>
      <c r="J50" s="6">
        <f t="shared" si="24"/>
        <v>-1.1764337294234097</v>
      </c>
      <c r="K50" s="6">
        <f t="shared" si="24"/>
        <v>-1.2034917052001481</v>
      </c>
      <c r="L50" s="6">
        <f t="shared" si="24"/>
        <v>-1.2311720144197513</v>
      </c>
      <c r="M50" s="6">
        <f t="shared" si="24"/>
        <v>-1.2594889707514054</v>
      </c>
      <c r="N50" s="6">
        <f t="shared" si="24"/>
        <v>-1.2884572170786879</v>
      </c>
      <c r="O50" s="6">
        <f t="shared" si="24"/>
        <v>-1.3180917330714974</v>
      </c>
      <c r="P50" s="6">
        <f t="shared" si="24"/>
        <v>-1.3484078429321418</v>
      </c>
      <c r="Q50" s="6">
        <f t="shared" si="24"/>
        <v>-1.3794212233195806</v>
      </c>
      <c r="R50" s="6">
        <f t="shared" si="24"/>
        <v>-1.4111479114559311</v>
      </c>
      <c r="S50" s="6">
        <f t="shared" si="24"/>
        <v>-1.4436043134194172</v>
      </c>
      <c r="T50" s="6">
        <f t="shared" si="24"/>
        <v>-1.4768072126280638</v>
      </c>
      <c r="U50" s="6">
        <f t="shared" si="24"/>
        <v>-1.5107737785185089</v>
      </c>
      <c r="V50" s="6">
        <f t="shared" si="24"/>
        <v>-1.5455215754244349</v>
      </c>
      <c r="W50" s="6">
        <f t="shared" si="24"/>
        <v>-1.5810685716591966</v>
      </c>
      <c r="X50" s="6">
        <f t="shared" si="24"/>
        <v>-1.6174331488073579</v>
      </c>
    </row>
    <row r="51" spans="2:24">
      <c r="B51" s="2" t="s">
        <v>490</v>
      </c>
      <c r="C51" s="2"/>
      <c r="D51" s="247">
        <f>+C47*$C$3</f>
        <v>3.15</v>
      </c>
      <c r="E51" s="7">
        <f>+E12*E53</f>
        <v>3.2224499999999998</v>
      </c>
      <c r="F51" s="7">
        <f t="shared" ref="F51:X51" si="25">+F12*F53</f>
        <v>3.2965663499999995</v>
      </c>
      <c r="G51" s="7">
        <f t="shared" si="25"/>
        <v>3.3723873760499994</v>
      </c>
      <c r="H51" s="7">
        <f t="shared" si="25"/>
        <v>3.4499522856991489</v>
      </c>
      <c r="I51" s="7">
        <f t="shared" si="25"/>
        <v>3.529301188270229</v>
      </c>
      <c r="J51" s="7">
        <f t="shared" si="25"/>
        <v>3.6104751156004444</v>
      </c>
      <c r="K51" s="7">
        <f t="shared" si="25"/>
        <v>3.6935160432592542</v>
      </c>
      <c r="L51" s="7">
        <f t="shared" si="25"/>
        <v>3.7784669122542165</v>
      </c>
      <c r="M51" s="7">
        <f t="shared" si="25"/>
        <v>3.8653716512360634</v>
      </c>
      <c r="N51" s="7">
        <f t="shared" si="25"/>
        <v>3.9542751992144924</v>
      </c>
      <c r="O51" s="7">
        <f t="shared" si="25"/>
        <v>4.0452235287964253</v>
      </c>
      <c r="P51" s="7">
        <f t="shared" si="25"/>
        <v>4.1382636699587421</v>
      </c>
      <c r="Q51" s="7">
        <f t="shared" si="25"/>
        <v>4.2334437343677935</v>
      </c>
      <c r="R51" s="7">
        <f t="shared" si="25"/>
        <v>4.3308129402582516</v>
      </c>
      <c r="S51" s="7">
        <f t="shared" si="25"/>
        <v>4.4304216378841916</v>
      </c>
      <c r="T51" s="7">
        <f t="shared" si="25"/>
        <v>4.532321335555527</v>
      </c>
      <c r="U51" s="7">
        <f t="shared" si="25"/>
        <v>4.6365647262733045</v>
      </c>
      <c r="V51" s="7">
        <f t="shared" si="25"/>
        <v>4.7432057149775897</v>
      </c>
      <c r="W51" s="7">
        <f t="shared" si="25"/>
        <v>4.8522994464220739</v>
      </c>
      <c r="X51" s="7">
        <f t="shared" si="25"/>
        <v>4.9639023336897807</v>
      </c>
    </row>
    <row r="52" spans="2:24">
      <c r="B52" t="s">
        <v>485</v>
      </c>
      <c r="D52" s="248">
        <v>3</v>
      </c>
      <c r="E52" s="248">
        <v>3</v>
      </c>
      <c r="F52" s="248">
        <v>3</v>
      </c>
      <c r="G52" s="248">
        <v>3</v>
      </c>
      <c r="H52" s="248">
        <v>3</v>
      </c>
      <c r="I52" s="248">
        <v>3</v>
      </c>
      <c r="J52" s="248">
        <v>3</v>
      </c>
      <c r="K52" s="248">
        <v>3</v>
      </c>
      <c r="L52" s="248">
        <v>3</v>
      </c>
      <c r="M52" s="248">
        <v>3</v>
      </c>
      <c r="N52" s="248">
        <v>3</v>
      </c>
      <c r="O52" s="248">
        <v>3</v>
      </c>
      <c r="P52" s="248">
        <v>3</v>
      </c>
      <c r="Q52" s="248">
        <v>3</v>
      </c>
      <c r="R52" s="248">
        <v>3</v>
      </c>
      <c r="S52" s="248">
        <v>3</v>
      </c>
      <c r="T52" s="248">
        <v>3</v>
      </c>
      <c r="U52" s="248">
        <v>3</v>
      </c>
      <c r="V52" s="248">
        <v>3</v>
      </c>
      <c r="W52" s="248">
        <v>3</v>
      </c>
      <c r="X52" s="248">
        <v>3</v>
      </c>
    </row>
    <row r="53" spans="2:24">
      <c r="B53" t="s">
        <v>491</v>
      </c>
      <c r="D53" s="249">
        <f>+D51/D12</f>
        <v>3.15E-2</v>
      </c>
      <c r="E53" s="1">
        <f>+D53</f>
        <v>3.15E-2</v>
      </c>
      <c r="F53" s="1">
        <f t="shared" ref="F53:X53" si="26">+E53</f>
        <v>3.15E-2</v>
      </c>
      <c r="G53" s="1">
        <f t="shared" si="26"/>
        <v>3.15E-2</v>
      </c>
      <c r="H53" s="1">
        <f t="shared" si="26"/>
        <v>3.15E-2</v>
      </c>
      <c r="I53" s="1">
        <f t="shared" si="26"/>
        <v>3.15E-2</v>
      </c>
      <c r="J53" s="1">
        <f t="shared" si="26"/>
        <v>3.15E-2</v>
      </c>
      <c r="K53" s="1">
        <f t="shared" si="26"/>
        <v>3.15E-2</v>
      </c>
      <c r="L53" s="1">
        <f t="shared" si="26"/>
        <v>3.15E-2</v>
      </c>
      <c r="M53" s="1">
        <f t="shared" si="26"/>
        <v>3.15E-2</v>
      </c>
      <c r="N53" s="1">
        <f t="shared" si="26"/>
        <v>3.15E-2</v>
      </c>
      <c r="O53" s="1">
        <f t="shared" si="26"/>
        <v>3.15E-2</v>
      </c>
      <c r="P53" s="1">
        <f t="shared" si="26"/>
        <v>3.15E-2</v>
      </c>
      <c r="Q53" s="1">
        <f t="shared" si="26"/>
        <v>3.15E-2</v>
      </c>
      <c r="R53" s="1">
        <f t="shared" si="26"/>
        <v>3.15E-2</v>
      </c>
      <c r="S53" s="1">
        <f t="shared" si="26"/>
        <v>3.15E-2</v>
      </c>
      <c r="T53" s="1">
        <f t="shared" si="26"/>
        <v>3.15E-2</v>
      </c>
      <c r="U53" s="1">
        <f t="shared" si="26"/>
        <v>3.15E-2</v>
      </c>
      <c r="V53" s="1">
        <f t="shared" si="26"/>
        <v>3.15E-2</v>
      </c>
      <c r="W53" s="1">
        <f t="shared" si="26"/>
        <v>3.15E-2</v>
      </c>
      <c r="X53" s="1">
        <f t="shared" si="26"/>
        <v>3.15E-2</v>
      </c>
    </row>
    <row r="54" spans="2:24">
      <c r="B54" t="s">
        <v>492</v>
      </c>
      <c r="D54" s="42">
        <v>7.0000000000000007E-2</v>
      </c>
      <c r="E54" s="42">
        <v>7.0000000000000007E-2</v>
      </c>
      <c r="F54" s="42">
        <v>7.0000000000000007E-2</v>
      </c>
      <c r="G54" s="42">
        <v>7.0000000000000007E-2</v>
      </c>
      <c r="H54" s="42">
        <v>7.0000000000000007E-2</v>
      </c>
      <c r="I54" s="42">
        <v>7.0000000000000007E-2</v>
      </c>
      <c r="J54" s="42">
        <v>7.0000000000000007E-2</v>
      </c>
      <c r="K54" s="42">
        <v>7.0000000000000007E-2</v>
      </c>
      <c r="L54" s="42">
        <v>7.0000000000000007E-2</v>
      </c>
      <c r="M54" s="42">
        <v>7.0000000000000007E-2</v>
      </c>
      <c r="N54" s="42">
        <v>7.0000000000000007E-2</v>
      </c>
      <c r="O54" s="42">
        <v>7.0000000000000007E-2</v>
      </c>
      <c r="P54" s="42">
        <v>7.0000000000000007E-2</v>
      </c>
      <c r="Q54" s="42">
        <v>7.0000000000000007E-2</v>
      </c>
      <c r="R54" s="42">
        <v>7.0000000000000007E-2</v>
      </c>
      <c r="S54" s="42">
        <v>7.0000000000000007E-2</v>
      </c>
      <c r="T54" s="42">
        <v>7.0000000000000007E-2</v>
      </c>
      <c r="U54" s="42">
        <v>7.0000000000000007E-2</v>
      </c>
      <c r="V54" s="42">
        <v>7.0000000000000007E-2</v>
      </c>
      <c r="W54" s="42">
        <v>7.0000000000000007E-2</v>
      </c>
      <c r="X54" s="42">
        <v>7.0000000000000007E-2</v>
      </c>
    </row>
    <row r="55" spans="2:24">
      <c r="B55" t="s">
        <v>475</v>
      </c>
      <c r="E55" s="81">
        <f>-E54*AVERAGE(E51,E48)</f>
        <v>-0.22303575</v>
      </c>
      <c r="F55" s="81">
        <f t="shared" ref="F55:X55" si="27">-F54*AVERAGE(F51,F48)</f>
        <v>-0.22816557225</v>
      </c>
      <c r="G55" s="81">
        <f t="shared" si="27"/>
        <v>-0.23341338041174997</v>
      </c>
      <c r="H55" s="81">
        <f t="shared" si="27"/>
        <v>-0.2387818881612202</v>
      </c>
      <c r="I55" s="81">
        <f t="shared" si="27"/>
        <v>-0.24427387158892824</v>
      </c>
      <c r="J55" s="81">
        <f t="shared" si="27"/>
        <v>-0.24989217063547361</v>
      </c>
      <c r="K55" s="81">
        <f t="shared" si="27"/>
        <v>-0.25563969056008945</v>
      </c>
      <c r="L55" s="81">
        <f t="shared" si="27"/>
        <v>-0.26151940344297148</v>
      </c>
      <c r="M55" s="81">
        <f t="shared" si="27"/>
        <v>-0.26753434972215984</v>
      </c>
      <c r="N55" s="81">
        <f t="shared" si="27"/>
        <v>-0.27368763976576949</v>
      </c>
      <c r="O55" s="81">
        <f t="shared" si="27"/>
        <v>-0.27998245548038214</v>
      </c>
      <c r="P55" s="81">
        <f t="shared" si="27"/>
        <v>-0.28642205195643083</v>
      </c>
      <c r="Q55" s="81">
        <f t="shared" si="27"/>
        <v>-0.29300975915142879</v>
      </c>
      <c r="R55" s="81">
        <f t="shared" si="27"/>
        <v>-0.2997489836119116</v>
      </c>
      <c r="S55" s="81">
        <f t="shared" si="27"/>
        <v>-0.30664321023498553</v>
      </c>
      <c r="T55" s="81">
        <f t="shared" si="27"/>
        <v>-0.31369600407039017</v>
      </c>
      <c r="U55" s="81">
        <f t="shared" si="27"/>
        <v>-0.32091101216400919</v>
      </c>
      <c r="V55" s="81">
        <f t="shared" si="27"/>
        <v>-0.32829196544378131</v>
      </c>
      <c r="W55" s="81">
        <f t="shared" si="27"/>
        <v>-0.33584268064898831</v>
      </c>
      <c r="X55" s="81">
        <f t="shared" si="27"/>
        <v>-0.34356706230391493</v>
      </c>
    </row>
    <row r="57" spans="2:24">
      <c r="B57" t="s">
        <v>493</v>
      </c>
      <c r="E57" s="6">
        <f>+D60</f>
        <v>0</v>
      </c>
      <c r="F57" s="6">
        <f t="shared" ref="F57:X57" si="28">+E60</f>
        <v>0</v>
      </c>
      <c r="G57" s="6">
        <f t="shared" si="28"/>
        <v>0</v>
      </c>
      <c r="H57" s="6">
        <f t="shared" si="28"/>
        <v>0</v>
      </c>
      <c r="I57" s="6">
        <f t="shared" si="28"/>
        <v>0</v>
      </c>
      <c r="J57" s="6">
        <f t="shared" si="28"/>
        <v>0</v>
      </c>
      <c r="K57" s="6">
        <f t="shared" si="28"/>
        <v>0</v>
      </c>
      <c r="L57" s="6">
        <f t="shared" si="28"/>
        <v>0</v>
      </c>
      <c r="M57" s="6">
        <f t="shared" si="28"/>
        <v>0</v>
      </c>
      <c r="N57" s="6">
        <f t="shared" si="28"/>
        <v>0</v>
      </c>
      <c r="O57" s="6">
        <f t="shared" si="28"/>
        <v>0</v>
      </c>
      <c r="P57" s="6">
        <f t="shared" si="28"/>
        <v>0</v>
      </c>
      <c r="Q57" s="6">
        <f t="shared" si="28"/>
        <v>0</v>
      </c>
      <c r="R57" s="6">
        <f t="shared" si="28"/>
        <v>0</v>
      </c>
      <c r="S57" s="6">
        <f t="shared" si="28"/>
        <v>0</v>
      </c>
      <c r="T57" s="6">
        <f t="shared" si="28"/>
        <v>0</v>
      </c>
      <c r="U57" s="6">
        <f t="shared" si="28"/>
        <v>0</v>
      </c>
      <c r="V57" s="6">
        <f t="shared" si="28"/>
        <v>0</v>
      </c>
      <c r="W57" s="6">
        <f t="shared" si="28"/>
        <v>0</v>
      </c>
      <c r="X57" s="6">
        <f t="shared" si="28"/>
        <v>0</v>
      </c>
    </row>
    <row r="58" spans="2:24">
      <c r="B58" s="61" t="s">
        <v>416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</row>
    <row r="59" spans="2:24">
      <c r="B59" s="61" t="s">
        <v>494</v>
      </c>
      <c r="E59" s="6">
        <f>IF(COUNTA($E$57:E57)=$C$61,-E57,0)</f>
        <v>0</v>
      </c>
      <c r="F59" s="6">
        <f>IF(COUNTA($E$57:F57)=$C$61,-F57,0)</f>
        <v>0</v>
      </c>
      <c r="G59" s="6">
        <f>IF(COUNTA($E$57:G57)=$C$61,-G57,0)</f>
        <v>0</v>
      </c>
      <c r="H59" s="6">
        <f>IF(COUNTA($E$57:H57)=$C$61,-H57,0)</f>
        <v>0</v>
      </c>
      <c r="I59" s="6">
        <f>IF(COUNTA($E$57:I57)=$C$61,-I57,0)</f>
        <v>0</v>
      </c>
      <c r="J59" s="6">
        <f>IF(COUNTA($E$57:J57)=$C$61,-J57,0)</f>
        <v>0</v>
      </c>
      <c r="K59" s="6">
        <f>IF(COUNTA($E$57:K57)=$C$61,-K57,0)</f>
        <v>0</v>
      </c>
      <c r="L59" s="6">
        <f>IF(COUNTA($E$57:L57)=$C$61,-L57,0)</f>
        <v>0</v>
      </c>
      <c r="M59" s="6">
        <f>IF(COUNTA($E$57:M57)=$C$61,-M57,0)</f>
        <v>0</v>
      </c>
      <c r="N59" s="6">
        <f>IF(COUNTA($E$57:N57)=$C$61,-N57,0)</f>
        <v>0</v>
      </c>
      <c r="O59" s="6">
        <f>IF(COUNTA($E$57:O57)=$C$61,-O57,0)</f>
        <v>0</v>
      </c>
      <c r="P59" s="6">
        <f>IF(COUNTA($E$57:P57)=$C$61,-P57,0)</f>
        <v>0</v>
      </c>
      <c r="Q59" s="6">
        <f>IF(COUNTA($E$57:Q57)=$C$61,-Q57,0)</f>
        <v>0</v>
      </c>
      <c r="R59" s="6">
        <f>IF(COUNTA($E$57:R57)=$C$61,-R57,0)</f>
        <v>0</v>
      </c>
      <c r="S59" s="6">
        <f>IF(COUNTA($E$57:S57)=$C$61,-S57,0)</f>
        <v>0</v>
      </c>
      <c r="T59" s="6">
        <f>IF(COUNTA($E$57:T57)=$C$61,-T57,0)</f>
        <v>0</v>
      </c>
      <c r="U59" s="6">
        <f>IF(COUNTA($E$57:U57)=$C$61,-U57,0)</f>
        <v>0</v>
      </c>
      <c r="V59" s="6">
        <f>IF(COUNTA($E$57:V57)=$C$61,-V57,0)</f>
        <v>0</v>
      </c>
      <c r="W59" s="6">
        <f>IF(COUNTA($E$57:W57)=$C$61,-W57,0)</f>
        <v>0</v>
      </c>
      <c r="X59" s="6">
        <f>IF(COUNTA($E$57:X57)=$C$61,-X57,0)</f>
        <v>0</v>
      </c>
    </row>
    <row r="60" spans="2:24">
      <c r="B60" s="2" t="s">
        <v>495</v>
      </c>
      <c r="C60" s="2"/>
      <c r="D60" s="247">
        <f>+C8</f>
        <v>0</v>
      </c>
      <c r="E60" s="7">
        <f>SUM(E57:E59)</f>
        <v>0</v>
      </c>
      <c r="F60" s="7">
        <f t="shared" ref="F60:X60" si="29">SUM(F57:F59)</f>
        <v>0</v>
      </c>
      <c r="G60" s="7">
        <f t="shared" si="29"/>
        <v>0</v>
      </c>
      <c r="H60" s="7">
        <f t="shared" si="29"/>
        <v>0</v>
      </c>
      <c r="I60" s="7">
        <f t="shared" si="29"/>
        <v>0</v>
      </c>
      <c r="J60" s="7">
        <f t="shared" si="29"/>
        <v>0</v>
      </c>
      <c r="K60" s="7">
        <f t="shared" si="29"/>
        <v>0</v>
      </c>
      <c r="L60" s="7">
        <f t="shared" si="29"/>
        <v>0</v>
      </c>
      <c r="M60" s="7">
        <f t="shared" si="29"/>
        <v>0</v>
      </c>
      <c r="N60" s="7">
        <f t="shared" si="29"/>
        <v>0</v>
      </c>
      <c r="O60" s="7">
        <f t="shared" si="29"/>
        <v>0</v>
      </c>
      <c r="P60" s="7">
        <f t="shared" si="29"/>
        <v>0</v>
      </c>
      <c r="Q60" s="7">
        <f t="shared" si="29"/>
        <v>0</v>
      </c>
      <c r="R60" s="7">
        <f t="shared" si="29"/>
        <v>0</v>
      </c>
      <c r="S60" s="7">
        <f t="shared" si="29"/>
        <v>0</v>
      </c>
      <c r="T60" s="7">
        <f t="shared" si="29"/>
        <v>0</v>
      </c>
      <c r="U60" s="7">
        <f t="shared" si="29"/>
        <v>0</v>
      </c>
      <c r="V60" s="7">
        <f t="shared" si="29"/>
        <v>0</v>
      </c>
      <c r="W60" s="7">
        <f t="shared" si="29"/>
        <v>0</v>
      </c>
      <c r="X60" s="7">
        <f t="shared" si="29"/>
        <v>0</v>
      </c>
    </row>
    <row r="61" spans="2:24">
      <c r="B61" t="s">
        <v>496</v>
      </c>
      <c r="C61" s="248">
        <v>5</v>
      </c>
    </row>
    <row r="62" spans="2:24">
      <c r="B62" t="s">
        <v>492</v>
      </c>
      <c r="D62" s="42">
        <v>7.0000000000000007E-2</v>
      </c>
      <c r="E62" s="42">
        <v>7.0000000000000007E-2</v>
      </c>
      <c r="F62" s="42">
        <v>7.0000000000000007E-2</v>
      </c>
      <c r="G62" s="42">
        <v>7.0000000000000007E-2</v>
      </c>
      <c r="H62" s="42">
        <v>7.0000000000000007E-2</v>
      </c>
      <c r="I62" s="42">
        <v>7.0000000000000007E-2</v>
      </c>
      <c r="J62" s="42">
        <v>7.0000000000000007E-2</v>
      </c>
      <c r="K62" s="42">
        <v>7.0000000000000007E-2</v>
      </c>
      <c r="L62" s="42">
        <v>7.0000000000000007E-2</v>
      </c>
      <c r="M62" s="42">
        <v>7.0000000000000007E-2</v>
      </c>
      <c r="N62" s="42">
        <v>7.0000000000000007E-2</v>
      </c>
      <c r="O62" s="42">
        <v>7.0000000000000007E-2</v>
      </c>
      <c r="P62" s="42">
        <v>7.0000000000000007E-2</v>
      </c>
      <c r="Q62" s="42">
        <v>7.0000000000000007E-2</v>
      </c>
      <c r="R62" s="42">
        <v>7.0000000000000007E-2</v>
      </c>
      <c r="S62" s="42">
        <v>7.0000000000000007E-2</v>
      </c>
      <c r="T62" s="42">
        <v>7.0000000000000007E-2</v>
      </c>
      <c r="U62" s="42">
        <v>7.0000000000000007E-2</v>
      </c>
      <c r="V62" s="42">
        <v>7.0000000000000007E-2</v>
      </c>
      <c r="W62" s="42">
        <v>7.0000000000000007E-2</v>
      </c>
      <c r="X62" s="42">
        <v>7.0000000000000007E-2</v>
      </c>
    </row>
    <row r="63" spans="2:24">
      <c r="B63" t="s">
        <v>475</v>
      </c>
      <c r="E63" s="81">
        <f>-E62*AVERAGE(E60,E57)</f>
        <v>0</v>
      </c>
      <c r="F63" s="81">
        <f t="shared" ref="F63:X63" si="30">-F62*AVERAGE(F60,F57)</f>
        <v>0</v>
      </c>
      <c r="G63" s="81">
        <f t="shared" si="30"/>
        <v>0</v>
      </c>
      <c r="H63" s="81">
        <f t="shared" si="30"/>
        <v>0</v>
      </c>
      <c r="I63" s="81">
        <f t="shared" si="30"/>
        <v>0</v>
      </c>
      <c r="J63" s="81">
        <f t="shared" si="30"/>
        <v>0</v>
      </c>
      <c r="K63" s="81">
        <f t="shared" si="30"/>
        <v>0</v>
      </c>
      <c r="L63" s="81">
        <f t="shared" si="30"/>
        <v>0</v>
      </c>
      <c r="M63" s="81">
        <f t="shared" si="30"/>
        <v>0</v>
      </c>
      <c r="N63" s="81">
        <f t="shared" si="30"/>
        <v>0</v>
      </c>
      <c r="O63" s="81">
        <f t="shared" si="30"/>
        <v>0</v>
      </c>
      <c r="P63" s="81">
        <f t="shared" si="30"/>
        <v>0</v>
      </c>
      <c r="Q63" s="81">
        <f t="shared" si="30"/>
        <v>0</v>
      </c>
      <c r="R63" s="81">
        <f t="shared" si="30"/>
        <v>0</v>
      </c>
      <c r="S63" s="81">
        <f t="shared" si="30"/>
        <v>0</v>
      </c>
      <c r="T63" s="81">
        <f t="shared" si="30"/>
        <v>0</v>
      </c>
      <c r="U63" s="81">
        <f t="shared" si="30"/>
        <v>0</v>
      </c>
      <c r="V63" s="81">
        <f t="shared" si="30"/>
        <v>0</v>
      </c>
      <c r="W63" s="81">
        <f t="shared" si="30"/>
        <v>0</v>
      </c>
      <c r="X63" s="81">
        <f t="shared" si="30"/>
        <v>0</v>
      </c>
    </row>
    <row r="66" spans="2:24">
      <c r="B66" s="245" t="s">
        <v>497</v>
      </c>
      <c r="C66" s="142"/>
      <c r="D66" s="142"/>
      <c r="E66" s="245">
        <v>2023</v>
      </c>
      <c r="F66" s="245">
        <f>+E66+1</f>
        <v>2024</v>
      </c>
      <c r="G66" s="245">
        <f t="shared" ref="G66:O66" si="31">+F66+1</f>
        <v>2025</v>
      </c>
      <c r="H66" s="245">
        <f t="shared" si="31"/>
        <v>2026</v>
      </c>
      <c r="I66" s="245">
        <f t="shared" si="31"/>
        <v>2027</v>
      </c>
      <c r="J66" s="245">
        <f t="shared" si="31"/>
        <v>2028</v>
      </c>
      <c r="K66" s="245">
        <f t="shared" si="31"/>
        <v>2029</v>
      </c>
      <c r="L66" s="245">
        <f t="shared" si="31"/>
        <v>2030</v>
      </c>
      <c r="M66" s="245">
        <f t="shared" si="31"/>
        <v>2031</v>
      </c>
      <c r="N66" s="245">
        <f t="shared" si="31"/>
        <v>2032</v>
      </c>
      <c r="O66" s="245">
        <f t="shared" si="31"/>
        <v>2033</v>
      </c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>
      <c r="B67" t="s">
        <v>241</v>
      </c>
      <c r="E67" s="86">
        <f>+Model!AD80</f>
        <v>1.3</v>
      </c>
      <c r="F67" s="86">
        <f>+Model!AE80</f>
        <v>1.325</v>
      </c>
      <c r="G67" s="86">
        <f>+Model!AF80</f>
        <v>1.3474999999999999</v>
      </c>
      <c r="H67" s="86">
        <f>+Model!AG80</f>
        <v>1.3699999999999999</v>
      </c>
      <c r="I67" s="86">
        <f>+Model!AH80</f>
        <v>1.39</v>
      </c>
      <c r="J67" s="86">
        <f>+Model!AI80</f>
        <v>1.41</v>
      </c>
      <c r="K67" s="86">
        <f>+Model!AJ80</f>
        <v>1.4249999999999998</v>
      </c>
      <c r="L67" s="86">
        <f>+Model!AK80</f>
        <v>1.4399999999999997</v>
      </c>
      <c r="M67" s="86">
        <f>+Model!AL80</f>
        <v>1.4524999999999997</v>
      </c>
      <c r="N67" s="86">
        <f>+Model!AM80</f>
        <v>1.4649999999999996</v>
      </c>
      <c r="O67" s="86">
        <f>+Model!AN80</f>
        <v>1.4649999999999996</v>
      </c>
    </row>
    <row r="68" spans="2:24">
      <c r="B68" t="s">
        <v>478</v>
      </c>
      <c r="D68" s="12">
        <f>+C29</f>
        <v>0.23328770215289785</v>
      </c>
      <c r="E68" s="1">
        <f t="dataTable" ref="E68:O68" dt2D="0" dtr="1" r1="C4"/>
        <v>0.18809001756966048</v>
      </c>
      <c r="F68" s="1">
        <v>0.1843906710559815</v>
      </c>
      <c r="G68" s="1">
        <v>0.18116107922449309</v>
      </c>
      <c r="H68" s="1">
        <v>0.17802132956809968</v>
      </c>
      <c r="I68" s="1">
        <v>0.17530242120936257</v>
      </c>
      <c r="J68" s="1">
        <v>0.1726483320480019</v>
      </c>
      <c r="K68" s="1">
        <v>0.1706987048310209</v>
      </c>
      <c r="L68" s="1">
        <v>0.1687829843541353</v>
      </c>
      <c r="M68" s="1">
        <v>0.16721171577094474</v>
      </c>
      <c r="N68" s="1">
        <v>0.16566271870355287</v>
      </c>
      <c r="O68" s="1">
        <v>0.16566271870355287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DCF</vt:lpstr>
      <vt:lpstr>Model</vt:lpstr>
      <vt:lpstr>Regression Analysis</vt:lpstr>
      <vt:lpstr>Multiple to IRR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2023-01-19T20:19:22Z</dcterms:modified>
</cp:coreProperties>
</file>