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nor\Documents\The10thMan\CTS\"/>
    </mc:Choice>
  </mc:AlternateContent>
  <xr:revisionPtr revIDLastSave="0" documentId="13_ncr:1_{B184463E-B294-4065-AAFF-B1CDEFE58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CF" sheetId="22" r:id="rId1"/>
    <sheet name="_CIQHiddenCacheSheet" sheetId="245" state="veryHidden" r:id="rId2"/>
    <sheet name="Model" sheetId="43" r:id="rId3"/>
    <sheet name="QRT" sheetId="252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GRAPH1" hidden="1">[1]ROE!#REF!</definedName>
    <definedName name="__FDS_HYPERLINK_TOGGLE_STATE__" hidden="1">"ON"</definedName>
    <definedName name="_Fill" hidden="1">#REF!</definedName>
    <definedName name="_xlnm._FilterDatabase" localSheetId="0" hidden="1">DCF!$B$89</definedName>
    <definedName name="_xlnm._FilterDatabase" localSheetId="2" hidden="1">Model!#REF!</definedName>
    <definedName name="_xlnm._FilterDatabase" localSheetId="3" hidden="1">QRT!#REF!</definedName>
    <definedName name="_Key1" hidden="1">#REF!</definedName>
    <definedName name="_Order1" hidden="1">0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CIQWBGuid" localSheetId="0" hidden="1">"ddb1e6c7-4c75-49bf-a966-d33940e1cd5a"</definedName>
    <definedName name="CIQWBGuid" localSheetId="2" hidden="1">"93109f73-ce43-46f2-baa0-f90921c844ea"</definedName>
    <definedName name="CIQWBGuid" localSheetId="3" hidden="1">"93109f73-ce43-46f2-baa0-f90921c844ea"</definedName>
    <definedName name="CIQWBGuid" hidden="1">"ddb1e6c7-4c75-49bf-a966-d33940e1cd5a"</definedName>
    <definedName name="dgf" hidden="1">#REF!</definedName>
    <definedName name="IQ_ADDIN" hidden="1">"AUTO"</definedName>
    <definedName name="IQ_AVG_PRICE_TARGET" hidden="1">"c82"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STDDEV_EST_REUT" hidden="1">"c5408"</definedName>
    <definedName name="IQ_BV_STDDEV_EST_THOM" hidden="1">"c5152"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ST_ACT_BV_REUT" hidden="1">"c5409"</definedName>
    <definedName name="IQ_EST_ACT_BV_THOM" hidden="1">"c5153"</definedName>
    <definedName name="IQ_EST_ACT_EPS_PRIMARY" hidden="1">"c2232"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EPS_SURPRISE" hidden="1">"c1635"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XPENSE_CODE_" hidden="1">"test"</definedName>
    <definedName name="IQ_FH">100000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44052.1032407407</definedName>
    <definedName name="IQ_NAV_ACT_OR_EST" hidden="1">"c2225"</definedName>
    <definedName name="IQ_NTM">6000</definedName>
    <definedName name="IQ_OG_TOTAL_OIL_PRODUCTON" hidden="1">"c2059"</definedName>
    <definedName name="IQ_OPENED55" hidden="1">1</definedName>
    <definedName name="IQ_PRIMARY_EPS_TYPE_THOM" hidden="1">"c5297"</definedName>
    <definedName name="IQ_QTD" hidden="1">750000</definedName>
    <definedName name="IQ_SHAREOUTSTANDING" hidden="1">"c1347"</definedName>
    <definedName name="IQ_TODAY" hidden="1">0</definedName>
    <definedName name="IQ_TOTAL_PENSION_OBLIGATION" hidden="1">"c1292"</definedName>
    <definedName name="IQ_WEEK">50000</definedName>
    <definedName name="IQ_YTD">3000</definedName>
    <definedName name="IQ_YTDMONTH" hidden="1">130000</definedName>
    <definedName name="IQRDCF2BS12" hidden="1">[2]Segments!#REF!</definedName>
    <definedName name="IQRDCF2CA12" hidden="1">[2]Segments!#REF!</definedName>
    <definedName name="IQRDCF2X164" hidden="1">[2]Segments!#REF!</definedName>
    <definedName name="IQRDCFAG29" hidden="1">[2]DCF!#REF!</definedName>
    <definedName name="IQRDCFAG30" hidden="1">[2]DCF!#REF!</definedName>
    <definedName name="IQRDCFAG6" hidden="1">[2]DCF!#REF!</definedName>
    <definedName name="IQRDCFAH6" hidden="1">[2]DCF!#REF!</definedName>
    <definedName name="IQRDCFAJ6" hidden="1">[2]DCF!#REF!</definedName>
    <definedName name="IQRDCFBS12" hidden="1">[3]DCF!$BS$13:$BS$124</definedName>
    <definedName name="IQRDCFCA12" hidden="1">[3]DCF!$CA$13:$CA$141</definedName>
    <definedName name="IQRDCFX168" hidden="1">[3]DCF!$X$169</definedName>
    <definedName name="IQRDCFX169" hidden="1">[4]DCF!$X$170</definedName>
    <definedName name="IQRDCFX173" hidden="1">[5]DCF!$X$174</definedName>
    <definedName name="IQRDebtA3" hidden="1">[3]Debt!$A$4:$A$115</definedName>
    <definedName name="IQRM13" hidden="1">"$M$14:$M$133"</definedName>
    <definedName name="IQROwnershipA12" hidden="1">[6]Ownership!$A$13:$A$112</definedName>
    <definedName name="IQROwnershipB12" hidden="1">[6]Ownership!$B$13:$B$112</definedName>
    <definedName name="IQROwnershipJ12" hidden="1">[6]Ownership!$J$13:$J$112</definedName>
    <definedName name="IQROwnershipK12" hidden="1">[6]Ownership!$K$13:$K$112</definedName>
    <definedName name="IQROwnershipM12" hidden="1">[6]Ownership!$M$13:$M$112</definedName>
    <definedName name="IQROwnershipO12" hidden="1">[6]Ownership!$O$13:$O$112</definedName>
    <definedName name="IQRPriceTargetGridBJ2" hidden="1">#REF!</definedName>
    <definedName name="IQRPriceTargetGridBN2" hidden="1">#REF!</definedName>
    <definedName name="IQRPriceTargetGridBP2" hidden="1">#REF!</definedName>
    <definedName name="IQRPriceTargetGridBR2" hidden="1">#REF!</definedName>
    <definedName name="IQRPriceTargetGridG10" hidden="1">#REF!</definedName>
    <definedName name="IQRPriceTargetGridG100" hidden="1">#REF!</definedName>
    <definedName name="IQRPriceTargetGridG101" hidden="1">#REF!</definedName>
    <definedName name="IQRPriceTargetGridG102" hidden="1">#REF!</definedName>
    <definedName name="IQRPriceTargetGridG103" hidden="1">#REF!</definedName>
    <definedName name="IQRPriceTargetGridG104" hidden="1">#REF!</definedName>
    <definedName name="IQRPriceTargetGridG105" hidden="1">#REF!</definedName>
    <definedName name="IQRPriceTargetGridG106" hidden="1">#REF!</definedName>
    <definedName name="IQRPriceTargetGridG107" hidden="1">#REF!</definedName>
    <definedName name="IQRPriceTargetGridG108" hidden="1">#REF!</definedName>
    <definedName name="IQRPriceTargetGridG109" hidden="1">#REF!</definedName>
    <definedName name="IQRPriceTargetGridG11" hidden="1">#REF!</definedName>
    <definedName name="IQRPriceTargetGridG110" hidden="1">#REF!</definedName>
    <definedName name="IQRPriceTargetGridG111" hidden="1">#REF!</definedName>
    <definedName name="IQRPriceTargetGridG112" hidden="1">#REF!</definedName>
    <definedName name="IQRPriceTargetGridG113" hidden="1">#REF!</definedName>
    <definedName name="IQRPriceTargetGridG114" hidden="1">#REF!</definedName>
    <definedName name="IQRPriceTargetGridG115" hidden="1">#REF!</definedName>
    <definedName name="IQRPriceTargetGridG116" hidden="1">#REF!</definedName>
    <definedName name="IQRPriceTargetGridG117" hidden="1">#REF!</definedName>
    <definedName name="IQRPriceTargetGridG118" hidden="1">#REF!</definedName>
    <definedName name="IQRPriceTargetGridG119" hidden="1">#REF!</definedName>
    <definedName name="IQRPriceTargetGridG12" hidden="1">#REF!</definedName>
    <definedName name="IQRPriceTargetGridG120" hidden="1">#REF!</definedName>
    <definedName name="IQRPriceTargetGridG121" hidden="1">#REF!</definedName>
    <definedName name="IQRPriceTargetGridG122" hidden="1">#REF!</definedName>
    <definedName name="IQRPriceTargetGridG123" hidden="1">#REF!</definedName>
    <definedName name="IQRPriceTargetGridG124" hidden="1">#REF!</definedName>
    <definedName name="IQRPriceTargetGridG13" hidden="1">#REF!</definedName>
    <definedName name="IQRPriceTargetGridG14" hidden="1">#REF!</definedName>
    <definedName name="IQRPriceTargetGridG15" hidden="1">#REF!</definedName>
    <definedName name="IQRPriceTargetGridG16" hidden="1">#REF!</definedName>
    <definedName name="IQRPriceTargetGridG18" hidden="1">#REF!</definedName>
    <definedName name="IQRPriceTargetGridG19" hidden="1">#REF!</definedName>
    <definedName name="IQRPriceTargetGridG20" hidden="1">#REF!</definedName>
    <definedName name="IQRPriceTargetGridG21" hidden="1">#REF!</definedName>
    <definedName name="IQRPriceTargetGridG22" hidden="1">#REF!</definedName>
    <definedName name="IQRPriceTargetGridG25" hidden="1">#REF!</definedName>
    <definedName name="IQRPriceTargetGridG26" hidden="1">#REF!</definedName>
    <definedName name="IQRPriceTargetGridG27" hidden="1">#REF!</definedName>
    <definedName name="IQRPriceTargetGridG28" hidden="1">#REF!</definedName>
    <definedName name="IQRPriceTargetGridG29" hidden="1">#REF!</definedName>
    <definedName name="IQRPriceTargetGridG3" hidden="1">#REF!</definedName>
    <definedName name="IQRPriceTargetGridG30" hidden="1">#REF!</definedName>
    <definedName name="IQRPriceTargetGridG31" hidden="1">#REF!</definedName>
    <definedName name="IQRPriceTargetGridG32" hidden="1">#REF!</definedName>
    <definedName name="IQRPriceTargetGridG33" hidden="1">#REF!</definedName>
    <definedName name="IQRPriceTargetGridG34" hidden="1">#REF!</definedName>
    <definedName name="IQRPriceTargetGridG35" hidden="1">#REF!</definedName>
    <definedName name="IQRPriceTargetGridG36" hidden="1">#REF!</definedName>
    <definedName name="IQRPriceTargetGridG37" hidden="1">#REF!</definedName>
    <definedName name="IQRPriceTargetGridG38" hidden="1">#REF!</definedName>
    <definedName name="IQRPriceTargetGridG4" hidden="1">#REF!</definedName>
    <definedName name="IQRPriceTargetGridG42" hidden="1">#REF!</definedName>
    <definedName name="IQRPriceTargetGridG43" hidden="1">#REF!</definedName>
    <definedName name="IQRPriceTargetGridG44" hidden="1">#REF!</definedName>
    <definedName name="IQRPriceTargetGridG45" hidden="1">#REF!</definedName>
    <definedName name="IQRPriceTargetGridG46" hidden="1">#REF!</definedName>
    <definedName name="IQRPriceTargetGridG47" hidden="1">#REF!</definedName>
    <definedName name="IQRPriceTargetGridG48" hidden="1">#REF!</definedName>
    <definedName name="IQRPriceTargetGridG49" hidden="1">#REF!</definedName>
    <definedName name="IQRPriceTargetGridG5" hidden="1">#REF!</definedName>
    <definedName name="IQRPriceTargetGridG51" hidden="1">#REF!</definedName>
    <definedName name="IQRPriceTargetGridG52" hidden="1">#REF!</definedName>
    <definedName name="IQRPriceTargetGridG53" hidden="1">#REF!</definedName>
    <definedName name="IQRPriceTargetGridG54" hidden="1">#REF!</definedName>
    <definedName name="IQRPriceTargetGridG55" hidden="1">#REF!</definedName>
    <definedName name="IQRPriceTargetGridG56" hidden="1">#REF!</definedName>
    <definedName name="IQRPriceTargetGridG57" hidden="1">#REF!</definedName>
    <definedName name="IQRPriceTargetGridG58" hidden="1">#REF!</definedName>
    <definedName name="IQRPriceTargetGridG59" hidden="1">#REF!</definedName>
    <definedName name="IQRPriceTargetGridG6" hidden="1">#REF!</definedName>
    <definedName name="IQRPriceTargetGridG60" hidden="1">#REF!</definedName>
    <definedName name="IQRPriceTargetGridG61" hidden="1">#REF!</definedName>
    <definedName name="IQRPriceTargetGridG62" hidden="1">#REF!</definedName>
    <definedName name="IQRPriceTargetGridG63" hidden="1">#REF!</definedName>
    <definedName name="IQRPriceTargetGridG64" hidden="1">#REF!</definedName>
    <definedName name="IQRPriceTargetGridG65" hidden="1">#REF!</definedName>
    <definedName name="IQRPriceTargetGridG66" hidden="1">#REF!</definedName>
    <definedName name="IQRPriceTargetGridG67" hidden="1">#REF!</definedName>
    <definedName name="IQRPriceTargetGridG68" hidden="1">#REF!</definedName>
    <definedName name="IQRPriceTargetGridG69" hidden="1">#REF!</definedName>
    <definedName name="IQRPriceTargetGridG7" hidden="1">#REF!</definedName>
    <definedName name="IQRPriceTargetGridG70" hidden="1">#REF!</definedName>
    <definedName name="IQRPriceTargetGridG71" hidden="1">#REF!</definedName>
    <definedName name="IQRPriceTargetGridG72" hidden="1">#REF!</definedName>
    <definedName name="IQRPriceTargetGridG73" hidden="1">#REF!</definedName>
    <definedName name="IQRPriceTargetGridG74" hidden="1">#REF!</definedName>
    <definedName name="IQRPriceTargetGridG75" hidden="1">#REF!</definedName>
    <definedName name="IQRPriceTargetGridG76" hidden="1">#REF!</definedName>
    <definedName name="IQRPriceTargetGridG77" hidden="1">#REF!</definedName>
    <definedName name="IQRPriceTargetGridG78" hidden="1">#REF!</definedName>
    <definedName name="IQRPriceTargetGridG79" hidden="1">#REF!</definedName>
    <definedName name="IQRPriceTargetGridG8" hidden="1">#REF!</definedName>
    <definedName name="IQRPriceTargetGridG80" hidden="1">#REF!</definedName>
    <definedName name="IQRPriceTargetGridG81" hidden="1">#REF!</definedName>
    <definedName name="IQRPriceTargetGridG82" hidden="1">#REF!</definedName>
    <definedName name="IQRPriceTargetGridG83" hidden="1">#REF!</definedName>
    <definedName name="IQRPriceTargetGridG84" hidden="1">#REF!</definedName>
    <definedName name="IQRPriceTargetGridG85" hidden="1">#REF!</definedName>
    <definedName name="IQRPriceTargetGridG86" hidden="1">#REF!</definedName>
    <definedName name="IQRPriceTargetGridG87" hidden="1">#REF!</definedName>
    <definedName name="IQRPriceTargetGridG88" hidden="1">#REF!</definedName>
    <definedName name="IQRPriceTargetGridG89" hidden="1">#REF!</definedName>
    <definedName name="IQRPriceTargetGridG9" hidden="1">#REF!</definedName>
    <definedName name="IQRPriceTargetGridG90" hidden="1">#REF!</definedName>
    <definedName name="IQRPriceTargetGridG91" hidden="1">#REF!</definedName>
    <definedName name="IQRPriceTargetGridG92" hidden="1">#REF!</definedName>
    <definedName name="IQRPriceTargetGridG93" hidden="1">#REF!</definedName>
    <definedName name="IQRPriceTargetGridG94" hidden="1">#REF!</definedName>
    <definedName name="IQRPriceTargetGridG95" hidden="1">#REF!</definedName>
    <definedName name="IQRPriceTargetGridG96" hidden="1">#REF!</definedName>
    <definedName name="IQRPriceTargetGridG97" hidden="1">#REF!</definedName>
    <definedName name="IQRPriceTargetGridG98" hidden="1">#REF!</definedName>
    <definedName name="IQRPriceTargetGridG99" hidden="1">#REF!</definedName>
    <definedName name="IQRPriceTargetGridH10" hidden="1">#REF!</definedName>
    <definedName name="IQRPriceTargetGridH100" hidden="1">#REF!</definedName>
    <definedName name="IQRPriceTargetGridH101" hidden="1">#REF!</definedName>
    <definedName name="IQRPriceTargetGridH102" hidden="1">#REF!</definedName>
    <definedName name="IQRPriceTargetGridH103" hidden="1">#REF!</definedName>
    <definedName name="IQRPriceTargetGridH104" hidden="1">#REF!</definedName>
    <definedName name="IQRPriceTargetGridH105" hidden="1">#REF!</definedName>
    <definedName name="IQRPriceTargetGridH106" hidden="1">#REF!</definedName>
    <definedName name="IQRPriceTargetGridH107" hidden="1">#REF!</definedName>
    <definedName name="IQRPriceTargetGridH108" hidden="1">#REF!</definedName>
    <definedName name="IQRPriceTargetGridH109" hidden="1">#REF!</definedName>
    <definedName name="IQRPriceTargetGridH11" hidden="1">#REF!</definedName>
    <definedName name="IQRPriceTargetGridH110" hidden="1">#REF!</definedName>
    <definedName name="IQRPriceTargetGridH111" hidden="1">#REF!</definedName>
    <definedName name="IQRPriceTargetGridH112" hidden="1">#REF!</definedName>
    <definedName name="IQRPriceTargetGridH113" hidden="1">#REF!</definedName>
    <definedName name="IQRPriceTargetGridH114" hidden="1">#REF!</definedName>
    <definedName name="IQRPriceTargetGridH115" hidden="1">#REF!</definedName>
    <definedName name="IQRPriceTargetGridH116" hidden="1">#REF!</definedName>
    <definedName name="IQRPriceTargetGridH117" hidden="1">#REF!</definedName>
    <definedName name="IQRPriceTargetGridH118" hidden="1">#REF!</definedName>
    <definedName name="IQRPriceTargetGridH119" hidden="1">#REF!</definedName>
    <definedName name="IQRPriceTargetGridH12" hidden="1">#REF!</definedName>
    <definedName name="IQRPriceTargetGridH120" hidden="1">#REF!</definedName>
    <definedName name="IQRPriceTargetGridH13" hidden="1">#REF!</definedName>
    <definedName name="IQRPriceTargetGridH14" hidden="1">#REF!</definedName>
    <definedName name="IQRPriceTargetGridH15" hidden="1">#REF!</definedName>
    <definedName name="IQRPriceTargetGridH16" hidden="1">#REF!</definedName>
    <definedName name="IQRPriceTargetGridH17" hidden="1">#REF!</definedName>
    <definedName name="IQRPriceTargetGridH18" hidden="1">#REF!</definedName>
    <definedName name="IQRPriceTargetGridH19" hidden="1">#REF!</definedName>
    <definedName name="IQRPriceTargetGridH2" hidden="1">#REF!</definedName>
    <definedName name="IQRPriceTargetGridH20" hidden="1">#REF!</definedName>
    <definedName name="IQRPriceTargetGridH21" hidden="1">#REF!</definedName>
    <definedName name="IQRPriceTargetGridH22" hidden="1">#REF!</definedName>
    <definedName name="IQRPriceTargetGridH23" hidden="1">#REF!</definedName>
    <definedName name="IQRPriceTargetGridH24" hidden="1">#REF!</definedName>
    <definedName name="IQRPriceTargetGridH25" hidden="1">#REF!</definedName>
    <definedName name="IQRPriceTargetGridH26" hidden="1">#REF!</definedName>
    <definedName name="IQRPriceTargetGridH27" hidden="1">#REF!</definedName>
    <definedName name="IQRPriceTargetGridH28" hidden="1">#REF!</definedName>
    <definedName name="IQRPriceTargetGridH29" hidden="1">#REF!</definedName>
    <definedName name="IQRPriceTargetGridH3" hidden="1">#REF!</definedName>
    <definedName name="IQRPriceTargetGridH30" hidden="1">#REF!</definedName>
    <definedName name="IQRPriceTargetGridH31" hidden="1">#REF!</definedName>
    <definedName name="IQRPriceTargetGridH32" hidden="1">#REF!</definedName>
    <definedName name="IQRPriceTargetGridH33" hidden="1">#REF!</definedName>
    <definedName name="IQRPriceTargetGridH34" hidden="1">#REF!</definedName>
    <definedName name="IQRPriceTargetGridH35" hidden="1">#REF!</definedName>
    <definedName name="IQRPriceTargetGridH36" hidden="1">#REF!</definedName>
    <definedName name="IQRPriceTargetGridH37" hidden="1">#REF!</definedName>
    <definedName name="IQRPriceTargetGridH38" hidden="1">#REF!</definedName>
    <definedName name="IQRPriceTargetGridH39" hidden="1">#REF!</definedName>
    <definedName name="IQRPriceTargetGridH4" hidden="1">#REF!</definedName>
    <definedName name="IQRPriceTargetGridH40" hidden="1">#REF!</definedName>
    <definedName name="IQRPriceTargetGridH41" hidden="1">#REF!</definedName>
    <definedName name="IQRPriceTargetGridH42" hidden="1">#REF!</definedName>
    <definedName name="IQRPriceTargetGridH43" hidden="1">#REF!</definedName>
    <definedName name="IQRPriceTargetGridH44" hidden="1">#REF!</definedName>
    <definedName name="IQRPriceTargetGridH45" hidden="1">#REF!</definedName>
    <definedName name="IQRPriceTargetGridH46" hidden="1">#REF!</definedName>
    <definedName name="IQRPriceTargetGridH47" hidden="1">#REF!</definedName>
    <definedName name="IQRPriceTargetGridH48" hidden="1">#REF!</definedName>
    <definedName name="IQRPriceTargetGridH49" hidden="1">#REF!</definedName>
    <definedName name="IQRPriceTargetGridH5" hidden="1">#REF!</definedName>
    <definedName name="IQRPriceTargetGridH50" hidden="1">#REF!</definedName>
    <definedName name="IQRPriceTargetGridH51" hidden="1">#REF!</definedName>
    <definedName name="IQRPriceTargetGridH52" hidden="1">#REF!</definedName>
    <definedName name="IQRPriceTargetGridH53" hidden="1">#REF!</definedName>
    <definedName name="IQRPriceTargetGridH54" hidden="1">#REF!</definedName>
    <definedName name="IQRPriceTargetGridH55" hidden="1">#REF!</definedName>
    <definedName name="IQRPriceTargetGridH56" hidden="1">#REF!</definedName>
    <definedName name="IQRPriceTargetGridH57" hidden="1">#REF!</definedName>
    <definedName name="IQRPriceTargetGridH58" hidden="1">#REF!</definedName>
    <definedName name="IQRPriceTargetGridH59" hidden="1">#REF!</definedName>
    <definedName name="IQRPriceTargetGridH6" hidden="1">#REF!</definedName>
    <definedName name="IQRPriceTargetGridH60" hidden="1">#REF!</definedName>
    <definedName name="IQRPriceTargetGridH61" hidden="1">#REF!</definedName>
    <definedName name="IQRPriceTargetGridH62" hidden="1">#REF!</definedName>
    <definedName name="IQRPriceTargetGridH63" hidden="1">#REF!</definedName>
    <definedName name="IQRPriceTargetGridH64" hidden="1">#REF!</definedName>
    <definedName name="IQRPriceTargetGridH65" hidden="1">#REF!</definedName>
    <definedName name="IQRPriceTargetGridH66" hidden="1">#REF!</definedName>
    <definedName name="IQRPriceTargetGridH67" hidden="1">#REF!</definedName>
    <definedName name="IQRPriceTargetGridH68" hidden="1">#REF!</definedName>
    <definedName name="IQRPriceTargetGridH69" hidden="1">#REF!</definedName>
    <definedName name="IQRPriceTargetGridH7" hidden="1">#REF!</definedName>
    <definedName name="IQRPriceTargetGridH70" hidden="1">#REF!</definedName>
    <definedName name="IQRPriceTargetGridH71" hidden="1">#REF!</definedName>
    <definedName name="IQRPriceTargetGridH72" hidden="1">#REF!</definedName>
    <definedName name="IQRPriceTargetGridH73" hidden="1">#REF!</definedName>
    <definedName name="IQRPriceTargetGridH74" hidden="1">#REF!</definedName>
    <definedName name="IQRPriceTargetGridH75" hidden="1">#REF!</definedName>
    <definedName name="IQRPriceTargetGridH76" hidden="1">#REF!</definedName>
    <definedName name="IQRPriceTargetGridH77" hidden="1">#REF!</definedName>
    <definedName name="IQRPriceTargetGridH78" hidden="1">#REF!</definedName>
    <definedName name="IQRPriceTargetGridH79" hidden="1">#REF!</definedName>
    <definedName name="IQRPriceTargetGridH8" hidden="1">#REF!</definedName>
    <definedName name="IQRPriceTargetGridH80" hidden="1">#REF!</definedName>
    <definedName name="IQRPriceTargetGridH81" hidden="1">#REF!</definedName>
    <definedName name="IQRPriceTargetGridH82" hidden="1">#REF!</definedName>
    <definedName name="IQRPriceTargetGridH83" hidden="1">#REF!</definedName>
    <definedName name="IQRPriceTargetGridH84" hidden="1">#REF!</definedName>
    <definedName name="IQRPriceTargetGridH85" hidden="1">#REF!</definedName>
    <definedName name="IQRPriceTargetGridH86" hidden="1">#REF!</definedName>
    <definedName name="IQRPriceTargetGridH87" hidden="1">#REF!</definedName>
    <definedName name="IQRPriceTargetGridH88" hidden="1">#REF!</definedName>
    <definedName name="IQRPriceTargetGridH89" hidden="1">#REF!</definedName>
    <definedName name="IQRPriceTargetGridH9" hidden="1">#REF!</definedName>
    <definedName name="IQRPriceTargetGridH90" hidden="1">#REF!</definedName>
    <definedName name="IQRPriceTargetGridH91" hidden="1">#REF!</definedName>
    <definedName name="IQRPriceTargetGridH92" hidden="1">#REF!</definedName>
    <definedName name="IQRPriceTargetGridH93" hidden="1">#REF!</definedName>
    <definedName name="IQRPriceTargetGridH94" hidden="1">#REF!</definedName>
    <definedName name="IQRPriceTargetGridH95" hidden="1">#REF!</definedName>
    <definedName name="IQRPriceTargetGridH96" hidden="1">#REF!</definedName>
    <definedName name="IQRPriceTargetGridH97" hidden="1">#REF!</definedName>
    <definedName name="IQRPriceTargetGridH98" hidden="1">#REF!</definedName>
    <definedName name="IQRPriceTargetGridH99" hidden="1">#REF!</definedName>
    <definedName name="IQRPriceTargetGridO2" hidden="1">#REF!</definedName>
    <definedName name="IQRPriceTargetGridO3" hidden="1">#REF!</definedName>
    <definedName name="IQRPriceTargetGridO4" hidden="1">#REF!</definedName>
    <definedName name="IQRPriceTargetGridO5" hidden="1">#REF!</definedName>
    <definedName name="IQRPriceTargetGridO6" hidden="1">#REF!</definedName>
    <definedName name="IQRPriceTargetGridP10" hidden="1">#REF!</definedName>
    <definedName name="IQRPriceTargetGridP100" hidden="1">#REF!</definedName>
    <definedName name="IQRPriceTargetGridP101" hidden="1">#REF!</definedName>
    <definedName name="IQRPriceTargetGridP103" hidden="1">#REF!</definedName>
    <definedName name="IQRPriceTargetGridP104" hidden="1">#REF!</definedName>
    <definedName name="IQRPriceTargetGridP106" hidden="1">#REF!</definedName>
    <definedName name="IQRPriceTargetGridP107" hidden="1">#REF!</definedName>
    <definedName name="IQRPriceTargetGridP108" hidden="1">#REF!</definedName>
    <definedName name="IQRPriceTargetGridP109" hidden="1">#REF!</definedName>
    <definedName name="IQRPriceTargetGridP11" hidden="1">#REF!</definedName>
    <definedName name="IQRPriceTargetGridP110" hidden="1">#REF!</definedName>
    <definedName name="IQRPriceTargetGridP112" hidden="1">#REF!</definedName>
    <definedName name="IQRPriceTargetGridP113" hidden="1">#REF!</definedName>
    <definedName name="IQRPriceTargetGridP114" hidden="1">#REF!</definedName>
    <definedName name="IQRPriceTargetGridP115" hidden="1">#REF!</definedName>
    <definedName name="IQRPriceTargetGridP116" hidden="1">#REF!</definedName>
    <definedName name="IQRPriceTargetGridP117" hidden="1">#REF!</definedName>
    <definedName name="IQRPriceTargetGridP118" hidden="1">#REF!</definedName>
    <definedName name="IQRPriceTargetGridP119" hidden="1">#REF!</definedName>
    <definedName name="IQRPriceTargetGridP12" hidden="1">#REF!</definedName>
    <definedName name="IQRPriceTargetGridP120" hidden="1">#REF!</definedName>
    <definedName name="IQRPriceTargetGridP121" hidden="1">#REF!</definedName>
    <definedName name="IQRPriceTargetGridP122" hidden="1">#REF!</definedName>
    <definedName name="IQRPriceTargetGridP123" hidden="1">#REF!</definedName>
    <definedName name="IQRPriceTargetGridP124" hidden="1">#REF!</definedName>
    <definedName name="IQRPriceTargetGridP13" hidden="1">#REF!</definedName>
    <definedName name="IQRPriceTargetGridP14" hidden="1">#REF!</definedName>
    <definedName name="IQRPriceTargetGridP15" hidden="1">#REF!</definedName>
    <definedName name="IQRPriceTargetGridP18" hidden="1">#REF!</definedName>
    <definedName name="IQRPriceTargetGridP2" hidden="1">#REF!</definedName>
    <definedName name="IQRPriceTargetGridP20" hidden="1">#REF!</definedName>
    <definedName name="IQRPriceTargetGridP21" hidden="1">#REF!</definedName>
    <definedName name="IQRPriceTargetGridP25" hidden="1">#REF!</definedName>
    <definedName name="IQRPriceTargetGridP26" hidden="1">#REF!</definedName>
    <definedName name="IQRPriceTargetGridP27" hidden="1">#REF!</definedName>
    <definedName name="IQRPriceTargetGridP28" hidden="1">#REF!</definedName>
    <definedName name="IQRPriceTargetGridP29" hidden="1">#REF!</definedName>
    <definedName name="IQRPriceTargetGridP3" hidden="1">#REF!</definedName>
    <definedName name="IQRPriceTargetGridP30" hidden="1">#REF!</definedName>
    <definedName name="IQRPriceTargetGridP31" hidden="1">#REF!</definedName>
    <definedName name="IQRPriceTargetGridP32" hidden="1">#REF!</definedName>
    <definedName name="IQRPriceTargetGridP33" hidden="1">#REF!</definedName>
    <definedName name="IQRPriceTargetGridP34" hidden="1">#REF!</definedName>
    <definedName name="IQRPriceTargetGridP35" hidden="1">#REF!</definedName>
    <definedName name="IQRPriceTargetGridP36" hidden="1">#REF!</definedName>
    <definedName name="IQRPriceTargetGridP37" hidden="1">#REF!</definedName>
    <definedName name="IQRPriceTargetGridP38" hidden="1">#REF!</definedName>
    <definedName name="IQRPriceTargetGridP4" hidden="1">#REF!</definedName>
    <definedName name="IQRPriceTargetGridP42" hidden="1">#REF!</definedName>
    <definedName name="IQRPriceTargetGridP43" hidden="1">#REF!</definedName>
    <definedName name="IQRPriceTargetGridP44" hidden="1">#REF!</definedName>
    <definedName name="IQRPriceTargetGridP45" hidden="1">#REF!</definedName>
    <definedName name="IQRPriceTargetGridP46" hidden="1">#REF!</definedName>
    <definedName name="IQRPriceTargetGridP47" hidden="1">#REF!</definedName>
    <definedName name="IQRPriceTargetGridP48" hidden="1">#REF!</definedName>
    <definedName name="IQRPriceTargetGridP49" hidden="1">#REF!</definedName>
    <definedName name="IQRPriceTargetGridP5" hidden="1">#REF!</definedName>
    <definedName name="IQRPriceTargetGridP51" hidden="1">#REF!</definedName>
    <definedName name="IQRPriceTargetGridP52" hidden="1">#REF!</definedName>
    <definedName name="IQRPriceTargetGridP53" hidden="1">#REF!</definedName>
    <definedName name="IQRPriceTargetGridP55" hidden="1">#REF!</definedName>
    <definedName name="IQRPriceTargetGridP57" hidden="1">#REF!</definedName>
    <definedName name="IQRPriceTargetGridP59" hidden="1">#REF!</definedName>
    <definedName name="IQRPriceTargetGridP6" hidden="1">#REF!</definedName>
    <definedName name="IQRPriceTargetGridP60" hidden="1">#REF!</definedName>
    <definedName name="IQRPriceTargetGridP61" hidden="1">#REF!</definedName>
    <definedName name="IQRPriceTargetGridP62" hidden="1">#REF!</definedName>
    <definedName name="IQRPriceTargetGridP63" hidden="1">#REF!</definedName>
    <definedName name="IQRPriceTargetGridP64" hidden="1">#REF!</definedName>
    <definedName name="IQRPriceTargetGridP65" hidden="1">#REF!</definedName>
    <definedName name="IQRPriceTargetGridP66" hidden="1">#REF!</definedName>
    <definedName name="IQRPriceTargetGridP67" hidden="1">#REF!</definedName>
    <definedName name="IQRPriceTargetGridP68" hidden="1">#REF!</definedName>
    <definedName name="IQRPriceTargetGridP69" hidden="1">#REF!</definedName>
    <definedName name="IQRPriceTargetGridP7" hidden="1">#REF!</definedName>
    <definedName name="IQRPriceTargetGridP70" hidden="1">#REF!</definedName>
    <definedName name="IQRPriceTargetGridP71" hidden="1">#REF!</definedName>
    <definedName name="IQRPriceTargetGridP72" hidden="1">#REF!</definedName>
    <definedName name="IQRPriceTargetGridP73" hidden="1">#REF!</definedName>
    <definedName name="IQRPriceTargetGridP74" hidden="1">#REF!</definedName>
    <definedName name="IQRPriceTargetGridP75" hidden="1">#REF!</definedName>
    <definedName name="IQRPriceTargetGridP76" hidden="1">#REF!</definedName>
    <definedName name="IQRPriceTargetGridP77" hidden="1">#REF!</definedName>
    <definedName name="IQRPriceTargetGridP78" hidden="1">#REF!</definedName>
    <definedName name="IQRPriceTargetGridP79" hidden="1">#REF!</definedName>
    <definedName name="IQRPriceTargetGridP8" hidden="1">#REF!</definedName>
    <definedName name="IQRPriceTargetGridP80" hidden="1">#REF!</definedName>
    <definedName name="IQRPriceTargetGridP81" hidden="1">#REF!</definedName>
    <definedName name="IQRPriceTargetGridP82" hidden="1">#REF!</definedName>
    <definedName name="IQRPriceTargetGridP84" hidden="1">#REF!</definedName>
    <definedName name="IQRPriceTargetGridP85" hidden="1">#REF!</definedName>
    <definedName name="IQRPriceTargetGridP86" hidden="1">#REF!</definedName>
    <definedName name="IQRPriceTargetGridP87" hidden="1">#REF!</definedName>
    <definedName name="IQRPriceTargetGridP88" hidden="1">#REF!</definedName>
    <definedName name="IQRPriceTargetGridP89" hidden="1">#REF!</definedName>
    <definedName name="IQRPriceTargetGridP9" hidden="1">#REF!</definedName>
    <definedName name="IQRPriceTargetGridP90" hidden="1">#REF!</definedName>
    <definedName name="IQRPriceTargetGridP91" hidden="1">#REF!</definedName>
    <definedName name="IQRPriceTargetGridP92" hidden="1">#REF!</definedName>
    <definedName name="IQRPriceTargetGridP93" hidden="1">#REF!</definedName>
    <definedName name="IQRPriceTargetGridP94" hidden="1">#REF!</definedName>
    <definedName name="IQRPriceTargetGridP95" hidden="1">#REF!</definedName>
    <definedName name="IQRPriceTargetGridP96" hidden="1">#REF!</definedName>
    <definedName name="IQRPriceTargetGridP97" hidden="1">#REF!</definedName>
    <definedName name="IQRPriceTargetGridP98" hidden="1">#REF!</definedName>
    <definedName name="IQRPriceTargetGridP99" hidden="1">#REF!</definedName>
    <definedName name="IQRSheet1H10" hidden="1">#REF!</definedName>
    <definedName name="IQRSheet1H100" hidden="1">#REF!</definedName>
    <definedName name="IQRSheet1H101" hidden="1">#REF!</definedName>
    <definedName name="IQRSheet1H102" hidden="1">#REF!</definedName>
    <definedName name="IQRSheet1H103" hidden="1">#REF!</definedName>
    <definedName name="IQRSheet1H104" hidden="1">#REF!</definedName>
    <definedName name="IQRSheet1H105" hidden="1">#REF!</definedName>
    <definedName name="IQRSheet1H106" hidden="1">#REF!</definedName>
    <definedName name="IQRSheet1H107" hidden="1">#REF!</definedName>
    <definedName name="IQRSheet1H108" hidden="1">#REF!</definedName>
    <definedName name="IQRSheet1H109" hidden="1">#REF!</definedName>
    <definedName name="IQRSheet1H11" hidden="1">#REF!</definedName>
    <definedName name="IQRSheet1H110" hidden="1">#REF!</definedName>
    <definedName name="IQRSheet1H111" hidden="1">#REF!</definedName>
    <definedName name="IQRSheet1H112" hidden="1">#REF!</definedName>
    <definedName name="IQRSheet1H113" hidden="1">#REF!</definedName>
    <definedName name="IQRSheet1H114" hidden="1">#REF!</definedName>
    <definedName name="IQRSheet1H115" hidden="1">#REF!</definedName>
    <definedName name="IQRSheet1H116" hidden="1">#REF!</definedName>
    <definedName name="IQRSheet1H117" hidden="1">#REF!</definedName>
    <definedName name="IQRSheet1H118" hidden="1">#REF!</definedName>
    <definedName name="IQRSheet1H119" hidden="1">#REF!</definedName>
    <definedName name="IQRSheet1H12" hidden="1">#REF!</definedName>
    <definedName name="IQRSheet1H120" hidden="1">#REF!</definedName>
    <definedName name="IQRSheet1H13" hidden="1">#REF!</definedName>
    <definedName name="IQRSheet1H14" hidden="1">#REF!</definedName>
    <definedName name="IQRSheet1H15" hidden="1">#REF!</definedName>
    <definedName name="IQRSheet1H16" hidden="1">#REF!</definedName>
    <definedName name="IQRSheet1H17" hidden="1">#REF!</definedName>
    <definedName name="IQRSheet1H18" hidden="1">#REF!</definedName>
    <definedName name="IQRSheet1H19" hidden="1">#REF!</definedName>
    <definedName name="IQRSheet1H20" hidden="1">#REF!</definedName>
    <definedName name="IQRSheet1H21" hidden="1">#REF!</definedName>
    <definedName name="IQRSheet1H22" hidden="1">#REF!</definedName>
    <definedName name="IQRSheet1H23" hidden="1">#REF!</definedName>
    <definedName name="IQRSheet1H24" hidden="1">#REF!</definedName>
    <definedName name="IQRSheet1H25" hidden="1">#REF!</definedName>
    <definedName name="IQRSheet1H26" hidden="1">#REF!</definedName>
    <definedName name="IQRSheet1H27" hidden="1">#REF!</definedName>
    <definedName name="IQRSheet1H28" hidden="1">#REF!</definedName>
    <definedName name="IQRSheet1H29" hidden="1">#REF!</definedName>
    <definedName name="IQRSheet1H30" hidden="1">#REF!</definedName>
    <definedName name="IQRSheet1H31" hidden="1">#REF!</definedName>
    <definedName name="IQRSheet1H32" hidden="1">#REF!</definedName>
    <definedName name="IQRSheet1H33" hidden="1">#REF!</definedName>
    <definedName name="IQRSheet1H34" hidden="1">#REF!</definedName>
    <definedName name="IQRSheet1H35" hidden="1">#REF!</definedName>
    <definedName name="IQRSheet1H36" hidden="1">#REF!</definedName>
    <definedName name="IQRSheet1H37" hidden="1">#REF!</definedName>
    <definedName name="IQRSheet1H38" hidden="1">#REF!</definedName>
    <definedName name="IQRSheet1H39" hidden="1">#REF!</definedName>
    <definedName name="IQRSheet1H42" hidden="1">#REF!</definedName>
    <definedName name="IQRSheet1H43" hidden="1">#REF!</definedName>
    <definedName name="IQRSheet1H44" hidden="1">#REF!</definedName>
    <definedName name="IQRSheet1H45" hidden="1">#REF!</definedName>
    <definedName name="IQRSheet1H46" hidden="1">#REF!</definedName>
    <definedName name="IQRSheet1H47" hidden="1">#REF!</definedName>
    <definedName name="IQRSheet1H48" hidden="1">#REF!</definedName>
    <definedName name="IQRSheet1H49" hidden="1">#REF!</definedName>
    <definedName name="IQRSheet1H5" hidden="1">#REF!</definedName>
    <definedName name="IQRSheet1H50" hidden="1">#REF!</definedName>
    <definedName name="IQRSheet1H51" hidden="1">#REF!</definedName>
    <definedName name="IQRSheet1H52" hidden="1">#REF!</definedName>
    <definedName name="IQRSheet1H53" hidden="1">#REF!</definedName>
    <definedName name="IQRSheet1H54" hidden="1">#REF!</definedName>
    <definedName name="IQRSheet1H55" hidden="1">#REF!</definedName>
    <definedName name="IQRSheet1H56" hidden="1">#REF!</definedName>
    <definedName name="IQRSheet1H57" hidden="1">#REF!</definedName>
    <definedName name="IQRSheet1H58" hidden="1">#REF!</definedName>
    <definedName name="IQRSheet1H59" hidden="1">#REF!</definedName>
    <definedName name="IQRSheet1H6" hidden="1">#REF!</definedName>
    <definedName name="IQRSheet1H60" hidden="1">#REF!</definedName>
    <definedName name="IQRSheet1H61" hidden="1">#REF!</definedName>
    <definedName name="IQRSheet1H62" hidden="1">#REF!</definedName>
    <definedName name="IQRSheet1H63" hidden="1">#REF!</definedName>
    <definedName name="IQRSheet1H64" hidden="1">#REF!</definedName>
    <definedName name="IQRSheet1H65" hidden="1">#REF!</definedName>
    <definedName name="IQRSheet1H66" hidden="1">#REF!</definedName>
    <definedName name="IQRSheet1H67" hidden="1">#REF!</definedName>
    <definedName name="IQRSheet1H68" hidden="1">#REF!</definedName>
    <definedName name="IQRSheet1H69" hidden="1">#REF!</definedName>
    <definedName name="IQRSheet1H7" hidden="1">#REF!</definedName>
    <definedName name="IQRSheet1H70" hidden="1">#REF!</definedName>
    <definedName name="IQRSheet1H71" hidden="1">#REF!</definedName>
    <definedName name="IQRSheet1H72" hidden="1">#REF!</definedName>
    <definedName name="IQRSheet1H73" hidden="1">#REF!</definedName>
    <definedName name="IQRSheet1H74" hidden="1">#REF!</definedName>
    <definedName name="IQRSheet1H75" hidden="1">#REF!</definedName>
    <definedName name="IQRSheet1H76" hidden="1">#REF!</definedName>
    <definedName name="IQRSheet1H77" hidden="1">#REF!</definedName>
    <definedName name="IQRSheet1H78" hidden="1">#REF!</definedName>
    <definedName name="IQRSheet1H79" hidden="1">#REF!</definedName>
    <definedName name="IQRSheet1H8" hidden="1">#REF!</definedName>
    <definedName name="IQRSheet1H80" hidden="1">#REF!</definedName>
    <definedName name="IQRSheet1H81" hidden="1">#REF!</definedName>
    <definedName name="IQRSheet1H82" hidden="1">#REF!</definedName>
    <definedName name="IQRSheet1H83" hidden="1">#REF!</definedName>
    <definedName name="IQRSheet1H84" hidden="1">#REF!</definedName>
    <definedName name="IQRSheet1H85" hidden="1">#REF!</definedName>
    <definedName name="IQRSheet1H86" hidden="1">#REF!</definedName>
    <definedName name="IQRSheet1H87" hidden="1">#REF!</definedName>
    <definedName name="IQRSheet1H88" hidden="1">#REF!</definedName>
    <definedName name="IQRSheet1H89" hidden="1">#REF!</definedName>
    <definedName name="IQRSheet1H9" hidden="1">#REF!</definedName>
    <definedName name="IQRSheet1H90" hidden="1">#REF!</definedName>
    <definedName name="IQRSheet1H91" hidden="1">#REF!</definedName>
    <definedName name="IQRSheet1H92" hidden="1">#REF!</definedName>
    <definedName name="IQRSheet1H93" hidden="1">#REF!</definedName>
    <definedName name="IQRSheet1H94" hidden="1">#REF!</definedName>
    <definedName name="IQRSheet1H95" hidden="1">#REF!</definedName>
    <definedName name="IQRSheet1H96" hidden="1">#REF!</definedName>
    <definedName name="IQRSheet1H97" hidden="1">#REF!</definedName>
    <definedName name="IQRSheet1H98" hidden="1">#REF!</definedName>
    <definedName name="IQRSheet1H99" hidden="1">#REF!</definedName>
    <definedName name="IQRSummaryChartsA73" hidden="1">'[6]Summary Charts'!$A$74:$A$78</definedName>
    <definedName name="IQRSummaryChartsC73" hidden="1">'[6]Summary Charts'!$C$74:$C$78</definedName>
    <definedName name="IQRSummaryChartsJ73" hidden="1">'[6]Summary Charts'!$J$74:$J$78</definedName>
    <definedName name="IQRTearsheetT55" hidden="1">[2]Tearsheet!#REF!</definedName>
    <definedName name="IQRTickerConverterH10" hidden="1">#REF!</definedName>
    <definedName name="IQRTickerConverterH100" hidden="1">#REF!</definedName>
    <definedName name="IQRTickerConverterH1000" hidden="1">#REF!</definedName>
    <definedName name="IQRTickerConverterH1002" hidden="1">#REF!</definedName>
    <definedName name="IQRTickerConverterH1003" hidden="1">#REF!</definedName>
    <definedName name="IQRTickerConverterH1004" hidden="1">#REF!</definedName>
    <definedName name="IQRTickerConverterH1005" hidden="1">#REF!</definedName>
    <definedName name="IQRTickerConverterH1006" hidden="1">#REF!</definedName>
    <definedName name="IQRTickerConverterH1007" hidden="1">#REF!</definedName>
    <definedName name="IQRTickerConverterH1008" hidden="1">#REF!</definedName>
    <definedName name="IQRTickerConverterH1009" hidden="1">#REF!</definedName>
    <definedName name="IQRTickerConverterH101" hidden="1">#REF!</definedName>
    <definedName name="IQRTickerConverterH1010" hidden="1">#REF!</definedName>
    <definedName name="IQRTickerConverterH1011" hidden="1">#REF!</definedName>
    <definedName name="IQRTickerConverterH1012" hidden="1">#REF!</definedName>
    <definedName name="IQRTickerConverterH1013" hidden="1">#REF!</definedName>
    <definedName name="IQRTickerConverterH1014" hidden="1">#REF!</definedName>
    <definedName name="IQRTickerConverterH1015" hidden="1">#REF!</definedName>
    <definedName name="IQRTickerConverterH1016" hidden="1">#REF!</definedName>
    <definedName name="IQRTickerConverterH1017" hidden="1">#REF!</definedName>
    <definedName name="IQRTickerConverterH1018" hidden="1">#REF!</definedName>
    <definedName name="IQRTickerConverterH1019" hidden="1">#REF!</definedName>
    <definedName name="IQRTickerConverterH102" hidden="1">#REF!</definedName>
    <definedName name="IQRTickerConverterH1020" hidden="1">#REF!</definedName>
    <definedName name="IQRTickerConverterH1021" hidden="1">#REF!</definedName>
    <definedName name="IQRTickerConverterH1022" hidden="1">#REF!</definedName>
    <definedName name="IQRTickerConverterH1023" hidden="1">#REF!</definedName>
    <definedName name="IQRTickerConverterH1024" hidden="1">#REF!</definedName>
    <definedName name="IQRTickerConverterH1025" hidden="1">#REF!</definedName>
    <definedName name="IQRTickerConverterH1026" hidden="1">#REF!</definedName>
    <definedName name="IQRTickerConverterH1027" hidden="1">#REF!</definedName>
    <definedName name="IQRTickerConverterH1028" hidden="1">#REF!</definedName>
    <definedName name="IQRTickerConverterH1029" hidden="1">#REF!</definedName>
    <definedName name="IQRTickerConverterH103" hidden="1">#REF!</definedName>
    <definedName name="IQRTickerConverterH1030" hidden="1">#REF!</definedName>
    <definedName name="IQRTickerConverterH1031" hidden="1">#REF!</definedName>
    <definedName name="IQRTickerConverterH1032" hidden="1">#REF!</definedName>
    <definedName name="IQRTickerConverterH1033" hidden="1">#REF!</definedName>
    <definedName name="IQRTickerConverterH1034" hidden="1">#REF!</definedName>
    <definedName name="IQRTickerConverterH1035" hidden="1">#REF!</definedName>
    <definedName name="IQRTickerConverterH1036" hidden="1">#REF!</definedName>
    <definedName name="IQRTickerConverterH1037" hidden="1">#REF!</definedName>
    <definedName name="IQRTickerConverterH1038" hidden="1">#REF!</definedName>
    <definedName name="IQRTickerConverterH1039" hidden="1">#REF!</definedName>
    <definedName name="IQRTickerConverterH104" hidden="1">#REF!</definedName>
    <definedName name="IQRTickerConverterH1040" hidden="1">#REF!</definedName>
    <definedName name="IQRTickerConverterH1041" hidden="1">#REF!</definedName>
    <definedName name="IQRTickerConverterH1042" hidden="1">#REF!</definedName>
    <definedName name="IQRTickerConverterH1043" hidden="1">#REF!</definedName>
    <definedName name="IQRTickerConverterH1044" hidden="1">#REF!</definedName>
    <definedName name="IQRTickerConverterH1045" hidden="1">#REF!</definedName>
    <definedName name="IQRTickerConverterH1046" hidden="1">#REF!</definedName>
    <definedName name="IQRTickerConverterH1047" hidden="1">#REF!</definedName>
    <definedName name="IQRTickerConverterH1048" hidden="1">#REF!</definedName>
    <definedName name="IQRTickerConverterH1049" hidden="1">#REF!</definedName>
    <definedName name="IQRTickerConverterH105" hidden="1">#REF!</definedName>
    <definedName name="IQRTickerConverterH1050" hidden="1">#REF!</definedName>
    <definedName name="IQRTickerConverterH1051" hidden="1">#REF!</definedName>
    <definedName name="IQRTickerConverterH1052" hidden="1">#REF!</definedName>
    <definedName name="IQRTickerConverterH1053" hidden="1">#REF!</definedName>
    <definedName name="IQRTickerConverterH1054" hidden="1">#REF!</definedName>
    <definedName name="IQRTickerConverterH1055" hidden="1">#REF!</definedName>
    <definedName name="IQRTickerConverterH1056" hidden="1">#REF!</definedName>
    <definedName name="IQRTickerConverterH1057" hidden="1">#REF!</definedName>
    <definedName name="IQRTickerConverterH1058" hidden="1">#REF!</definedName>
    <definedName name="IQRTickerConverterH1059" hidden="1">#REF!</definedName>
    <definedName name="IQRTickerConverterH106" hidden="1">#REF!</definedName>
    <definedName name="IQRTickerConverterH1061" hidden="1">#REF!</definedName>
    <definedName name="IQRTickerConverterH1062" hidden="1">#REF!</definedName>
    <definedName name="IQRTickerConverterH1063" hidden="1">#REF!</definedName>
    <definedName name="IQRTickerConverterH1064" hidden="1">#REF!</definedName>
    <definedName name="IQRTickerConverterH1065" hidden="1">#REF!</definedName>
    <definedName name="IQRTickerConverterH1066" hidden="1">#REF!</definedName>
    <definedName name="IQRTickerConverterH1067" hidden="1">#REF!</definedName>
    <definedName name="IQRTickerConverterH1068" hidden="1">#REF!</definedName>
    <definedName name="IQRTickerConverterH1069" hidden="1">#REF!</definedName>
    <definedName name="IQRTickerConverterH107" hidden="1">#REF!</definedName>
    <definedName name="IQRTickerConverterH1070" hidden="1">#REF!</definedName>
    <definedName name="IQRTickerConverterH1071" hidden="1">#REF!</definedName>
    <definedName name="IQRTickerConverterH1072" hidden="1">#REF!</definedName>
    <definedName name="IQRTickerConverterH1074" hidden="1">#REF!</definedName>
    <definedName name="IQRTickerConverterH1075" hidden="1">#REF!</definedName>
    <definedName name="IQRTickerConverterH1076" hidden="1">#REF!</definedName>
    <definedName name="IQRTickerConverterH1077" hidden="1">#REF!</definedName>
    <definedName name="IQRTickerConverterH108" hidden="1">#REF!</definedName>
    <definedName name="IQRTickerConverterH1080" hidden="1">#REF!</definedName>
    <definedName name="IQRTickerConverterH1081" hidden="1">#REF!</definedName>
    <definedName name="IQRTickerConverterH1082" hidden="1">#REF!</definedName>
    <definedName name="IQRTickerConverterH1083" hidden="1">#REF!</definedName>
    <definedName name="IQRTickerConverterH1084" hidden="1">#REF!</definedName>
    <definedName name="IQRTickerConverterH1085" hidden="1">#REF!</definedName>
    <definedName name="IQRTickerConverterH1086" hidden="1">#REF!</definedName>
    <definedName name="IQRTickerConverterH1087" hidden="1">#REF!</definedName>
    <definedName name="IQRTickerConverterH1088" hidden="1">#REF!</definedName>
    <definedName name="IQRTickerConverterH1089" hidden="1">#REF!</definedName>
    <definedName name="IQRTickerConverterH109" hidden="1">#REF!</definedName>
    <definedName name="IQRTickerConverterH1090" hidden="1">#REF!</definedName>
    <definedName name="IQRTickerConverterH1091" hidden="1">#REF!</definedName>
    <definedName name="IQRTickerConverterH1093" hidden="1">#REF!</definedName>
    <definedName name="IQRTickerConverterH1094" hidden="1">#REF!</definedName>
    <definedName name="IQRTickerConverterH1095" hidden="1">#REF!</definedName>
    <definedName name="IQRTickerConverterH1097" hidden="1">#REF!</definedName>
    <definedName name="IQRTickerConverterH1098" hidden="1">#REF!</definedName>
    <definedName name="IQRTickerConverterH1099" hidden="1">#REF!</definedName>
    <definedName name="IQRTickerConverterH11" hidden="1">#REF!</definedName>
    <definedName name="IQRTickerConverterH110" hidden="1">#REF!</definedName>
    <definedName name="IQRTickerConverterH1100" hidden="1">#REF!</definedName>
    <definedName name="IQRTickerConverterH1101" hidden="1">#REF!</definedName>
    <definedName name="IQRTickerConverterH1102" hidden="1">#REF!</definedName>
    <definedName name="IQRTickerConverterH1103" hidden="1">#REF!</definedName>
    <definedName name="IQRTickerConverterH1104" hidden="1">#REF!</definedName>
    <definedName name="IQRTickerConverterH1105" hidden="1">#REF!</definedName>
    <definedName name="IQRTickerConverterH1106" hidden="1">#REF!</definedName>
    <definedName name="IQRTickerConverterH1107" hidden="1">#REF!</definedName>
    <definedName name="IQRTickerConverterH1108" hidden="1">#REF!</definedName>
    <definedName name="IQRTickerConverterH1109" hidden="1">#REF!</definedName>
    <definedName name="IQRTickerConverterH111" hidden="1">#REF!</definedName>
    <definedName name="IQRTickerConverterH1110" hidden="1">#REF!</definedName>
    <definedName name="IQRTickerConverterH1111" hidden="1">#REF!</definedName>
    <definedName name="IQRTickerConverterH1112" hidden="1">#REF!</definedName>
    <definedName name="IQRTickerConverterH1113" hidden="1">#REF!</definedName>
    <definedName name="IQRTickerConverterH1114" hidden="1">#REF!</definedName>
    <definedName name="IQRTickerConverterH1115" hidden="1">#REF!</definedName>
    <definedName name="IQRTickerConverterH1116" hidden="1">#REF!</definedName>
    <definedName name="IQRTickerConverterH1117" hidden="1">#REF!</definedName>
    <definedName name="IQRTickerConverterH1118" hidden="1">#REF!</definedName>
    <definedName name="IQRTickerConverterH1119" hidden="1">#REF!</definedName>
    <definedName name="IQRTickerConverterH112" hidden="1">#REF!</definedName>
    <definedName name="IQRTickerConverterH1120" hidden="1">#REF!</definedName>
    <definedName name="IQRTickerConverterH1122" hidden="1">#REF!</definedName>
    <definedName name="IQRTickerConverterH1124" hidden="1">#REF!</definedName>
    <definedName name="IQRTickerConverterH1125" hidden="1">#REF!</definedName>
    <definedName name="IQRTickerConverterH1126" hidden="1">#REF!</definedName>
    <definedName name="IQRTickerConverterH1127" hidden="1">#REF!</definedName>
    <definedName name="IQRTickerConverterH1128" hidden="1">#REF!</definedName>
    <definedName name="IQRTickerConverterH1129" hidden="1">#REF!</definedName>
    <definedName name="IQRTickerConverterH113" hidden="1">#REF!</definedName>
    <definedName name="IQRTickerConverterH1130" hidden="1">#REF!</definedName>
    <definedName name="IQRTickerConverterH1131" hidden="1">#REF!</definedName>
    <definedName name="IQRTickerConverterH1132" hidden="1">#REF!</definedName>
    <definedName name="IQRTickerConverterH1133" hidden="1">#REF!</definedName>
    <definedName name="IQRTickerConverterH1134" hidden="1">#REF!</definedName>
    <definedName name="IQRTickerConverterH1135" hidden="1">#REF!</definedName>
    <definedName name="IQRTickerConverterH1136" hidden="1">#REF!</definedName>
    <definedName name="IQRTickerConverterH1137" hidden="1">#REF!</definedName>
    <definedName name="IQRTickerConverterH1138" hidden="1">#REF!</definedName>
    <definedName name="IQRTickerConverterH1139" hidden="1">#REF!</definedName>
    <definedName name="IQRTickerConverterH1140" hidden="1">#REF!</definedName>
    <definedName name="IQRTickerConverterH1142" hidden="1">#REF!</definedName>
    <definedName name="IQRTickerConverterH1143" hidden="1">#REF!</definedName>
    <definedName name="IQRTickerConverterH1144" hidden="1">#REF!</definedName>
    <definedName name="IQRTickerConverterH1145" hidden="1">#REF!</definedName>
    <definedName name="IQRTickerConverterH1146" hidden="1">#REF!</definedName>
    <definedName name="IQRTickerConverterH1147" hidden="1">#REF!</definedName>
    <definedName name="IQRTickerConverterH1148" hidden="1">#REF!</definedName>
    <definedName name="IQRTickerConverterH1149" hidden="1">#REF!</definedName>
    <definedName name="IQRTickerConverterH115" hidden="1">#REF!</definedName>
    <definedName name="IQRTickerConverterH1150" hidden="1">#REF!</definedName>
    <definedName name="IQRTickerConverterH1151" hidden="1">#REF!</definedName>
    <definedName name="IQRTickerConverterH1152" hidden="1">#REF!</definedName>
    <definedName name="IQRTickerConverterH1153" hidden="1">#REF!</definedName>
    <definedName name="IQRTickerConverterH1154" hidden="1">#REF!</definedName>
    <definedName name="IQRTickerConverterH1156" hidden="1">#REF!</definedName>
    <definedName name="IQRTickerConverterH1157" hidden="1">#REF!</definedName>
    <definedName name="IQRTickerConverterH1158" hidden="1">#REF!</definedName>
    <definedName name="IQRTickerConverterH1159" hidden="1">#REF!</definedName>
    <definedName name="IQRTickerConverterH116" hidden="1">#REF!</definedName>
    <definedName name="IQRTickerConverterH1160" hidden="1">#REF!</definedName>
    <definedName name="IQRTickerConverterH1161" hidden="1">#REF!</definedName>
    <definedName name="IQRTickerConverterH1162" hidden="1">#REF!</definedName>
    <definedName name="IQRTickerConverterH1163" hidden="1">#REF!</definedName>
    <definedName name="IQRTickerConverterH1164" hidden="1">#REF!</definedName>
    <definedName name="IQRTickerConverterH1165" hidden="1">#REF!</definedName>
    <definedName name="IQRTickerConverterH1166" hidden="1">#REF!</definedName>
    <definedName name="IQRTickerConverterH1167" hidden="1">#REF!</definedName>
    <definedName name="IQRTickerConverterH1168" hidden="1">#REF!</definedName>
    <definedName name="IQRTickerConverterH1169" hidden="1">#REF!</definedName>
    <definedName name="IQRTickerConverterH117" hidden="1">#REF!</definedName>
    <definedName name="IQRTickerConverterH1170" hidden="1">#REF!</definedName>
    <definedName name="IQRTickerConverterH1171" hidden="1">#REF!</definedName>
    <definedName name="IQRTickerConverterH1172" hidden="1">#REF!</definedName>
    <definedName name="IQRTickerConverterH1173" hidden="1">#REF!</definedName>
    <definedName name="IQRTickerConverterH1174" hidden="1">#REF!</definedName>
    <definedName name="IQRTickerConverterH1175" hidden="1">#REF!</definedName>
    <definedName name="IQRTickerConverterH1176" hidden="1">#REF!</definedName>
    <definedName name="IQRTickerConverterH1177" hidden="1">#REF!</definedName>
    <definedName name="IQRTickerConverterH1178" hidden="1">#REF!</definedName>
    <definedName name="IQRTickerConverterH1179" hidden="1">#REF!</definedName>
    <definedName name="IQRTickerConverterH118" hidden="1">#REF!</definedName>
    <definedName name="IQRTickerConverterH1180" hidden="1">#REF!</definedName>
    <definedName name="IQRTickerConverterH1181" hidden="1">#REF!</definedName>
    <definedName name="IQRTickerConverterH1182" hidden="1">#REF!</definedName>
    <definedName name="IQRTickerConverterH1183" hidden="1">#REF!</definedName>
    <definedName name="IQRTickerConverterH1184" hidden="1">#REF!</definedName>
    <definedName name="IQRTickerConverterH1185" hidden="1">#REF!</definedName>
    <definedName name="IQRTickerConverterH1186" hidden="1">#REF!</definedName>
    <definedName name="IQRTickerConverterH1188" hidden="1">#REF!</definedName>
    <definedName name="IQRTickerConverterH1189" hidden="1">#REF!</definedName>
    <definedName name="IQRTickerConverterH119" hidden="1">#REF!</definedName>
    <definedName name="IQRTickerConverterH1190" hidden="1">#REF!</definedName>
    <definedName name="IQRTickerConverterH1191" hidden="1">#REF!</definedName>
    <definedName name="IQRTickerConverterH1192" hidden="1">#REF!</definedName>
    <definedName name="IQRTickerConverterH1193" hidden="1">#REF!</definedName>
    <definedName name="IQRTickerConverterH1194" hidden="1">#REF!</definedName>
    <definedName name="IQRTickerConverterH1195" hidden="1">#REF!</definedName>
    <definedName name="IQRTickerConverterH1196" hidden="1">#REF!</definedName>
    <definedName name="IQRTickerConverterH1197" hidden="1">#REF!</definedName>
    <definedName name="IQRTickerConverterH1198" hidden="1">#REF!</definedName>
    <definedName name="IQRTickerConverterH1199" hidden="1">#REF!</definedName>
    <definedName name="IQRTickerConverterH12" hidden="1">#REF!</definedName>
    <definedName name="IQRTickerConverterH120" hidden="1">#REF!</definedName>
    <definedName name="IQRTickerConverterH1200" hidden="1">#REF!</definedName>
    <definedName name="IQRTickerConverterH1201" hidden="1">#REF!</definedName>
    <definedName name="IQRTickerConverterH1202" hidden="1">#REF!</definedName>
    <definedName name="IQRTickerConverterH1203" hidden="1">#REF!</definedName>
    <definedName name="IQRTickerConverterH1204" hidden="1">#REF!</definedName>
    <definedName name="IQRTickerConverterH1205" hidden="1">#REF!</definedName>
    <definedName name="IQRTickerConverterH1206" hidden="1">#REF!</definedName>
    <definedName name="IQRTickerConverterH1207" hidden="1">#REF!</definedName>
    <definedName name="IQRTickerConverterH1208" hidden="1">#REF!</definedName>
    <definedName name="IQRTickerConverterH1209" hidden="1">#REF!</definedName>
    <definedName name="IQRTickerConverterH121" hidden="1">#REF!</definedName>
    <definedName name="IQRTickerConverterH1210" hidden="1">#REF!</definedName>
    <definedName name="IQRTickerConverterH1211" hidden="1">#REF!</definedName>
    <definedName name="IQRTickerConverterH1212" hidden="1">#REF!</definedName>
    <definedName name="IQRTickerConverterH1213" hidden="1">#REF!</definedName>
    <definedName name="IQRTickerConverterH1214" hidden="1">#REF!</definedName>
    <definedName name="IQRTickerConverterH1215" hidden="1">#REF!</definedName>
    <definedName name="IQRTickerConverterH1216" hidden="1">#REF!</definedName>
    <definedName name="IQRTickerConverterH1217" hidden="1">#REF!</definedName>
    <definedName name="IQRTickerConverterH1218" hidden="1">#REF!</definedName>
    <definedName name="IQRTickerConverterH1219" hidden="1">#REF!</definedName>
    <definedName name="IQRTickerConverterH122" hidden="1">#REF!</definedName>
    <definedName name="IQRTickerConverterH1220" hidden="1">#REF!</definedName>
    <definedName name="IQRTickerConverterH1221" hidden="1">#REF!</definedName>
    <definedName name="IQRTickerConverterH1222" hidden="1">#REF!</definedName>
    <definedName name="IQRTickerConverterH1223" hidden="1">#REF!</definedName>
    <definedName name="IQRTickerConverterH1224" hidden="1">#REF!</definedName>
    <definedName name="IQRTickerConverterH1225" hidden="1">#REF!</definedName>
    <definedName name="IQRTickerConverterH1226" hidden="1">#REF!</definedName>
    <definedName name="IQRTickerConverterH1227" hidden="1">#REF!</definedName>
    <definedName name="IQRTickerConverterH1228" hidden="1">#REF!</definedName>
    <definedName name="IQRTickerConverterH1229" hidden="1">#REF!</definedName>
    <definedName name="IQRTickerConverterH123" hidden="1">#REF!</definedName>
    <definedName name="IQRTickerConverterH1230" hidden="1">#REF!</definedName>
    <definedName name="IQRTickerConverterH1231" hidden="1">#REF!</definedName>
    <definedName name="IQRTickerConverterH1232" hidden="1">#REF!</definedName>
    <definedName name="IQRTickerConverterH1233" hidden="1">#REF!</definedName>
    <definedName name="IQRTickerConverterH1234" hidden="1">#REF!</definedName>
    <definedName name="IQRTickerConverterH1235" hidden="1">#REF!</definedName>
    <definedName name="IQRTickerConverterH1236" hidden="1">#REF!</definedName>
    <definedName name="IQRTickerConverterH1237" hidden="1">#REF!</definedName>
    <definedName name="IQRTickerConverterH1238" hidden="1">#REF!</definedName>
    <definedName name="IQRTickerConverterH1239" hidden="1">#REF!</definedName>
    <definedName name="IQRTickerConverterH124" hidden="1">#REF!</definedName>
    <definedName name="IQRTickerConverterH1240" hidden="1">#REF!</definedName>
    <definedName name="IQRTickerConverterH1241" hidden="1">#REF!</definedName>
    <definedName name="IQRTickerConverterH1242" hidden="1">#REF!</definedName>
    <definedName name="IQRTickerConverterH1243" hidden="1">#REF!</definedName>
    <definedName name="IQRTickerConverterH1244" hidden="1">#REF!</definedName>
    <definedName name="IQRTickerConverterH1245" hidden="1">#REF!</definedName>
    <definedName name="IQRTickerConverterH1246" hidden="1">#REF!</definedName>
    <definedName name="IQRTickerConverterH1247" hidden="1">#REF!</definedName>
    <definedName name="IQRTickerConverterH1248" hidden="1">#REF!</definedName>
    <definedName name="IQRTickerConverterH1249" hidden="1">#REF!</definedName>
    <definedName name="IQRTickerConverterH125" hidden="1">#REF!</definedName>
    <definedName name="IQRTickerConverterH1250" hidden="1">#REF!</definedName>
    <definedName name="IQRTickerConverterH1251" hidden="1">#REF!</definedName>
    <definedName name="IQRTickerConverterH1253" hidden="1">#REF!</definedName>
    <definedName name="IQRTickerConverterH1254" hidden="1">#REF!</definedName>
    <definedName name="IQRTickerConverterH1255" hidden="1">#REF!</definedName>
    <definedName name="IQRTickerConverterH1256" hidden="1">#REF!</definedName>
    <definedName name="IQRTickerConverterH1257" hidden="1">#REF!</definedName>
    <definedName name="IQRTickerConverterH1258" hidden="1">#REF!</definedName>
    <definedName name="IQRTickerConverterH1259" hidden="1">#REF!</definedName>
    <definedName name="IQRTickerConverterH126" hidden="1">#REF!</definedName>
    <definedName name="IQRTickerConverterH1260" hidden="1">#REF!</definedName>
    <definedName name="IQRTickerConverterH1261" hidden="1">#REF!</definedName>
    <definedName name="IQRTickerConverterH1262" hidden="1">#REF!</definedName>
    <definedName name="IQRTickerConverterH1264" hidden="1">#REF!</definedName>
    <definedName name="IQRTickerConverterH1265" hidden="1">#REF!</definedName>
    <definedName name="IQRTickerConverterH1266" hidden="1">#REF!</definedName>
    <definedName name="IQRTickerConverterH1267" hidden="1">#REF!</definedName>
    <definedName name="IQRTickerConverterH1268" hidden="1">#REF!</definedName>
    <definedName name="IQRTickerConverterH1269" hidden="1">#REF!</definedName>
    <definedName name="IQRTickerConverterH127" hidden="1">#REF!</definedName>
    <definedName name="IQRTickerConverterH1270" hidden="1">#REF!</definedName>
    <definedName name="IQRTickerConverterH1271" hidden="1">#REF!</definedName>
    <definedName name="IQRTickerConverterH1272" hidden="1">#REF!</definedName>
    <definedName name="IQRTickerConverterH1273" hidden="1">#REF!</definedName>
    <definedName name="IQRTickerConverterH1274" hidden="1">#REF!</definedName>
    <definedName name="IQRTickerConverterH1275" hidden="1">#REF!</definedName>
    <definedName name="IQRTickerConverterH1276" hidden="1">#REF!</definedName>
    <definedName name="IQRTickerConverterH1277" hidden="1">#REF!</definedName>
    <definedName name="IQRTickerConverterH1278" hidden="1">#REF!</definedName>
    <definedName name="IQRTickerConverterH1279" hidden="1">#REF!</definedName>
    <definedName name="IQRTickerConverterH128" hidden="1">#REF!</definedName>
    <definedName name="IQRTickerConverterH1280" hidden="1">#REF!</definedName>
    <definedName name="IQRTickerConverterH1281" hidden="1">#REF!</definedName>
    <definedName name="IQRTickerConverterH1282" hidden="1">#REF!</definedName>
    <definedName name="IQRTickerConverterH1283" hidden="1">#REF!</definedName>
    <definedName name="IQRTickerConverterH1284" hidden="1">#REF!</definedName>
    <definedName name="IQRTickerConverterH1285" hidden="1">#REF!</definedName>
    <definedName name="IQRTickerConverterH1287" hidden="1">#REF!</definedName>
    <definedName name="IQRTickerConverterH1288" hidden="1">#REF!</definedName>
    <definedName name="IQRTickerConverterH1289" hidden="1">#REF!</definedName>
    <definedName name="IQRTickerConverterH129" hidden="1">#REF!</definedName>
    <definedName name="IQRTickerConverterH1290" hidden="1">#REF!</definedName>
    <definedName name="IQRTickerConverterH1292" hidden="1">#REF!</definedName>
    <definedName name="IQRTickerConverterH1293" hidden="1">#REF!</definedName>
    <definedName name="IQRTickerConverterH1294" hidden="1">#REF!</definedName>
    <definedName name="IQRTickerConverterH1295" hidden="1">#REF!</definedName>
    <definedName name="IQRTickerConverterH1296" hidden="1">#REF!</definedName>
    <definedName name="IQRTickerConverterH1297" hidden="1">#REF!</definedName>
    <definedName name="IQRTickerConverterH1298" hidden="1">#REF!</definedName>
    <definedName name="IQRTickerConverterH1299" hidden="1">#REF!</definedName>
    <definedName name="IQRTickerConverterH13" hidden="1">#REF!</definedName>
    <definedName name="IQRTickerConverterH130" hidden="1">#REF!</definedName>
    <definedName name="IQRTickerConverterH1300" hidden="1">#REF!</definedName>
    <definedName name="IQRTickerConverterH1301" hidden="1">#REF!</definedName>
    <definedName name="IQRTickerConverterH1302" hidden="1">#REF!</definedName>
    <definedName name="IQRTickerConverterH1303" hidden="1">#REF!</definedName>
    <definedName name="IQRTickerConverterH1304" hidden="1">#REF!</definedName>
    <definedName name="IQRTickerConverterH1305" hidden="1">#REF!</definedName>
    <definedName name="IQRTickerConverterH1306" hidden="1">#REF!</definedName>
    <definedName name="IQRTickerConverterH1307" hidden="1">#REF!</definedName>
    <definedName name="IQRTickerConverterH1308" hidden="1">#REF!</definedName>
    <definedName name="IQRTickerConverterH1309" hidden="1">#REF!</definedName>
    <definedName name="IQRTickerConverterH131" hidden="1">#REF!</definedName>
    <definedName name="IQRTickerConverterH1310" hidden="1">#REF!</definedName>
    <definedName name="IQRTickerConverterH1311" hidden="1">#REF!</definedName>
    <definedName name="IQRTickerConverterH1312" hidden="1">#REF!</definedName>
    <definedName name="IQRTickerConverterH1313" hidden="1">#REF!</definedName>
    <definedName name="IQRTickerConverterH1314" hidden="1">#REF!</definedName>
    <definedName name="IQRTickerConverterH1315" hidden="1">#REF!</definedName>
    <definedName name="IQRTickerConverterH1316" hidden="1">#REF!</definedName>
    <definedName name="IQRTickerConverterH1317" hidden="1">#REF!</definedName>
    <definedName name="IQRTickerConverterH1318" hidden="1">#REF!</definedName>
    <definedName name="IQRTickerConverterH1319" hidden="1">#REF!</definedName>
    <definedName name="IQRTickerConverterH132" hidden="1">#REF!</definedName>
    <definedName name="IQRTickerConverterH1320" hidden="1">#REF!</definedName>
    <definedName name="IQRTickerConverterH1321" hidden="1">#REF!</definedName>
    <definedName name="IQRTickerConverterH1322" hidden="1">#REF!</definedName>
    <definedName name="IQRTickerConverterH1323" hidden="1">#REF!</definedName>
    <definedName name="IQRTickerConverterH1324" hidden="1">#REF!</definedName>
    <definedName name="IQRTickerConverterH1325" hidden="1">#REF!</definedName>
    <definedName name="IQRTickerConverterH1326" hidden="1">#REF!</definedName>
    <definedName name="IQRTickerConverterH1327" hidden="1">#REF!</definedName>
    <definedName name="IQRTickerConverterH1328" hidden="1">#REF!</definedName>
    <definedName name="IQRTickerConverterH1329" hidden="1">#REF!</definedName>
    <definedName name="IQRTickerConverterH133" hidden="1">#REF!</definedName>
    <definedName name="IQRTickerConverterH1330" hidden="1">#REF!</definedName>
    <definedName name="IQRTickerConverterH1331" hidden="1">#REF!</definedName>
    <definedName name="IQRTickerConverterH1332" hidden="1">#REF!</definedName>
    <definedName name="IQRTickerConverterH1334" hidden="1">#REF!</definedName>
    <definedName name="IQRTickerConverterH1335" hidden="1">#REF!</definedName>
    <definedName name="IQRTickerConverterH1336" hidden="1">#REF!</definedName>
    <definedName name="IQRTickerConverterH1338" hidden="1">#REF!</definedName>
    <definedName name="IQRTickerConverterH134" hidden="1">#REF!</definedName>
    <definedName name="IQRTickerConverterH1340" hidden="1">#REF!</definedName>
    <definedName name="IQRTickerConverterH1342" hidden="1">#REF!</definedName>
    <definedName name="IQRTickerConverterH1343" hidden="1">#REF!</definedName>
    <definedName name="IQRTickerConverterH1344" hidden="1">#REF!</definedName>
    <definedName name="IQRTickerConverterH1345" hidden="1">#REF!</definedName>
    <definedName name="IQRTickerConverterH1346" hidden="1">#REF!</definedName>
    <definedName name="IQRTickerConverterH1347" hidden="1">#REF!</definedName>
    <definedName name="IQRTickerConverterH1348" hidden="1">#REF!</definedName>
    <definedName name="IQRTickerConverterH1349" hidden="1">#REF!</definedName>
    <definedName name="IQRTickerConverterH135" hidden="1">#REF!</definedName>
    <definedName name="IQRTickerConverterH1350" hidden="1">#REF!</definedName>
    <definedName name="IQRTickerConverterH1351" hidden="1">#REF!</definedName>
    <definedName name="IQRTickerConverterH1352" hidden="1">#REF!</definedName>
    <definedName name="IQRTickerConverterH1353" hidden="1">#REF!</definedName>
    <definedName name="IQRTickerConverterH1355" hidden="1">#REF!</definedName>
    <definedName name="IQRTickerConverterH1356" hidden="1">#REF!</definedName>
    <definedName name="IQRTickerConverterH1357" hidden="1">#REF!</definedName>
    <definedName name="IQRTickerConverterH1358" hidden="1">#REF!</definedName>
    <definedName name="IQRTickerConverterH1359" hidden="1">#REF!</definedName>
    <definedName name="IQRTickerConverterH136" hidden="1">#REF!</definedName>
    <definedName name="IQRTickerConverterH1360" hidden="1">#REF!</definedName>
    <definedName name="IQRTickerConverterH1361" hidden="1">#REF!</definedName>
    <definedName name="IQRTickerConverterH1364" hidden="1">#REF!</definedName>
    <definedName name="IQRTickerConverterH1365" hidden="1">#REF!</definedName>
    <definedName name="IQRTickerConverterH1366" hidden="1">#REF!</definedName>
    <definedName name="IQRTickerConverterH1367" hidden="1">#REF!</definedName>
    <definedName name="IQRTickerConverterH1368" hidden="1">#REF!</definedName>
    <definedName name="IQRTickerConverterH1369" hidden="1">#REF!</definedName>
    <definedName name="IQRTickerConverterH137" hidden="1">#REF!</definedName>
    <definedName name="IQRTickerConverterH1370" hidden="1">#REF!</definedName>
    <definedName name="IQRTickerConverterH1371" hidden="1">#REF!</definedName>
    <definedName name="IQRTickerConverterH1372" hidden="1">#REF!</definedName>
    <definedName name="IQRTickerConverterH1373" hidden="1">#REF!</definedName>
    <definedName name="IQRTickerConverterH1374" hidden="1">#REF!</definedName>
    <definedName name="IQRTickerConverterH1375" hidden="1">#REF!</definedName>
    <definedName name="IQRTickerConverterH1376" hidden="1">#REF!</definedName>
    <definedName name="IQRTickerConverterH1377" hidden="1">#REF!</definedName>
    <definedName name="IQRTickerConverterH1378" hidden="1">#REF!</definedName>
    <definedName name="IQRTickerConverterH1379" hidden="1">#REF!</definedName>
    <definedName name="IQRTickerConverterH138" hidden="1">#REF!</definedName>
    <definedName name="IQRTickerConverterH1380" hidden="1">#REF!</definedName>
    <definedName name="IQRTickerConverterH1381" hidden="1">#REF!</definedName>
    <definedName name="IQRTickerConverterH1382" hidden="1">#REF!</definedName>
    <definedName name="IQRTickerConverterH1383" hidden="1">#REF!</definedName>
    <definedName name="IQRTickerConverterH1384" hidden="1">#REF!</definedName>
    <definedName name="IQRTickerConverterH1385" hidden="1">#REF!</definedName>
    <definedName name="IQRTickerConverterH1386" hidden="1">#REF!</definedName>
    <definedName name="IQRTickerConverterH1388" hidden="1">#REF!</definedName>
    <definedName name="IQRTickerConverterH1389" hidden="1">#REF!</definedName>
    <definedName name="IQRTickerConverterH139" hidden="1">#REF!</definedName>
    <definedName name="IQRTickerConverterH1390" hidden="1">#REF!</definedName>
    <definedName name="IQRTickerConverterH1391" hidden="1">#REF!</definedName>
    <definedName name="IQRTickerConverterH1392" hidden="1">#REF!</definedName>
    <definedName name="IQRTickerConverterH1393" hidden="1">#REF!</definedName>
    <definedName name="IQRTickerConverterH1394" hidden="1">#REF!</definedName>
    <definedName name="IQRTickerConverterH1395" hidden="1">#REF!</definedName>
    <definedName name="IQRTickerConverterH1396" hidden="1">#REF!</definedName>
    <definedName name="IQRTickerConverterH1397" hidden="1">#REF!</definedName>
    <definedName name="IQRTickerConverterH1398" hidden="1">#REF!</definedName>
    <definedName name="IQRTickerConverterH1399" hidden="1">#REF!</definedName>
    <definedName name="IQRTickerConverterH14" hidden="1">#REF!</definedName>
    <definedName name="IQRTickerConverterH140" hidden="1">#REF!</definedName>
    <definedName name="IQRTickerConverterH1400" hidden="1">#REF!</definedName>
    <definedName name="IQRTickerConverterH1401" hidden="1">#REF!</definedName>
    <definedName name="IQRTickerConverterH1402" hidden="1">#REF!</definedName>
    <definedName name="IQRTickerConverterH1403" hidden="1">#REF!</definedName>
    <definedName name="IQRTickerConverterH1404" hidden="1">#REF!</definedName>
    <definedName name="IQRTickerConverterH1405" hidden="1">#REF!</definedName>
    <definedName name="IQRTickerConverterH1406" hidden="1">#REF!</definedName>
    <definedName name="IQRTickerConverterH1407" hidden="1">#REF!</definedName>
    <definedName name="IQRTickerConverterH1408" hidden="1">#REF!</definedName>
    <definedName name="IQRTickerConverterH1409" hidden="1">#REF!</definedName>
    <definedName name="IQRTickerConverterH141" hidden="1">#REF!</definedName>
    <definedName name="IQRTickerConverterH1410" hidden="1">#REF!</definedName>
    <definedName name="IQRTickerConverterH1411" hidden="1">#REF!</definedName>
    <definedName name="IQRTickerConverterH1412" hidden="1">#REF!</definedName>
    <definedName name="IQRTickerConverterH1413" hidden="1">#REF!</definedName>
    <definedName name="IQRTickerConverterH1414" hidden="1">#REF!</definedName>
    <definedName name="IQRTickerConverterH1415" hidden="1">#REF!</definedName>
    <definedName name="IQRTickerConverterH1416" hidden="1">#REF!</definedName>
    <definedName name="IQRTickerConverterH1417" hidden="1">#REF!</definedName>
    <definedName name="IQRTickerConverterH1418" hidden="1">#REF!</definedName>
    <definedName name="IQRTickerConverterH1419" hidden="1">#REF!</definedName>
    <definedName name="IQRTickerConverterH142" hidden="1">#REF!</definedName>
    <definedName name="IQRTickerConverterH1420" hidden="1">#REF!</definedName>
    <definedName name="IQRTickerConverterH1421" hidden="1">#REF!</definedName>
    <definedName name="IQRTickerConverterH1422" hidden="1">#REF!</definedName>
    <definedName name="IQRTickerConverterH1423" hidden="1">#REF!</definedName>
    <definedName name="IQRTickerConverterH1425" hidden="1">#REF!</definedName>
    <definedName name="IQRTickerConverterH1426" hidden="1">#REF!</definedName>
    <definedName name="IQRTickerConverterH1427" hidden="1">#REF!</definedName>
    <definedName name="IQRTickerConverterH1428" hidden="1">#REF!</definedName>
    <definedName name="IQRTickerConverterH1429" hidden="1">#REF!</definedName>
    <definedName name="IQRTickerConverterH143" hidden="1">#REF!</definedName>
    <definedName name="IQRTickerConverterH1430" hidden="1">#REF!</definedName>
    <definedName name="IQRTickerConverterH1431" hidden="1">#REF!</definedName>
    <definedName name="IQRTickerConverterH1432" hidden="1">#REF!</definedName>
    <definedName name="IQRTickerConverterH1433" hidden="1">#REF!</definedName>
    <definedName name="IQRTickerConverterH1434" hidden="1">#REF!</definedName>
    <definedName name="IQRTickerConverterH1435" hidden="1">#REF!</definedName>
    <definedName name="IQRTickerConverterH1436" hidden="1">#REF!</definedName>
    <definedName name="IQRTickerConverterH1438" hidden="1">#REF!</definedName>
    <definedName name="IQRTickerConverterH1439" hidden="1">#REF!</definedName>
    <definedName name="IQRTickerConverterH144" hidden="1">#REF!</definedName>
    <definedName name="IQRTickerConverterH1440" hidden="1">#REF!</definedName>
    <definedName name="IQRTickerConverterH1441" hidden="1">#REF!</definedName>
    <definedName name="IQRTickerConverterH1442" hidden="1">#REF!</definedName>
    <definedName name="IQRTickerConverterH1443" hidden="1">#REF!</definedName>
    <definedName name="IQRTickerConverterH1444" hidden="1">#REF!</definedName>
    <definedName name="IQRTickerConverterH1445" hidden="1">#REF!</definedName>
    <definedName name="IQRTickerConverterH1446" hidden="1">#REF!</definedName>
    <definedName name="IQRTickerConverterH1447" hidden="1">#REF!</definedName>
    <definedName name="IQRTickerConverterH1448" hidden="1">#REF!</definedName>
    <definedName name="IQRTickerConverterH1449" hidden="1">#REF!</definedName>
    <definedName name="IQRTickerConverterH145" hidden="1">#REF!</definedName>
    <definedName name="IQRTickerConverterH1450" hidden="1">#REF!</definedName>
    <definedName name="IQRTickerConverterH1451" hidden="1">#REF!</definedName>
    <definedName name="IQRTickerConverterH1452" hidden="1">#REF!</definedName>
    <definedName name="IQRTickerConverterH1453" hidden="1">#REF!</definedName>
    <definedName name="IQRTickerConverterH1454" hidden="1">#REF!</definedName>
    <definedName name="IQRTickerConverterH1455" hidden="1">#REF!</definedName>
    <definedName name="IQRTickerConverterH1456" hidden="1">#REF!</definedName>
    <definedName name="IQRTickerConverterH1457" hidden="1">#REF!</definedName>
    <definedName name="IQRTickerConverterH1458" hidden="1">#REF!</definedName>
    <definedName name="IQRTickerConverterH1459" hidden="1">#REF!</definedName>
    <definedName name="IQRTickerConverterH146" hidden="1">#REF!</definedName>
    <definedName name="IQRTickerConverterH1460" hidden="1">#REF!</definedName>
    <definedName name="IQRTickerConverterH1461" hidden="1">#REF!</definedName>
    <definedName name="IQRTickerConverterH1462" hidden="1">#REF!</definedName>
    <definedName name="IQRTickerConverterH1463" hidden="1">#REF!</definedName>
    <definedName name="IQRTickerConverterH1464" hidden="1">#REF!</definedName>
    <definedName name="IQRTickerConverterH1465" hidden="1">#REF!</definedName>
    <definedName name="IQRTickerConverterH1466" hidden="1">#REF!</definedName>
    <definedName name="IQRTickerConverterH1467" hidden="1">#REF!</definedName>
    <definedName name="IQRTickerConverterH1468" hidden="1">#REF!</definedName>
    <definedName name="IQRTickerConverterH1469" hidden="1">#REF!</definedName>
    <definedName name="IQRTickerConverterH147" hidden="1">#REF!</definedName>
    <definedName name="IQRTickerConverterH1470" hidden="1">#REF!</definedName>
    <definedName name="IQRTickerConverterH1471" hidden="1">#REF!</definedName>
    <definedName name="IQRTickerConverterH1472" hidden="1">#REF!</definedName>
    <definedName name="IQRTickerConverterH1473" hidden="1">#REF!</definedName>
    <definedName name="IQRTickerConverterH1474" hidden="1">#REF!</definedName>
    <definedName name="IQRTickerConverterH1475" hidden="1">#REF!</definedName>
    <definedName name="IQRTickerConverterH1476" hidden="1">#REF!</definedName>
    <definedName name="IQRTickerConverterH1477" hidden="1">#REF!</definedName>
    <definedName name="IQRTickerConverterH1478" hidden="1">#REF!</definedName>
    <definedName name="IQRTickerConverterH1479" hidden="1">#REF!</definedName>
    <definedName name="IQRTickerConverterH148" hidden="1">#REF!</definedName>
    <definedName name="IQRTickerConverterH1480" hidden="1">#REF!</definedName>
    <definedName name="IQRTickerConverterH1481" hidden="1">#REF!</definedName>
    <definedName name="IQRTickerConverterH1482" hidden="1">#REF!</definedName>
    <definedName name="IQRTickerConverterH1483" hidden="1">#REF!</definedName>
    <definedName name="IQRTickerConverterH1484" hidden="1">#REF!</definedName>
    <definedName name="IQRTickerConverterH1485" hidden="1">#REF!</definedName>
    <definedName name="IQRTickerConverterH1486" hidden="1">#REF!</definedName>
    <definedName name="IQRTickerConverterH1488" hidden="1">#REF!</definedName>
    <definedName name="IQRTickerConverterH1489" hidden="1">#REF!</definedName>
    <definedName name="IQRTickerConverterH149" hidden="1">#REF!</definedName>
    <definedName name="IQRTickerConverterH1490" hidden="1">#REF!</definedName>
    <definedName name="IQRTickerConverterH1491" hidden="1">#REF!</definedName>
    <definedName name="IQRTickerConverterH1492" hidden="1">#REF!</definedName>
    <definedName name="IQRTickerConverterH1493" hidden="1">#REF!</definedName>
    <definedName name="IQRTickerConverterH1495" hidden="1">#REF!</definedName>
    <definedName name="IQRTickerConverterH1496" hidden="1">#REF!</definedName>
    <definedName name="IQRTickerConverterH1497" hidden="1">#REF!</definedName>
    <definedName name="IQRTickerConverterH1498" hidden="1">#REF!</definedName>
    <definedName name="IQRTickerConverterH1499" hidden="1">#REF!</definedName>
    <definedName name="IQRTickerConverterH15" hidden="1">#REF!</definedName>
    <definedName name="IQRTickerConverterH150" hidden="1">#REF!</definedName>
    <definedName name="IQRTickerConverterH1502" hidden="1">#REF!</definedName>
    <definedName name="IQRTickerConverterH1503" hidden="1">#REF!</definedName>
    <definedName name="IQRTickerConverterH1504" hidden="1">#REF!</definedName>
    <definedName name="IQRTickerConverterH1505" hidden="1">#REF!</definedName>
    <definedName name="IQRTickerConverterH1506" hidden="1">#REF!</definedName>
    <definedName name="IQRTickerConverterH1507" hidden="1">#REF!</definedName>
    <definedName name="IQRTickerConverterH1508" hidden="1">#REF!</definedName>
    <definedName name="IQRTickerConverterH1509" hidden="1">#REF!</definedName>
    <definedName name="IQRTickerConverterH151" hidden="1">#REF!</definedName>
    <definedName name="IQRTickerConverterH1510" hidden="1">#REF!</definedName>
    <definedName name="IQRTickerConverterH1511" hidden="1">#REF!</definedName>
    <definedName name="IQRTickerConverterH1512" hidden="1">#REF!</definedName>
    <definedName name="IQRTickerConverterH1513" hidden="1">#REF!</definedName>
    <definedName name="IQRTickerConverterH1514" hidden="1">#REF!</definedName>
    <definedName name="IQRTickerConverterH1515" hidden="1">#REF!</definedName>
    <definedName name="IQRTickerConverterH1516" hidden="1">#REF!</definedName>
    <definedName name="IQRTickerConverterH1517" hidden="1">#REF!</definedName>
    <definedName name="IQRTickerConverterH1518" hidden="1">#REF!</definedName>
    <definedName name="IQRTickerConverterH1519" hidden="1">#REF!</definedName>
    <definedName name="IQRTickerConverterH152" hidden="1">#REF!</definedName>
    <definedName name="IQRTickerConverterH1520" hidden="1">#REF!</definedName>
    <definedName name="IQRTickerConverterH1521" hidden="1">#REF!</definedName>
    <definedName name="IQRTickerConverterH1522" hidden="1">#REF!</definedName>
    <definedName name="IQRTickerConverterH1523" hidden="1">#REF!</definedName>
    <definedName name="IQRTickerConverterH1524" hidden="1">#REF!</definedName>
    <definedName name="IQRTickerConverterH1526" hidden="1">#REF!</definedName>
    <definedName name="IQRTickerConverterH1527" hidden="1">#REF!</definedName>
    <definedName name="IQRTickerConverterH1528" hidden="1">#REF!</definedName>
    <definedName name="IQRTickerConverterH1529" hidden="1">#REF!</definedName>
    <definedName name="IQRTickerConverterH153" hidden="1">#REF!</definedName>
    <definedName name="IQRTickerConverterH1530" hidden="1">#REF!</definedName>
    <definedName name="IQRTickerConverterH1531" hidden="1">#REF!</definedName>
    <definedName name="IQRTickerConverterH1532" hidden="1">#REF!</definedName>
    <definedName name="IQRTickerConverterH1533" hidden="1">#REF!</definedName>
    <definedName name="IQRTickerConverterH1534" hidden="1">#REF!</definedName>
    <definedName name="IQRTickerConverterH1536" hidden="1">#REF!</definedName>
    <definedName name="IQRTickerConverterH1537" hidden="1">#REF!</definedName>
    <definedName name="IQRTickerConverterH1538" hidden="1">#REF!</definedName>
    <definedName name="IQRTickerConverterH1539" hidden="1">#REF!</definedName>
    <definedName name="IQRTickerConverterH154" hidden="1">#REF!</definedName>
    <definedName name="IQRTickerConverterH1540" hidden="1">#REF!</definedName>
    <definedName name="IQRTickerConverterH1541" hidden="1">#REF!</definedName>
    <definedName name="IQRTickerConverterH1542" hidden="1">#REF!</definedName>
    <definedName name="IQRTickerConverterH1543" hidden="1">#REF!</definedName>
    <definedName name="IQRTickerConverterH1544" hidden="1">#REF!</definedName>
    <definedName name="IQRTickerConverterH1545" hidden="1">#REF!</definedName>
    <definedName name="IQRTickerConverterH1546" hidden="1">#REF!</definedName>
    <definedName name="IQRTickerConverterH1547" hidden="1">#REF!</definedName>
    <definedName name="IQRTickerConverterH1548" hidden="1">#REF!</definedName>
    <definedName name="IQRTickerConverterH1549" hidden="1">#REF!</definedName>
    <definedName name="IQRTickerConverterH155" hidden="1">#REF!</definedName>
    <definedName name="IQRTickerConverterH1551" hidden="1">#REF!</definedName>
    <definedName name="IQRTickerConverterH1552" hidden="1">#REF!</definedName>
    <definedName name="IQRTickerConverterH1553" hidden="1">#REF!</definedName>
    <definedName name="IQRTickerConverterH1554" hidden="1">#REF!</definedName>
    <definedName name="IQRTickerConverterH1555" hidden="1">#REF!</definedName>
    <definedName name="IQRTickerConverterH1556" hidden="1">#REF!</definedName>
    <definedName name="IQRTickerConverterH1557" hidden="1">#REF!</definedName>
    <definedName name="IQRTickerConverterH1558" hidden="1">#REF!</definedName>
    <definedName name="IQRTickerConverterH1559" hidden="1">#REF!</definedName>
    <definedName name="IQRTickerConverterH156" hidden="1">#REF!</definedName>
    <definedName name="IQRTickerConverterH1560" hidden="1">#REF!</definedName>
    <definedName name="IQRTickerConverterH1562" hidden="1">#REF!</definedName>
    <definedName name="IQRTickerConverterH1563" hidden="1">#REF!</definedName>
    <definedName name="IQRTickerConverterH1564" hidden="1">#REF!</definedName>
    <definedName name="IQRTickerConverterH1565" hidden="1">#REF!</definedName>
    <definedName name="IQRTickerConverterH1566" hidden="1">#REF!</definedName>
    <definedName name="IQRTickerConverterH1567" hidden="1">#REF!</definedName>
    <definedName name="IQRTickerConverterH1568" hidden="1">#REF!</definedName>
    <definedName name="IQRTickerConverterH1569" hidden="1">#REF!</definedName>
    <definedName name="IQRTickerConverterH157" hidden="1">#REF!</definedName>
    <definedName name="IQRTickerConverterH1570" hidden="1">#REF!</definedName>
    <definedName name="IQRTickerConverterH1571" hidden="1">#REF!</definedName>
    <definedName name="IQRTickerConverterH1572" hidden="1">#REF!</definedName>
    <definedName name="IQRTickerConverterH1573" hidden="1">#REF!</definedName>
    <definedName name="IQRTickerConverterH1574" hidden="1">#REF!</definedName>
    <definedName name="IQRTickerConverterH1575" hidden="1">#REF!</definedName>
    <definedName name="IQRTickerConverterH1576" hidden="1">#REF!</definedName>
    <definedName name="IQRTickerConverterH1577" hidden="1">#REF!</definedName>
    <definedName name="IQRTickerConverterH1578" hidden="1">#REF!</definedName>
    <definedName name="IQRTickerConverterH1579" hidden="1">#REF!</definedName>
    <definedName name="IQRTickerConverterH158" hidden="1">#REF!</definedName>
    <definedName name="IQRTickerConverterH1580" hidden="1">#REF!</definedName>
    <definedName name="IQRTickerConverterH1581" hidden="1">#REF!</definedName>
    <definedName name="IQRTickerConverterH1582" hidden="1">#REF!</definedName>
    <definedName name="IQRTickerConverterH1584" hidden="1">#REF!</definedName>
    <definedName name="IQRTickerConverterH1585" hidden="1">#REF!</definedName>
    <definedName name="IQRTickerConverterH1586" hidden="1">#REF!</definedName>
    <definedName name="IQRTickerConverterH1588" hidden="1">#REF!</definedName>
    <definedName name="IQRTickerConverterH1589" hidden="1">#REF!</definedName>
    <definedName name="IQRTickerConverterH159" hidden="1">#REF!</definedName>
    <definedName name="IQRTickerConverterH1590" hidden="1">#REF!</definedName>
    <definedName name="IQRTickerConverterH1591" hidden="1">#REF!</definedName>
    <definedName name="IQRTickerConverterH1592" hidden="1">#REF!</definedName>
    <definedName name="IQRTickerConverterH1593" hidden="1">#REF!</definedName>
    <definedName name="IQRTickerConverterH1594" hidden="1">#REF!</definedName>
    <definedName name="IQRTickerConverterH1595" hidden="1">#REF!</definedName>
    <definedName name="IQRTickerConverterH1596" hidden="1">#REF!</definedName>
    <definedName name="IQRTickerConverterH1597" hidden="1">#REF!</definedName>
    <definedName name="IQRTickerConverterH1598" hidden="1">#REF!</definedName>
    <definedName name="IQRTickerConverterH1599" hidden="1">#REF!</definedName>
    <definedName name="IQRTickerConverterH16" hidden="1">#REF!</definedName>
    <definedName name="IQRTickerConverterH160" hidden="1">#REF!</definedName>
    <definedName name="IQRTickerConverterH1600" hidden="1">#REF!</definedName>
    <definedName name="IQRTickerConverterH1602" hidden="1">#REF!</definedName>
    <definedName name="IQRTickerConverterH1603" hidden="1">#REF!</definedName>
    <definedName name="IQRTickerConverterH1604" hidden="1">#REF!</definedName>
    <definedName name="IQRTickerConverterH1605" hidden="1">#REF!</definedName>
    <definedName name="IQRTickerConverterH1606" hidden="1">#REF!</definedName>
    <definedName name="IQRTickerConverterH1607" hidden="1">#REF!</definedName>
    <definedName name="IQRTickerConverterH1608" hidden="1">#REF!</definedName>
    <definedName name="IQRTickerConverterH1609" hidden="1">#REF!</definedName>
    <definedName name="IQRTickerConverterH161" hidden="1">#REF!</definedName>
    <definedName name="IQRTickerConverterH1610" hidden="1">#REF!</definedName>
    <definedName name="IQRTickerConverterH1611" hidden="1">#REF!</definedName>
    <definedName name="IQRTickerConverterH1612" hidden="1">#REF!</definedName>
    <definedName name="IQRTickerConverterH1613" hidden="1">#REF!</definedName>
    <definedName name="IQRTickerConverterH1614" hidden="1">#REF!</definedName>
    <definedName name="IQRTickerConverterH1615" hidden="1">#REF!</definedName>
    <definedName name="IQRTickerConverterH1616" hidden="1">#REF!</definedName>
    <definedName name="IQRTickerConverterH1617" hidden="1">#REF!</definedName>
    <definedName name="IQRTickerConverterH1618" hidden="1">#REF!</definedName>
    <definedName name="IQRTickerConverterH1619" hidden="1">#REF!</definedName>
    <definedName name="IQRTickerConverterH162" hidden="1">#REF!</definedName>
    <definedName name="IQRTickerConverterH1620" hidden="1">#REF!</definedName>
    <definedName name="IQRTickerConverterH1621" hidden="1">#REF!</definedName>
    <definedName name="IQRTickerConverterH1622" hidden="1">#REF!</definedName>
    <definedName name="IQRTickerConverterH1623" hidden="1">#REF!</definedName>
    <definedName name="IQRTickerConverterH1624" hidden="1">#REF!</definedName>
    <definedName name="IQRTickerConverterH1625" hidden="1">#REF!</definedName>
    <definedName name="IQRTickerConverterH1626" hidden="1">#REF!</definedName>
    <definedName name="IQRTickerConverterH1627" hidden="1">#REF!</definedName>
    <definedName name="IQRTickerConverterH1628" hidden="1">#REF!</definedName>
    <definedName name="IQRTickerConverterH1629" hidden="1">#REF!</definedName>
    <definedName name="IQRTickerConverterH163" hidden="1">#REF!</definedName>
    <definedName name="IQRTickerConverterH1630" hidden="1">#REF!</definedName>
    <definedName name="IQRTickerConverterH1631" hidden="1">#REF!</definedName>
    <definedName name="IQRTickerConverterH1632" hidden="1">#REF!</definedName>
    <definedName name="IQRTickerConverterH1633" hidden="1">#REF!</definedName>
    <definedName name="IQRTickerConverterH1634" hidden="1">#REF!</definedName>
    <definedName name="IQRTickerConverterH1635" hidden="1">#REF!</definedName>
    <definedName name="IQRTickerConverterH1636" hidden="1">#REF!</definedName>
    <definedName name="IQRTickerConverterH1637" hidden="1">#REF!</definedName>
    <definedName name="IQRTickerConverterH1638" hidden="1">#REF!</definedName>
    <definedName name="IQRTickerConverterH1639" hidden="1">#REF!</definedName>
    <definedName name="IQRTickerConverterH164" hidden="1">#REF!</definedName>
    <definedName name="IQRTickerConverterH1640" hidden="1">#REF!</definedName>
    <definedName name="IQRTickerConverterH1641" hidden="1">#REF!</definedName>
    <definedName name="IQRTickerConverterH1642" hidden="1">#REF!</definedName>
    <definedName name="IQRTickerConverterH1643" hidden="1">#REF!</definedName>
    <definedName name="IQRTickerConverterH1644" hidden="1">#REF!</definedName>
    <definedName name="IQRTickerConverterH1645" hidden="1">#REF!</definedName>
    <definedName name="IQRTickerConverterH1646" hidden="1">#REF!</definedName>
    <definedName name="IQRTickerConverterH1647" hidden="1">#REF!</definedName>
    <definedName name="IQRTickerConverterH1648" hidden="1">#REF!</definedName>
    <definedName name="IQRTickerConverterH1649" hidden="1">#REF!</definedName>
    <definedName name="IQRTickerConverterH165" hidden="1">#REF!</definedName>
    <definedName name="IQRTickerConverterH1650" hidden="1">#REF!</definedName>
    <definedName name="IQRTickerConverterH1651" hidden="1">#REF!</definedName>
    <definedName name="IQRTickerConverterH1652" hidden="1">#REF!</definedName>
    <definedName name="IQRTickerConverterH1653" hidden="1">#REF!</definedName>
    <definedName name="IQRTickerConverterH1654" hidden="1">#REF!</definedName>
    <definedName name="IQRTickerConverterH1655" hidden="1">#REF!</definedName>
    <definedName name="IQRTickerConverterH1657" hidden="1">#REF!</definedName>
    <definedName name="IQRTickerConverterH1658" hidden="1">#REF!</definedName>
    <definedName name="IQRTickerConverterH1659" hidden="1">#REF!</definedName>
    <definedName name="IQRTickerConverterH166" hidden="1">#REF!</definedName>
    <definedName name="IQRTickerConverterH1660" hidden="1">#REF!</definedName>
    <definedName name="IQRTickerConverterH1661" hidden="1">#REF!</definedName>
    <definedName name="IQRTickerConverterH1662" hidden="1">#REF!</definedName>
    <definedName name="IQRTickerConverterH1663" hidden="1">#REF!</definedName>
    <definedName name="IQRTickerConverterH1664" hidden="1">#REF!</definedName>
    <definedName name="IQRTickerConverterH1665" hidden="1">#REF!</definedName>
    <definedName name="IQRTickerConverterH1667" hidden="1">#REF!</definedName>
    <definedName name="IQRTickerConverterH1669" hidden="1">#REF!</definedName>
    <definedName name="IQRTickerConverterH167" hidden="1">#REF!</definedName>
    <definedName name="IQRTickerConverterH1670" hidden="1">#REF!</definedName>
    <definedName name="IQRTickerConverterH1671" hidden="1">#REF!</definedName>
    <definedName name="IQRTickerConverterH1672" hidden="1">#REF!</definedName>
    <definedName name="IQRTickerConverterH1673" hidden="1">#REF!</definedName>
    <definedName name="IQRTickerConverterH1674" hidden="1">#REF!</definedName>
    <definedName name="IQRTickerConverterH1675" hidden="1">#REF!</definedName>
    <definedName name="IQRTickerConverterH1676" hidden="1">#REF!</definedName>
    <definedName name="IQRTickerConverterH1677" hidden="1">#REF!</definedName>
    <definedName name="IQRTickerConverterH1678" hidden="1">#REF!</definedName>
    <definedName name="IQRTickerConverterH1679" hidden="1">#REF!</definedName>
    <definedName name="IQRTickerConverterH168" hidden="1">#REF!</definedName>
    <definedName name="IQRTickerConverterH1680" hidden="1">#REF!</definedName>
    <definedName name="IQRTickerConverterH1681" hidden="1">#REF!</definedName>
    <definedName name="IQRTickerConverterH1682" hidden="1">#REF!</definedName>
    <definedName name="IQRTickerConverterH1683" hidden="1">#REF!</definedName>
    <definedName name="IQRTickerConverterH1684" hidden="1">#REF!</definedName>
    <definedName name="IQRTickerConverterH1685" hidden="1">#REF!</definedName>
    <definedName name="IQRTickerConverterH1686" hidden="1">#REF!</definedName>
    <definedName name="IQRTickerConverterH1687" hidden="1">#REF!</definedName>
    <definedName name="IQRTickerConverterH1688" hidden="1">#REF!</definedName>
    <definedName name="IQRTickerConverterH1689" hidden="1">#REF!</definedName>
    <definedName name="IQRTickerConverterH169" hidden="1">#REF!</definedName>
    <definedName name="IQRTickerConverterH1690" hidden="1">#REF!</definedName>
    <definedName name="IQRTickerConverterH1691" hidden="1">#REF!</definedName>
    <definedName name="IQRTickerConverterH1692" hidden="1">#REF!</definedName>
    <definedName name="IQRTickerConverterH1693" hidden="1">#REF!</definedName>
    <definedName name="IQRTickerConverterH1694" hidden="1">#REF!</definedName>
    <definedName name="IQRTickerConverterH1695" hidden="1">#REF!</definedName>
    <definedName name="IQRTickerConverterH1696" hidden="1">#REF!</definedName>
    <definedName name="IQRTickerConverterH1697" hidden="1">#REF!</definedName>
    <definedName name="IQRTickerConverterH1698" hidden="1">#REF!</definedName>
    <definedName name="IQRTickerConverterH1699" hidden="1">#REF!</definedName>
    <definedName name="IQRTickerConverterH17" hidden="1">#REF!</definedName>
    <definedName name="IQRTickerConverterH170" hidden="1">#REF!</definedName>
    <definedName name="IQRTickerConverterH1702" hidden="1">#REF!</definedName>
    <definedName name="IQRTickerConverterH1703" hidden="1">#REF!</definedName>
    <definedName name="IQRTickerConverterH1705" hidden="1">#REF!</definedName>
    <definedName name="IQRTickerConverterH1706" hidden="1">#REF!</definedName>
    <definedName name="IQRTickerConverterH1707" hidden="1">#REF!</definedName>
    <definedName name="IQRTickerConverterH1709" hidden="1">#REF!</definedName>
    <definedName name="IQRTickerConverterH171" hidden="1">#REF!</definedName>
    <definedName name="IQRTickerConverterH1710" hidden="1">#REF!</definedName>
    <definedName name="IQRTickerConverterH1711" hidden="1">#REF!</definedName>
    <definedName name="IQRTickerConverterH1712" hidden="1">#REF!</definedName>
    <definedName name="IQRTickerConverterH1713" hidden="1">#REF!</definedName>
    <definedName name="IQRTickerConverterH1714" hidden="1">#REF!</definedName>
    <definedName name="IQRTickerConverterH1715" hidden="1">#REF!</definedName>
    <definedName name="IQRTickerConverterH1716" hidden="1">#REF!</definedName>
    <definedName name="IQRTickerConverterH1717" hidden="1">#REF!</definedName>
    <definedName name="IQRTickerConverterH1718" hidden="1">#REF!</definedName>
    <definedName name="IQRTickerConverterH1719" hidden="1">#REF!</definedName>
    <definedName name="IQRTickerConverterH172" hidden="1">#REF!</definedName>
    <definedName name="IQRTickerConverterH1720" hidden="1">#REF!</definedName>
    <definedName name="IQRTickerConverterH1721" hidden="1">#REF!</definedName>
    <definedName name="IQRTickerConverterH1722" hidden="1">#REF!</definedName>
    <definedName name="IQRTickerConverterH1723" hidden="1">#REF!</definedName>
    <definedName name="IQRTickerConverterH1724" hidden="1">#REF!</definedName>
    <definedName name="IQRTickerConverterH1725" hidden="1">#REF!</definedName>
    <definedName name="IQRTickerConverterH1726" hidden="1">#REF!</definedName>
    <definedName name="IQRTickerConverterH1727" hidden="1">#REF!</definedName>
    <definedName name="IQRTickerConverterH1728" hidden="1">#REF!</definedName>
    <definedName name="IQRTickerConverterH1729" hidden="1">#REF!</definedName>
    <definedName name="IQRTickerConverterH173" hidden="1">#REF!</definedName>
    <definedName name="IQRTickerConverterH1730" hidden="1">#REF!</definedName>
    <definedName name="IQRTickerConverterH1731" hidden="1">#REF!</definedName>
    <definedName name="IQRTickerConverterH1732" hidden="1">#REF!</definedName>
    <definedName name="IQRTickerConverterH1735" hidden="1">#REF!</definedName>
    <definedName name="IQRTickerConverterH1736" hidden="1">#REF!</definedName>
    <definedName name="IQRTickerConverterH1737" hidden="1">#REF!</definedName>
    <definedName name="IQRTickerConverterH1738" hidden="1">#REF!</definedName>
    <definedName name="IQRTickerConverterH1739" hidden="1">#REF!</definedName>
    <definedName name="IQRTickerConverterH174" hidden="1">#REF!</definedName>
    <definedName name="IQRTickerConverterH1740" hidden="1">#REF!</definedName>
    <definedName name="IQRTickerConverterH1741" hidden="1">#REF!</definedName>
    <definedName name="IQRTickerConverterH1742" hidden="1">#REF!</definedName>
    <definedName name="IQRTickerConverterH1743" hidden="1">#REF!</definedName>
    <definedName name="IQRTickerConverterH1744" hidden="1">#REF!</definedName>
    <definedName name="IQRTickerConverterH1745" hidden="1">#REF!</definedName>
    <definedName name="IQRTickerConverterH1746" hidden="1">#REF!</definedName>
    <definedName name="IQRTickerConverterH1747" hidden="1">#REF!</definedName>
    <definedName name="IQRTickerConverterH1749" hidden="1">#REF!</definedName>
    <definedName name="IQRTickerConverterH175" hidden="1">#REF!</definedName>
    <definedName name="IQRTickerConverterH1750" hidden="1">#REF!</definedName>
    <definedName name="IQRTickerConverterH1752" hidden="1">#REF!</definedName>
    <definedName name="IQRTickerConverterH1753" hidden="1">#REF!</definedName>
    <definedName name="IQRTickerConverterH1754" hidden="1">#REF!</definedName>
    <definedName name="IQRTickerConverterH1755" hidden="1">#REF!</definedName>
    <definedName name="IQRTickerConverterH1756" hidden="1">#REF!</definedName>
    <definedName name="IQRTickerConverterH1757" hidden="1">#REF!</definedName>
    <definedName name="IQRTickerConverterH1758" hidden="1">#REF!</definedName>
    <definedName name="IQRTickerConverterH1759" hidden="1">#REF!</definedName>
    <definedName name="IQRTickerConverterH176" hidden="1">#REF!</definedName>
    <definedName name="IQRTickerConverterH1760" hidden="1">#REF!</definedName>
    <definedName name="IQRTickerConverterH1761" hidden="1">#REF!</definedName>
    <definedName name="IQRTickerConverterH1762" hidden="1">#REF!</definedName>
    <definedName name="IQRTickerConverterH1763" hidden="1">#REF!</definedName>
    <definedName name="IQRTickerConverterH1764" hidden="1">#REF!</definedName>
    <definedName name="IQRTickerConverterH1765" hidden="1">#REF!</definedName>
    <definedName name="IQRTickerConverterH1766" hidden="1">#REF!</definedName>
    <definedName name="IQRTickerConverterH1767" hidden="1">#REF!</definedName>
    <definedName name="IQRTickerConverterH1768" hidden="1">#REF!</definedName>
    <definedName name="IQRTickerConverterH177" hidden="1">#REF!</definedName>
    <definedName name="IQRTickerConverterH1771" hidden="1">#REF!</definedName>
    <definedName name="IQRTickerConverterH1772" hidden="1">#REF!</definedName>
    <definedName name="IQRTickerConverterH1773" hidden="1">#REF!</definedName>
    <definedName name="IQRTickerConverterH1774" hidden="1">#REF!</definedName>
    <definedName name="IQRTickerConverterH1775" hidden="1">#REF!</definedName>
    <definedName name="IQRTickerConverterH1776" hidden="1">#REF!</definedName>
    <definedName name="IQRTickerConverterH1777" hidden="1">#REF!</definedName>
    <definedName name="IQRTickerConverterH1779" hidden="1">#REF!</definedName>
    <definedName name="IQRTickerConverterH178" hidden="1">#REF!</definedName>
    <definedName name="IQRTickerConverterH1780" hidden="1">#REF!</definedName>
    <definedName name="IQRTickerConverterH1781" hidden="1">#REF!</definedName>
    <definedName name="IQRTickerConverterH1782" hidden="1">#REF!</definedName>
    <definedName name="IQRTickerConverterH1783" hidden="1">#REF!</definedName>
    <definedName name="IQRTickerConverterH1784" hidden="1">#REF!</definedName>
    <definedName name="IQRTickerConverterH1785" hidden="1">#REF!</definedName>
    <definedName name="IQRTickerConverterH1786" hidden="1">#REF!</definedName>
    <definedName name="IQRTickerConverterH1787" hidden="1">#REF!</definedName>
    <definedName name="IQRTickerConverterH1788" hidden="1">#REF!</definedName>
    <definedName name="IQRTickerConverterH1789" hidden="1">#REF!</definedName>
    <definedName name="IQRTickerConverterH179" hidden="1">#REF!</definedName>
    <definedName name="IQRTickerConverterH1790" hidden="1">#REF!</definedName>
    <definedName name="IQRTickerConverterH1791" hidden="1">#REF!</definedName>
    <definedName name="IQRTickerConverterH1792" hidden="1">#REF!</definedName>
    <definedName name="IQRTickerConverterH1793" hidden="1">#REF!</definedName>
    <definedName name="IQRTickerConverterH1794" hidden="1">#REF!</definedName>
    <definedName name="IQRTickerConverterH1795" hidden="1">#REF!</definedName>
    <definedName name="IQRTickerConverterH1796" hidden="1">#REF!</definedName>
    <definedName name="IQRTickerConverterH1797" hidden="1">#REF!</definedName>
    <definedName name="IQRTickerConverterH1798" hidden="1">#REF!</definedName>
    <definedName name="IQRTickerConverterH1799" hidden="1">#REF!</definedName>
    <definedName name="IQRTickerConverterH18" hidden="1">#REF!</definedName>
    <definedName name="IQRTickerConverterH180" hidden="1">#REF!</definedName>
    <definedName name="IQRTickerConverterH1800" hidden="1">#REF!</definedName>
    <definedName name="IQRTickerConverterH1801" hidden="1">#REF!</definedName>
    <definedName name="IQRTickerConverterH1802" hidden="1">#REF!</definedName>
    <definedName name="IQRTickerConverterH1803" hidden="1">#REF!</definedName>
    <definedName name="IQRTickerConverterH1804" hidden="1">#REF!</definedName>
    <definedName name="IQRTickerConverterH1805" hidden="1">#REF!</definedName>
    <definedName name="IQRTickerConverterH1806" hidden="1">#REF!</definedName>
    <definedName name="IQRTickerConverterH1807" hidden="1">#REF!</definedName>
    <definedName name="IQRTickerConverterH1808" hidden="1">#REF!</definedName>
    <definedName name="IQRTickerConverterH1809" hidden="1">#REF!</definedName>
    <definedName name="IQRTickerConverterH181" hidden="1">#REF!</definedName>
    <definedName name="IQRTickerConverterH1811" hidden="1">#REF!</definedName>
    <definedName name="IQRTickerConverterH1812" hidden="1">#REF!</definedName>
    <definedName name="IQRTickerConverterH1813" hidden="1">#REF!</definedName>
    <definedName name="IQRTickerConverterH1814" hidden="1">#REF!</definedName>
    <definedName name="IQRTickerConverterH1815" hidden="1">#REF!</definedName>
    <definedName name="IQRTickerConverterH1816" hidden="1">#REF!</definedName>
    <definedName name="IQRTickerConverterH1817" hidden="1">#REF!</definedName>
    <definedName name="IQRTickerConverterH1818" hidden="1">#REF!</definedName>
    <definedName name="IQRTickerConverterH1819" hidden="1">#REF!</definedName>
    <definedName name="IQRTickerConverterH182" hidden="1">#REF!</definedName>
    <definedName name="IQRTickerConverterH1820" hidden="1">#REF!</definedName>
    <definedName name="IQRTickerConverterH1821" hidden="1">#REF!</definedName>
    <definedName name="IQRTickerConverterH1822" hidden="1">#REF!</definedName>
    <definedName name="IQRTickerConverterH1823" hidden="1">#REF!</definedName>
    <definedName name="IQRTickerConverterH1824" hidden="1">#REF!</definedName>
    <definedName name="IQRTickerConverterH1825" hidden="1">#REF!</definedName>
    <definedName name="IQRTickerConverterH1826" hidden="1">#REF!</definedName>
    <definedName name="IQRTickerConverterH1827" hidden="1">#REF!</definedName>
    <definedName name="IQRTickerConverterH1828" hidden="1">#REF!</definedName>
    <definedName name="IQRTickerConverterH183" hidden="1">#REF!</definedName>
    <definedName name="IQRTickerConverterH1830" hidden="1">#REF!</definedName>
    <definedName name="IQRTickerConverterH1831" hidden="1">#REF!</definedName>
    <definedName name="IQRTickerConverterH1832" hidden="1">#REF!</definedName>
    <definedName name="IQRTickerConverterH1833" hidden="1">#REF!</definedName>
    <definedName name="IQRTickerConverterH1834" hidden="1">#REF!</definedName>
    <definedName name="IQRTickerConverterH1835" hidden="1">#REF!</definedName>
    <definedName name="IQRTickerConverterH1836" hidden="1">#REF!</definedName>
    <definedName name="IQRTickerConverterH1837" hidden="1">#REF!</definedName>
    <definedName name="IQRTickerConverterH1838" hidden="1">#REF!</definedName>
    <definedName name="IQRTickerConverterH1839" hidden="1">#REF!</definedName>
    <definedName name="IQRTickerConverterH184" hidden="1">#REF!</definedName>
    <definedName name="IQRTickerConverterH1840" hidden="1">#REF!</definedName>
    <definedName name="IQRTickerConverterH1841" hidden="1">#REF!</definedName>
    <definedName name="IQRTickerConverterH1842" hidden="1">#REF!</definedName>
    <definedName name="IQRTickerConverterH1843" hidden="1">#REF!</definedName>
    <definedName name="IQRTickerConverterH1844" hidden="1">#REF!</definedName>
    <definedName name="IQRTickerConverterH1846" hidden="1">#REF!</definedName>
    <definedName name="IQRTickerConverterH1847" hidden="1">#REF!</definedName>
    <definedName name="IQRTickerConverterH1848" hidden="1">#REF!</definedName>
    <definedName name="IQRTickerConverterH1849" hidden="1">#REF!</definedName>
    <definedName name="IQRTickerConverterH185" hidden="1">#REF!</definedName>
    <definedName name="IQRTickerConverterH1850" hidden="1">#REF!</definedName>
    <definedName name="IQRTickerConverterH1851" hidden="1">#REF!</definedName>
    <definedName name="IQRTickerConverterH1852" hidden="1">#REF!</definedName>
    <definedName name="IQRTickerConverterH1853" hidden="1">#REF!</definedName>
    <definedName name="IQRTickerConverterH1854" hidden="1">#REF!</definedName>
    <definedName name="IQRTickerConverterH1855" hidden="1">#REF!</definedName>
    <definedName name="IQRTickerConverterH1856" hidden="1">#REF!</definedName>
    <definedName name="IQRTickerConverterH1857" hidden="1">#REF!</definedName>
    <definedName name="IQRTickerConverterH1858" hidden="1">#REF!</definedName>
    <definedName name="IQRTickerConverterH1859" hidden="1">#REF!</definedName>
    <definedName name="IQRTickerConverterH186" hidden="1">#REF!</definedName>
    <definedName name="IQRTickerConverterH1860" hidden="1">#REF!</definedName>
    <definedName name="IQRTickerConverterH1861" hidden="1">#REF!</definedName>
    <definedName name="IQRTickerConverterH1862" hidden="1">#REF!</definedName>
    <definedName name="IQRTickerConverterH1863" hidden="1">#REF!</definedName>
    <definedName name="IQRTickerConverterH1864" hidden="1">#REF!</definedName>
    <definedName name="IQRTickerConverterH1865" hidden="1">#REF!</definedName>
    <definedName name="IQRTickerConverterH1866" hidden="1">#REF!</definedName>
    <definedName name="IQRTickerConverterH1867" hidden="1">#REF!</definedName>
    <definedName name="IQRTickerConverterH1868" hidden="1">#REF!</definedName>
    <definedName name="IQRTickerConverterH187" hidden="1">#REF!</definedName>
    <definedName name="IQRTickerConverterH1870" hidden="1">#REF!</definedName>
    <definedName name="IQRTickerConverterH1871" hidden="1">#REF!</definedName>
    <definedName name="IQRTickerConverterH1872" hidden="1">#REF!</definedName>
    <definedName name="IQRTickerConverterH1873" hidden="1">#REF!</definedName>
    <definedName name="IQRTickerConverterH1874" hidden="1">#REF!</definedName>
    <definedName name="IQRTickerConverterH1875" hidden="1">#REF!</definedName>
    <definedName name="IQRTickerConverterH1876" hidden="1">#REF!</definedName>
    <definedName name="IQRTickerConverterH1877" hidden="1">#REF!</definedName>
    <definedName name="IQRTickerConverterH1878" hidden="1">#REF!</definedName>
    <definedName name="IQRTickerConverterH1879" hidden="1">#REF!</definedName>
    <definedName name="IQRTickerConverterH1880" hidden="1">#REF!</definedName>
    <definedName name="IQRTickerConverterH1881" hidden="1">#REF!</definedName>
    <definedName name="IQRTickerConverterH1882" hidden="1">#REF!</definedName>
    <definedName name="IQRTickerConverterH1883" hidden="1">#REF!</definedName>
    <definedName name="IQRTickerConverterH1884" hidden="1">#REF!</definedName>
    <definedName name="IQRTickerConverterH1885" hidden="1">#REF!</definedName>
    <definedName name="IQRTickerConverterH1886" hidden="1">#REF!</definedName>
    <definedName name="IQRTickerConverterH1887" hidden="1">#REF!</definedName>
    <definedName name="IQRTickerConverterH1888" hidden="1">#REF!</definedName>
    <definedName name="IQRTickerConverterH1889" hidden="1">#REF!</definedName>
    <definedName name="IQRTickerConverterH189" hidden="1">#REF!</definedName>
    <definedName name="IQRTickerConverterH1892" hidden="1">#REF!</definedName>
    <definedName name="IQRTickerConverterH1893" hidden="1">#REF!</definedName>
    <definedName name="IQRTickerConverterH1894" hidden="1">#REF!</definedName>
    <definedName name="IQRTickerConverterH1895" hidden="1">#REF!</definedName>
    <definedName name="IQRTickerConverterH1896" hidden="1">#REF!</definedName>
    <definedName name="IQRTickerConverterH1897" hidden="1">#REF!</definedName>
    <definedName name="IQRTickerConverterH1898" hidden="1">#REF!</definedName>
    <definedName name="IQRTickerConverterH1899" hidden="1">#REF!</definedName>
    <definedName name="IQRTickerConverterH19" hidden="1">#REF!</definedName>
    <definedName name="IQRTickerConverterH190" hidden="1">#REF!</definedName>
    <definedName name="IQRTickerConverterH1900" hidden="1">#REF!</definedName>
    <definedName name="IQRTickerConverterH1901" hidden="1">#REF!</definedName>
    <definedName name="IQRTickerConverterH1902" hidden="1">#REF!</definedName>
    <definedName name="IQRTickerConverterH1903" hidden="1">#REF!</definedName>
    <definedName name="IQRTickerConverterH191" hidden="1">#REF!</definedName>
    <definedName name="IQRTickerConverterH192" hidden="1">#REF!</definedName>
    <definedName name="IQRTickerConverterH193" hidden="1">#REF!</definedName>
    <definedName name="IQRTickerConverterH194" hidden="1">#REF!</definedName>
    <definedName name="IQRTickerConverterH195" hidden="1">#REF!</definedName>
    <definedName name="IQRTickerConverterH196" hidden="1">#REF!</definedName>
    <definedName name="IQRTickerConverterH197" hidden="1">#REF!</definedName>
    <definedName name="IQRTickerConverterH198" hidden="1">#REF!</definedName>
    <definedName name="IQRTickerConverterH199" hidden="1">#REF!</definedName>
    <definedName name="IQRTickerConverterH20" hidden="1">#REF!</definedName>
    <definedName name="IQRTickerConverterH201" hidden="1">#REF!</definedName>
    <definedName name="IQRTickerConverterH203" hidden="1">#REF!</definedName>
    <definedName name="IQRTickerConverterH204" hidden="1">#REF!</definedName>
    <definedName name="IQRTickerConverterH205" hidden="1">#REF!</definedName>
    <definedName name="IQRTickerConverterH206" hidden="1">#REF!</definedName>
    <definedName name="IQRTickerConverterH208" hidden="1">#REF!</definedName>
    <definedName name="IQRTickerConverterH209" hidden="1">#REF!</definedName>
    <definedName name="IQRTickerConverterH21" hidden="1">#REF!</definedName>
    <definedName name="IQRTickerConverterH210" hidden="1">#REF!</definedName>
    <definedName name="IQRTickerConverterH211" hidden="1">#REF!</definedName>
    <definedName name="IQRTickerConverterH212" hidden="1">#REF!</definedName>
    <definedName name="IQRTickerConverterH213" hidden="1">#REF!</definedName>
    <definedName name="IQRTickerConverterH215" hidden="1">#REF!</definedName>
    <definedName name="IQRTickerConverterH216" hidden="1">#REF!</definedName>
    <definedName name="IQRTickerConverterH217" hidden="1">#REF!</definedName>
    <definedName name="IQRTickerConverterH218" hidden="1">#REF!</definedName>
    <definedName name="IQRTickerConverterH219" hidden="1">#REF!</definedName>
    <definedName name="IQRTickerConverterH22" hidden="1">#REF!</definedName>
    <definedName name="IQRTickerConverterH220" hidden="1">#REF!</definedName>
    <definedName name="IQRTickerConverterH221" hidden="1">#REF!</definedName>
    <definedName name="IQRTickerConverterH222" hidden="1">#REF!</definedName>
    <definedName name="IQRTickerConverterH223" hidden="1">#REF!</definedName>
    <definedName name="IQRTickerConverterH224" hidden="1">#REF!</definedName>
    <definedName name="IQRTickerConverterH225" hidden="1">#REF!</definedName>
    <definedName name="IQRTickerConverterH226" hidden="1">#REF!</definedName>
    <definedName name="IQRTickerConverterH227" hidden="1">#REF!</definedName>
    <definedName name="IQRTickerConverterH228" hidden="1">#REF!</definedName>
    <definedName name="IQRTickerConverterH229" hidden="1">#REF!</definedName>
    <definedName name="IQRTickerConverterH23" hidden="1">#REF!</definedName>
    <definedName name="IQRTickerConverterH230" hidden="1">#REF!</definedName>
    <definedName name="IQRTickerConverterH231" hidden="1">#REF!</definedName>
    <definedName name="IQRTickerConverterH232" hidden="1">#REF!</definedName>
    <definedName name="IQRTickerConverterH233" hidden="1">#REF!</definedName>
    <definedName name="IQRTickerConverterH234" hidden="1">#REF!</definedName>
    <definedName name="IQRTickerConverterH235" hidden="1">#REF!</definedName>
    <definedName name="IQRTickerConverterH238" hidden="1">#REF!</definedName>
    <definedName name="IQRTickerConverterH239" hidden="1">#REF!</definedName>
    <definedName name="IQRTickerConverterH24" hidden="1">#REF!</definedName>
    <definedName name="IQRTickerConverterH240" hidden="1">#REF!</definedName>
    <definedName name="IQRTickerConverterH241" hidden="1">#REF!</definedName>
    <definedName name="IQRTickerConverterH242" hidden="1">#REF!</definedName>
    <definedName name="IQRTickerConverterH243" hidden="1">#REF!</definedName>
    <definedName name="IQRTickerConverterH244" hidden="1">#REF!</definedName>
    <definedName name="IQRTickerConverterH245" hidden="1">#REF!</definedName>
    <definedName name="IQRTickerConverterH246" hidden="1">#REF!</definedName>
    <definedName name="IQRTickerConverterH247" hidden="1">#REF!</definedName>
    <definedName name="IQRTickerConverterH248" hidden="1">#REF!</definedName>
    <definedName name="IQRTickerConverterH249" hidden="1">#REF!</definedName>
    <definedName name="IQRTickerConverterH25" hidden="1">#REF!</definedName>
    <definedName name="IQRTickerConverterH250" hidden="1">#REF!</definedName>
    <definedName name="IQRTickerConverterH251" hidden="1">#REF!</definedName>
    <definedName name="IQRTickerConverterH252" hidden="1">#REF!</definedName>
    <definedName name="IQRTickerConverterH253" hidden="1">#REF!</definedName>
    <definedName name="IQRTickerConverterH255" hidden="1">#REF!</definedName>
    <definedName name="IQRTickerConverterH256" hidden="1">#REF!</definedName>
    <definedName name="IQRTickerConverterH257" hidden="1">#REF!</definedName>
    <definedName name="IQRTickerConverterH259" hidden="1">#REF!</definedName>
    <definedName name="IQRTickerConverterH26" hidden="1">#REF!</definedName>
    <definedName name="IQRTickerConverterH261" hidden="1">#REF!</definedName>
    <definedName name="IQRTickerConverterH262" hidden="1">#REF!</definedName>
    <definedName name="IQRTickerConverterH263" hidden="1">#REF!</definedName>
    <definedName name="IQRTickerConverterH264" hidden="1">#REF!</definedName>
    <definedName name="IQRTickerConverterH265" hidden="1">#REF!</definedName>
    <definedName name="IQRTickerConverterH266" hidden="1">#REF!</definedName>
    <definedName name="IQRTickerConverterH267" hidden="1">#REF!</definedName>
    <definedName name="IQRTickerConverterH268" hidden="1">#REF!</definedName>
    <definedName name="IQRTickerConverterH269" hidden="1">#REF!</definedName>
    <definedName name="IQRTickerConverterH27" hidden="1">#REF!</definedName>
    <definedName name="IQRTickerConverterH270" hidden="1">#REF!</definedName>
    <definedName name="IQRTickerConverterH271" hidden="1">#REF!</definedName>
    <definedName name="IQRTickerConverterH272" hidden="1">#REF!</definedName>
    <definedName name="IQRTickerConverterH273" hidden="1">#REF!</definedName>
    <definedName name="IQRTickerConverterH274" hidden="1">#REF!</definedName>
    <definedName name="IQRTickerConverterH275" hidden="1">#REF!</definedName>
    <definedName name="IQRTickerConverterH276" hidden="1">#REF!</definedName>
    <definedName name="IQRTickerConverterH277" hidden="1">#REF!</definedName>
    <definedName name="IQRTickerConverterH278" hidden="1">#REF!</definedName>
    <definedName name="IQRTickerConverterH279" hidden="1">#REF!</definedName>
    <definedName name="IQRTickerConverterH28" hidden="1">#REF!</definedName>
    <definedName name="IQRTickerConverterH280" hidden="1">#REF!</definedName>
    <definedName name="IQRTickerConverterH281" hidden="1">#REF!</definedName>
    <definedName name="IQRTickerConverterH282" hidden="1">#REF!</definedName>
    <definedName name="IQRTickerConverterH283" hidden="1">#REF!</definedName>
    <definedName name="IQRTickerConverterH284" hidden="1">#REF!</definedName>
    <definedName name="IQRTickerConverterH286" hidden="1">#REF!</definedName>
    <definedName name="IQRTickerConverterH287" hidden="1">#REF!</definedName>
    <definedName name="IQRTickerConverterH288" hidden="1">#REF!</definedName>
    <definedName name="IQRTickerConverterH289" hidden="1">#REF!</definedName>
    <definedName name="IQRTickerConverterH29" hidden="1">#REF!</definedName>
    <definedName name="IQRTickerConverterH290" hidden="1">#REF!</definedName>
    <definedName name="IQRTickerConverterH291" hidden="1">#REF!</definedName>
    <definedName name="IQRTickerConverterH292" hidden="1">#REF!</definedName>
    <definedName name="IQRTickerConverterH293" hidden="1">#REF!</definedName>
    <definedName name="IQRTickerConverterH294" hidden="1">#REF!</definedName>
    <definedName name="IQRTickerConverterH295" hidden="1">#REF!</definedName>
    <definedName name="IQRTickerConverterH296" hidden="1">#REF!</definedName>
    <definedName name="IQRTickerConverterH298" hidden="1">#REF!</definedName>
    <definedName name="IQRTickerConverterH299" hidden="1">#REF!</definedName>
    <definedName name="IQRTickerConverterH30" hidden="1">#REF!</definedName>
    <definedName name="IQRTickerConverterH300" hidden="1">#REF!</definedName>
    <definedName name="IQRTickerConverterH301" hidden="1">#REF!</definedName>
    <definedName name="IQRTickerConverterH303" hidden="1">#REF!</definedName>
    <definedName name="IQRTickerConverterH304" hidden="1">#REF!</definedName>
    <definedName name="IQRTickerConverterH305" hidden="1">#REF!</definedName>
    <definedName name="IQRTickerConverterH306" hidden="1">#REF!</definedName>
    <definedName name="IQRTickerConverterH307" hidden="1">#REF!</definedName>
    <definedName name="IQRTickerConverterH309" hidden="1">#REF!</definedName>
    <definedName name="IQRTickerConverterH31" hidden="1">#REF!</definedName>
    <definedName name="IQRTickerConverterH310" hidden="1">#REF!</definedName>
    <definedName name="IQRTickerConverterH312" hidden="1">#REF!</definedName>
    <definedName name="IQRTickerConverterH314" hidden="1">#REF!</definedName>
    <definedName name="IQRTickerConverterH315" hidden="1">#REF!</definedName>
    <definedName name="IQRTickerConverterH316" hidden="1">#REF!</definedName>
    <definedName name="IQRTickerConverterH317" hidden="1">#REF!</definedName>
    <definedName name="IQRTickerConverterH318" hidden="1">#REF!</definedName>
    <definedName name="IQRTickerConverterH319" hidden="1">#REF!</definedName>
    <definedName name="IQRTickerConverterH32" hidden="1">#REF!</definedName>
    <definedName name="IQRTickerConverterH320" hidden="1">#REF!</definedName>
    <definedName name="IQRTickerConverterH321" hidden="1">#REF!</definedName>
    <definedName name="IQRTickerConverterH322" hidden="1">#REF!</definedName>
    <definedName name="IQRTickerConverterH323" hidden="1">#REF!</definedName>
    <definedName name="IQRTickerConverterH324" hidden="1">#REF!</definedName>
    <definedName name="IQRTickerConverterH325" hidden="1">#REF!</definedName>
    <definedName name="IQRTickerConverterH326" hidden="1">#REF!</definedName>
    <definedName name="IQRTickerConverterH327" hidden="1">#REF!</definedName>
    <definedName name="IQRTickerConverterH328" hidden="1">#REF!</definedName>
    <definedName name="IQRTickerConverterH329" hidden="1">#REF!</definedName>
    <definedName name="IQRTickerConverterH33" hidden="1">#REF!</definedName>
    <definedName name="IQRTickerConverterH330" hidden="1">#REF!</definedName>
    <definedName name="IQRTickerConverterH331" hidden="1">#REF!</definedName>
    <definedName name="IQRTickerConverterH332" hidden="1">#REF!</definedName>
    <definedName name="IQRTickerConverterH333" hidden="1">#REF!</definedName>
    <definedName name="IQRTickerConverterH334" hidden="1">#REF!</definedName>
    <definedName name="IQRTickerConverterH335" hidden="1">#REF!</definedName>
    <definedName name="IQRTickerConverterH336" hidden="1">#REF!</definedName>
    <definedName name="IQRTickerConverterH337" hidden="1">#REF!</definedName>
    <definedName name="IQRTickerConverterH338" hidden="1">#REF!</definedName>
    <definedName name="IQRTickerConverterH339" hidden="1">#REF!</definedName>
    <definedName name="IQRTickerConverterH341" hidden="1">#REF!</definedName>
    <definedName name="IQRTickerConverterH342" hidden="1">#REF!</definedName>
    <definedName name="IQRTickerConverterH343" hidden="1">#REF!</definedName>
    <definedName name="IQRTickerConverterH344" hidden="1">#REF!</definedName>
    <definedName name="IQRTickerConverterH345" hidden="1">#REF!</definedName>
    <definedName name="IQRTickerConverterH346" hidden="1">#REF!</definedName>
    <definedName name="IQRTickerConverterH347" hidden="1">#REF!</definedName>
    <definedName name="IQRTickerConverterH348" hidden="1">#REF!</definedName>
    <definedName name="IQRTickerConverterH349" hidden="1">#REF!</definedName>
    <definedName name="IQRTickerConverterH35" hidden="1">#REF!</definedName>
    <definedName name="IQRTickerConverterH350" hidden="1">#REF!</definedName>
    <definedName name="IQRTickerConverterH351" hidden="1">#REF!</definedName>
    <definedName name="IQRTickerConverterH352" hidden="1">#REF!</definedName>
    <definedName name="IQRTickerConverterH353" hidden="1">#REF!</definedName>
    <definedName name="IQRTickerConverterH354" hidden="1">#REF!</definedName>
    <definedName name="IQRTickerConverterH355" hidden="1">#REF!</definedName>
    <definedName name="IQRTickerConverterH356" hidden="1">#REF!</definedName>
    <definedName name="IQRTickerConverterH357" hidden="1">#REF!</definedName>
    <definedName name="IQRTickerConverterH358" hidden="1">#REF!</definedName>
    <definedName name="IQRTickerConverterH359" hidden="1">#REF!</definedName>
    <definedName name="IQRTickerConverterH36" hidden="1">#REF!</definedName>
    <definedName name="IQRTickerConverterH360" hidden="1">#REF!</definedName>
    <definedName name="IQRTickerConverterH361" hidden="1">#REF!</definedName>
    <definedName name="IQRTickerConverterH363" hidden="1">#REF!</definedName>
    <definedName name="IQRTickerConverterH364" hidden="1">#REF!</definedName>
    <definedName name="IQRTickerConverterH365" hidden="1">#REF!</definedName>
    <definedName name="IQRTickerConverterH366" hidden="1">#REF!</definedName>
    <definedName name="IQRTickerConverterH367" hidden="1">#REF!</definedName>
    <definedName name="IQRTickerConverterH368" hidden="1">#REF!</definedName>
    <definedName name="IQRTickerConverterH369" hidden="1">#REF!</definedName>
    <definedName name="IQRTickerConverterH37" hidden="1">#REF!</definedName>
    <definedName name="IQRTickerConverterH370" hidden="1">#REF!</definedName>
    <definedName name="IQRTickerConverterH371" hidden="1">#REF!</definedName>
    <definedName name="IQRTickerConverterH372" hidden="1">#REF!</definedName>
    <definedName name="IQRTickerConverterH373" hidden="1">#REF!</definedName>
    <definedName name="IQRTickerConverterH374" hidden="1">#REF!</definedName>
    <definedName name="IQRTickerConverterH376" hidden="1">#REF!</definedName>
    <definedName name="IQRTickerConverterH377" hidden="1">#REF!</definedName>
    <definedName name="IQRTickerConverterH378" hidden="1">#REF!</definedName>
    <definedName name="IQRTickerConverterH379" hidden="1">#REF!</definedName>
    <definedName name="IQRTickerConverterH38" hidden="1">#REF!</definedName>
    <definedName name="IQRTickerConverterH380" hidden="1">#REF!</definedName>
    <definedName name="IQRTickerConverterH381" hidden="1">#REF!</definedName>
    <definedName name="IQRTickerConverterH383" hidden="1">#REF!</definedName>
    <definedName name="IQRTickerConverterH384" hidden="1">#REF!</definedName>
    <definedName name="IQRTickerConverterH385" hidden="1">#REF!</definedName>
    <definedName name="IQRTickerConverterH386" hidden="1">#REF!</definedName>
    <definedName name="IQRTickerConverterH387" hidden="1">#REF!</definedName>
    <definedName name="IQRTickerConverterH388" hidden="1">#REF!</definedName>
    <definedName name="IQRTickerConverterH389" hidden="1">#REF!</definedName>
    <definedName name="IQRTickerConverterH39" hidden="1">#REF!</definedName>
    <definedName name="IQRTickerConverterH390" hidden="1">#REF!</definedName>
    <definedName name="IQRTickerConverterH391" hidden="1">#REF!</definedName>
    <definedName name="IQRTickerConverterH392" hidden="1">#REF!</definedName>
    <definedName name="IQRTickerConverterH393" hidden="1">#REF!</definedName>
    <definedName name="IQRTickerConverterH394" hidden="1">#REF!</definedName>
    <definedName name="IQRTickerConverterH395" hidden="1">#REF!</definedName>
    <definedName name="IQRTickerConverterH397" hidden="1">#REF!</definedName>
    <definedName name="IQRTickerConverterH398" hidden="1">#REF!</definedName>
    <definedName name="IQRTickerConverterH399" hidden="1">#REF!</definedName>
    <definedName name="IQRTickerConverterH40" hidden="1">#REF!</definedName>
    <definedName name="IQRTickerConverterH400" hidden="1">#REF!</definedName>
    <definedName name="IQRTickerConverterH401" hidden="1">#REF!</definedName>
    <definedName name="IQRTickerConverterH402" hidden="1">#REF!</definedName>
    <definedName name="IQRTickerConverterH403" hidden="1">#REF!</definedName>
    <definedName name="IQRTickerConverterH404" hidden="1">#REF!</definedName>
    <definedName name="IQRTickerConverterH405" hidden="1">#REF!</definedName>
    <definedName name="IQRTickerConverterH406" hidden="1">#REF!</definedName>
    <definedName name="IQRTickerConverterH407" hidden="1">#REF!</definedName>
    <definedName name="IQRTickerConverterH408" hidden="1">#REF!</definedName>
    <definedName name="IQRTickerConverterH409" hidden="1">#REF!</definedName>
    <definedName name="IQRTickerConverterH41" hidden="1">#REF!</definedName>
    <definedName name="IQRTickerConverterH410" hidden="1">#REF!</definedName>
    <definedName name="IQRTickerConverterH411" hidden="1">#REF!</definedName>
    <definedName name="IQRTickerConverterH413" hidden="1">#REF!</definedName>
    <definedName name="IQRTickerConverterH414" hidden="1">#REF!</definedName>
    <definedName name="IQRTickerConverterH415" hidden="1">#REF!</definedName>
    <definedName name="IQRTickerConverterH417" hidden="1">#REF!</definedName>
    <definedName name="IQRTickerConverterH418" hidden="1">#REF!</definedName>
    <definedName name="IQRTickerConverterH419" hidden="1">#REF!</definedName>
    <definedName name="IQRTickerConverterH42" hidden="1">#REF!</definedName>
    <definedName name="IQRTickerConverterH420" hidden="1">#REF!</definedName>
    <definedName name="IQRTickerConverterH421" hidden="1">#REF!</definedName>
    <definedName name="IQRTickerConverterH422" hidden="1">#REF!</definedName>
    <definedName name="IQRTickerConverterH423" hidden="1">#REF!</definedName>
    <definedName name="IQRTickerConverterH424" hidden="1">#REF!</definedName>
    <definedName name="IQRTickerConverterH425" hidden="1">#REF!</definedName>
    <definedName name="IQRTickerConverterH426" hidden="1">#REF!</definedName>
    <definedName name="IQRTickerConverterH427" hidden="1">#REF!</definedName>
    <definedName name="IQRTickerConverterH428" hidden="1">#REF!</definedName>
    <definedName name="IQRTickerConverterH429" hidden="1">#REF!</definedName>
    <definedName name="IQRTickerConverterH43" hidden="1">#REF!</definedName>
    <definedName name="IQRTickerConverterH431" hidden="1">#REF!</definedName>
    <definedName name="IQRTickerConverterH432" hidden="1">#REF!</definedName>
    <definedName name="IQRTickerConverterH433" hidden="1">#REF!</definedName>
    <definedName name="IQRTickerConverterH434" hidden="1">#REF!</definedName>
    <definedName name="IQRTickerConverterH435" hidden="1">#REF!</definedName>
    <definedName name="IQRTickerConverterH436" hidden="1">#REF!</definedName>
    <definedName name="IQRTickerConverterH437" hidden="1">#REF!</definedName>
    <definedName name="IQRTickerConverterH438" hidden="1">#REF!</definedName>
    <definedName name="IQRTickerConverterH439" hidden="1">#REF!</definedName>
    <definedName name="IQRTickerConverterH44" hidden="1">#REF!</definedName>
    <definedName name="IQRTickerConverterH440" hidden="1">#REF!</definedName>
    <definedName name="IQRTickerConverterH441" hidden="1">#REF!</definedName>
    <definedName name="IQRTickerConverterH442" hidden="1">#REF!</definedName>
    <definedName name="IQRTickerConverterH443" hidden="1">#REF!</definedName>
    <definedName name="IQRTickerConverterH444" hidden="1">#REF!</definedName>
    <definedName name="IQRTickerConverterH445" hidden="1">#REF!</definedName>
    <definedName name="IQRTickerConverterH446" hidden="1">#REF!</definedName>
    <definedName name="IQRTickerConverterH447" hidden="1">#REF!</definedName>
    <definedName name="IQRTickerConverterH448" hidden="1">#REF!</definedName>
    <definedName name="IQRTickerConverterH449" hidden="1">#REF!</definedName>
    <definedName name="IQRTickerConverterH45" hidden="1">#REF!</definedName>
    <definedName name="IQRTickerConverterH450" hidden="1">#REF!</definedName>
    <definedName name="IQRTickerConverterH451" hidden="1">#REF!</definedName>
    <definedName name="IQRTickerConverterH452" hidden="1">#REF!</definedName>
    <definedName name="IQRTickerConverterH453" hidden="1">#REF!</definedName>
    <definedName name="IQRTickerConverterH455" hidden="1">#REF!</definedName>
    <definedName name="IQRTickerConverterH456" hidden="1">#REF!</definedName>
    <definedName name="IQRTickerConverterH457" hidden="1">#REF!</definedName>
    <definedName name="IQRTickerConverterH458" hidden="1">#REF!</definedName>
    <definedName name="IQRTickerConverterH459" hidden="1">#REF!</definedName>
    <definedName name="IQRTickerConverterH46" hidden="1">#REF!</definedName>
    <definedName name="IQRTickerConverterH460" hidden="1">#REF!</definedName>
    <definedName name="IQRTickerConverterH461" hidden="1">#REF!</definedName>
    <definedName name="IQRTickerConverterH462" hidden="1">#REF!</definedName>
    <definedName name="IQRTickerConverterH463" hidden="1">#REF!</definedName>
    <definedName name="IQRTickerConverterH464" hidden="1">#REF!</definedName>
    <definedName name="IQRTickerConverterH465" hidden="1">#REF!</definedName>
    <definedName name="IQRTickerConverterH466" hidden="1">#REF!</definedName>
    <definedName name="IQRTickerConverterH467" hidden="1">#REF!</definedName>
    <definedName name="IQRTickerConverterH468" hidden="1">#REF!</definedName>
    <definedName name="IQRTickerConverterH469" hidden="1">#REF!</definedName>
    <definedName name="IQRTickerConverterH47" hidden="1">#REF!</definedName>
    <definedName name="IQRTickerConverterH470" hidden="1">#REF!</definedName>
    <definedName name="IQRTickerConverterH471" hidden="1">#REF!</definedName>
    <definedName name="IQRTickerConverterH472" hidden="1">#REF!</definedName>
    <definedName name="IQRTickerConverterH473" hidden="1">#REF!</definedName>
    <definedName name="IQRTickerConverterH474" hidden="1">#REF!</definedName>
    <definedName name="IQRTickerConverterH475" hidden="1">#REF!</definedName>
    <definedName name="IQRTickerConverterH476" hidden="1">#REF!</definedName>
    <definedName name="IQRTickerConverterH477" hidden="1">#REF!</definedName>
    <definedName name="IQRTickerConverterH478" hidden="1">#REF!</definedName>
    <definedName name="IQRTickerConverterH479" hidden="1">#REF!</definedName>
    <definedName name="IQRTickerConverterH48" hidden="1">#REF!</definedName>
    <definedName name="IQRTickerConverterH480" hidden="1">#REF!</definedName>
    <definedName name="IQRTickerConverterH481" hidden="1">#REF!</definedName>
    <definedName name="IQRTickerConverterH482" hidden="1">#REF!</definedName>
    <definedName name="IQRTickerConverterH483" hidden="1">#REF!</definedName>
    <definedName name="IQRTickerConverterH484" hidden="1">#REF!</definedName>
    <definedName name="IQRTickerConverterH485" hidden="1">#REF!</definedName>
    <definedName name="IQRTickerConverterH486" hidden="1">#REF!</definedName>
    <definedName name="IQRTickerConverterH487" hidden="1">#REF!</definedName>
    <definedName name="IQRTickerConverterH488" hidden="1">#REF!</definedName>
    <definedName name="IQRTickerConverterH489" hidden="1">#REF!</definedName>
    <definedName name="IQRTickerConverterH49" hidden="1">#REF!</definedName>
    <definedName name="IQRTickerConverterH490" hidden="1">#REF!</definedName>
    <definedName name="IQRTickerConverterH491" hidden="1">#REF!</definedName>
    <definedName name="IQRTickerConverterH492" hidden="1">#REF!</definedName>
    <definedName name="IQRTickerConverterH493" hidden="1">#REF!</definedName>
    <definedName name="IQRTickerConverterH494" hidden="1">#REF!</definedName>
    <definedName name="IQRTickerConverterH495" hidden="1">#REF!</definedName>
    <definedName name="IQRTickerConverterH496" hidden="1">#REF!</definedName>
    <definedName name="IQRTickerConverterH497" hidden="1">#REF!</definedName>
    <definedName name="IQRTickerConverterH498" hidden="1">#REF!</definedName>
    <definedName name="IQRTickerConverterH499" hidden="1">#REF!</definedName>
    <definedName name="IQRTickerConverterH5" hidden="1">#REF!</definedName>
    <definedName name="IQRTickerConverterH50" hidden="1">#REF!</definedName>
    <definedName name="IQRTickerConverterH500" hidden="1">#REF!</definedName>
    <definedName name="IQRTickerConverterH501" hidden="1">#REF!</definedName>
    <definedName name="IQRTickerConverterH502" hidden="1">#REF!</definedName>
    <definedName name="IQRTickerConverterH503" hidden="1">#REF!</definedName>
    <definedName name="IQRTickerConverterH504" hidden="1">#REF!</definedName>
    <definedName name="IQRTickerConverterH505" hidden="1">#REF!</definedName>
    <definedName name="IQRTickerConverterH506" hidden="1">#REF!</definedName>
    <definedName name="IQRTickerConverterH507" hidden="1">#REF!</definedName>
    <definedName name="IQRTickerConverterH508" hidden="1">#REF!</definedName>
    <definedName name="IQRTickerConverterH509" hidden="1">#REF!</definedName>
    <definedName name="IQRTickerConverterH51" hidden="1">#REF!</definedName>
    <definedName name="IQRTickerConverterH510" hidden="1">#REF!</definedName>
    <definedName name="IQRTickerConverterH511" hidden="1">#REF!</definedName>
    <definedName name="IQRTickerConverterH512" hidden="1">#REF!</definedName>
    <definedName name="IQRTickerConverterH513" hidden="1">#REF!</definedName>
    <definedName name="IQRTickerConverterH514" hidden="1">#REF!</definedName>
    <definedName name="IQRTickerConverterH515" hidden="1">#REF!</definedName>
    <definedName name="IQRTickerConverterH516" hidden="1">#REF!</definedName>
    <definedName name="IQRTickerConverterH517" hidden="1">#REF!</definedName>
    <definedName name="IQRTickerConverterH518" hidden="1">#REF!</definedName>
    <definedName name="IQRTickerConverterH519" hidden="1">#REF!</definedName>
    <definedName name="IQRTickerConverterH52" hidden="1">#REF!</definedName>
    <definedName name="IQRTickerConverterH521" hidden="1">#REF!</definedName>
    <definedName name="IQRTickerConverterH522" hidden="1">#REF!</definedName>
    <definedName name="IQRTickerConverterH523" hidden="1">#REF!</definedName>
    <definedName name="IQRTickerConverterH524" hidden="1">#REF!</definedName>
    <definedName name="IQRTickerConverterH525" hidden="1">#REF!</definedName>
    <definedName name="IQRTickerConverterH526" hidden="1">#REF!</definedName>
    <definedName name="IQRTickerConverterH527" hidden="1">#REF!</definedName>
    <definedName name="IQRTickerConverterH528" hidden="1">#REF!</definedName>
    <definedName name="IQRTickerConverterH529" hidden="1">#REF!</definedName>
    <definedName name="IQRTickerConverterH53" hidden="1">#REF!</definedName>
    <definedName name="IQRTickerConverterH530" hidden="1">#REF!</definedName>
    <definedName name="IQRTickerConverterH532" hidden="1">#REF!</definedName>
    <definedName name="IQRTickerConverterH533" hidden="1">#REF!</definedName>
    <definedName name="IQRTickerConverterH534" hidden="1">#REF!</definedName>
    <definedName name="IQRTickerConverterH535" hidden="1">#REF!</definedName>
    <definedName name="IQRTickerConverterH536" hidden="1">#REF!</definedName>
    <definedName name="IQRTickerConverterH538" hidden="1">#REF!</definedName>
    <definedName name="IQRTickerConverterH539" hidden="1">#REF!</definedName>
    <definedName name="IQRTickerConverterH54" hidden="1">#REF!</definedName>
    <definedName name="IQRTickerConverterH540" hidden="1">#REF!</definedName>
    <definedName name="IQRTickerConverterH541" hidden="1">#REF!</definedName>
    <definedName name="IQRTickerConverterH542" hidden="1">#REF!</definedName>
    <definedName name="IQRTickerConverterH543" hidden="1">#REF!</definedName>
    <definedName name="IQRTickerConverterH544" hidden="1">#REF!</definedName>
    <definedName name="IQRTickerConverterH545" hidden="1">#REF!</definedName>
    <definedName name="IQRTickerConverterH546" hidden="1">#REF!</definedName>
    <definedName name="IQRTickerConverterH547" hidden="1">#REF!</definedName>
    <definedName name="IQRTickerConverterH548" hidden="1">#REF!</definedName>
    <definedName name="IQRTickerConverterH549" hidden="1">#REF!</definedName>
    <definedName name="IQRTickerConverterH55" hidden="1">#REF!</definedName>
    <definedName name="IQRTickerConverterH550" hidden="1">#REF!</definedName>
    <definedName name="IQRTickerConverterH552" hidden="1">#REF!</definedName>
    <definedName name="IQRTickerConverterH553" hidden="1">#REF!</definedName>
    <definedName name="IQRTickerConverterH554" hidden="1">#REF!</definedName>
    <definedName name="IQRTickerConverterH555" hidden="1">#REF!</definedName>
    <definedName name="IQRTickerConverterH556" hidden="1">#REF!</definedName>
    <definedName name="IQRTickerConverterH557" hidden="1">#REF!</definedName>
    <definedName name="IQRTickerConverterH558" hidden="1">#REF!</definedName>
    <definedName name="IQRTickerConverterH559" hidden="1">#REF!</definedName>
    <definedName name="IQRTickerConverterH560" hidden="1">#REF!</definedName>
    <definedName name="IQRTickerConverterH562" hidden="1">#REF!</definedName>
    <definedName name="IQRTickerConverterH563" hidden="1">#REF!</definedName>
    <definedName name="IQRTickerConverterH564" hidden="1">#REF!</definedName>
    <definedName name="IQRTickerConverterH565" hidden="1">#REF!</definedName>
    <definedName name="IQRTickerConverterH566" hidden="1">#REF!</definedName>
    <definedName name="IQRTickerConverterH567" hidden="1">#REF!</definedName>
    <definedName name="IQRTickerConverterH568" hidden="1">#REF!</definedName>
    <definedName name="IQRTickerConverterH569" hidden="1">#REF!</definedName>
    <definedName name="IQRTickerConverterH57" hidden="1">#REF!</definedName>
    <definedName name="IQRTickerConverterH570" hidden="1">#REF!</definedName>
    <definedName name="IQRTickerConverterH571" hidden="1">#REF!</definedName>
    <definedName name="IQRTickerConverterH572" hidden="1">#REF!</definedName>
    <definedName name="IQRTickerConverterH573" hidden="1">#REF!</definedName>
    <definedName name="IQRTickerConverterH574" hidden="1">#REF!</definedName>
    <definedName name="IQRTickerConverterH575" hidden="1">#REF!</definedName>
    <definedName name="IQRTickerConverterH576" hidden="1">#REF!</definedName>
    <definedName name="IQRTickerConverterH577" hidden="1">#REF!</definedName>
    <definedName name="IQRTickerConverterH578" hidden="1">#REF!</definedName>
    <definedName name="IQRTickerConverterH579" hidden="1">#REF!</definedName>
    <definedName name="IQRTickerConverterH580" hidden="1">#REF!</definedName>
    <definedName name="IQRTickerConverterH581" hidden="1">#REF!</definedName>
    <definedName name="IQRTickerConverterH582" hidden="1">#REF!</definedName>
    <definedName name="IQRTickerConverterH584" hidden="1">#REF!</definedName>
    <definedName name="IQRTickerConverterH585" hidden="1">#REF!</definedName>
    <definedName name="IQRTickerConverterH586" hidden="1">#REF!</definedName>
    <definedName name="IQRTickerConverterH587" hidden="1">#REF!</definedName>
    <definedName name="IQRTickerConverterH588" hidden="1">#REF!</definedName>
    <definedName name="IQRTickerConverterH589" hidden="1">#REF!</definedName>
    <definedName name="IQRTickerConverterH59" hidden="1">#REF!</definedName>
    <definedName name="IQRTickerConverterH590" hidden="1">#REF!</definedName>
    <definedName name="IQRTickerConverterH592" hidden="1">#REF!</definedName>
    <definedName name="IQRTickerConverterH593" hidden="1">#REF!</definedName>
    <definedName name="IQRTickerConverterH594" hidden="1">#REF!</definedName>
    <definedName name="IQRTickerConverterH595" hidden="1">#REF!</definedName>
    <definedName name="IQRTickerConverterH596" hidden="1">#REF!</definedName>
    <definedName name="IQRTickerConverterH598" hidden="1">#REF!</definedName>
    <definedName name="IQRTickerConverterH599" hidden="1">#REF!</definedName>
    <definedName name="IQRTickerConverterH6" hidden="1">#REF!</definedName>
    <definedName name="IQRTickerConverterH60" hidden="1">#REF!</definedName>
    <definedName name="IQRTickerConverterH600" hidden="1">#REF!</definedName>
    <definedName name="IQRTickerConverterH601" hidden="1">#REF!</definedName>
    <definedName name="IQRTickerConverterH602" hidden="1">#REF!</definedName>
    <definedName name="IQRTickerConverterH603" hidden="1">#REF!</definedName>
    <definedName name="IQRTickerConverterH604" hidden="1">#REF!</definedName>
    <definedName name="IQRTickerConverterH605" hidden="1">#REF!</definedName>
    <definedName name="IQRTickerConverterH606" hidden="1">#REF!</definedName>
    <definedName name="IQRTickerConverterH607" hidden="1">#REF!</definedName>
    <definedName name="IQRTickerConverterH608" hidden="1">#REF!</definedName>
    <definedName name="IQRTickerConverterH609" hidden="1">#REF!</definedName>
    <definedName name="IQRTickerConverterH61" hidden="1">#REF!</definedName>
    <definedName name="IQRTickerConverterH610" hidden="1">#REF!</definedName>
    <definedName name="IQRTickerConverterH612" hidden="1">#REF!</definedName>
    <definedName name="IQRTickerConverterH613" hidden="1">#REF!</definedName>
    <definedName name="IQRTickerConverterH614" hidden="1">#REF!</definedName>
    <definedName name="IQRTickerConverterH615" hidden="1">#REF!</definedName>
    <definedName name="IQRTickerConverterH616" hidden="1">#REF!</definedName>
    <definedName name="IQRTickerConverterH617" hidden="1">#REF!</definedName>
    <definedName name="IQRTickerConverterH618" hidden="1">#REF!</definedName>
    <definedName name="IQRTickerConverterH619" hidden="1">#REF!</definedName>
    <definedName name="IQRTickerConverterH62" hidden="1">#REF!</definedName>
    <definedName name="IQRTickerConverterH620" hidden="1">#REF!</definedName>
    <definedName name="IQRTickerConverterH621" hidden="1">#REF!</definedName>
    <definedName name="IQRTickerConverterH622" hidden="1">#REF!</definedName>
    <definedName name="IQRTickerConverterH623" hidden="1">#REF!</definedName>
    <definedName name="IQRTickerConverterH624" hidden="1">#REF!</definedName>
    <definedName name="IQRTickerConverterH625" hidden="1">#REF!</definedName>
    <definedName name="IQRTickerConverterH626" hidden="1">#REF!</definedName>
    <definedName name="IQRTickerConverterH627" hidden="1">#REF!</definedName>
    <definedName name="IQRTickerConverterH628" hidden="1">#REF!</definedName>
    <definedName name="IQRTickerConverterH629" hidden="1">#REF!</definedName>
    <definedName name="IQRTickerConverterH63" hidden="1">#REF!</definedName>
    <definedName name="IQRTickerConverterH630" hidden="1">#REF!</definedName>
    <definedName name="IQRTickerConverterH631" hidden="1">#REF!</definedName>
    <definedName name="IQRTickerConverterH632" hidden="1">#REF!</definedName>
    <definedName name="IQRTickerConverterH633" hidden="1">#REF!</definedName>
    <definedName name="IQRTickerConverterH634" hidden="1">#REF!</definedName>
    <definedName name="IQRTickerConverterH635" hidden="1">#REF!</definedName>
    <definedName name="IQRTickerConverterH636" hidden="1">#REF!</definedName>
    <definedName name="IQRTickerConverterH637" hidden="1">#REF!</definedName>
    <definedName name="IQRTickerConverterH638" hidden="1">#REF!</definedName>
    <definedName name="IQRTickerConverterH639" hidden="1">#REF!</definedName>
    <definedName name="IQRTickerConverterH64" hidden="1">#REF!</definedName>
    <definedName name="IQRTickerConverterH640" hidden="1">#REF!</definedName>
    <definedName name="IQRTickerConverterH641" hidden="1">#REF!</definedName>
    <definedName name="IQRTickerConverterH642" hidden="1">#REF!</definedName>
    <definedName name="IQRTickerConverterH643" hidden="1">#REF!</definedName>
    <definedName name="IQRTickerConverterH644" hidden="1">#REF!</definedName>
    <definedName name="IQRTickerConverterH645" hidden="1">#REF!</definedName>
    <definedName name="IQRTickerConverterH646" hidden="1">#REF!</definedName>
    <definedName name="IQRTickerConverterH647" hidden="1">#REF!</definedName>
    <definedName name="IQRTickerConverterH648" hidden="1">#REF!</definedName>
    <definedName name="IQRTickerConverterH649" hidden="1">#REF!</definedName>
    <definedName name="IQRTickerConverterH65" hidden="1">#REF!</definedName>
    <definedName name="IQRTickerConverterH650" hidden="1">#REF!</definedName>
    <definedName name="IQRTickerConverterH651" hidden="1">#REF!</definedName>
    <definedName name="IQRTickerConverterH652" hidden="1">#REF!</definedName>
    <definedName name="IQRTickerConverterH653" hidden="1">#REF!</definedName>
    <definedName name="IQRTickerConverterH654" hidden="1">#REF!</definedName>
    <definedName name="IQRTickerConverterH655" hidden="1">#REF!</definedName>
    <definedName name="IQRTickerConverterH656" hidden="1">#REF!</definedName>
    <definedName name="IQRTickerConverterH657" hidden="1">#REF!</definedName>
    <definedName name="IQRTickerConverterH658" hidden="1">#REF!</definedName>
    <definedName name="IQRTickerConverterH659" hidden="1">#REF!</definedName>
    <definedName name="IQRTickerConverterH66" hidden="1">#REF!</definedName>
    <definedName name="IQRTickerConverterH660" hidden="1">#REF!</definedName>
    <definedName name="IQRTickerConverterH661" hidden="1">#REF!</definedName>
    <definedName name="IQRTickerConverterH662" hidden="1">#REF!</definedName>
    <definedName name="IQRTickerConverterH663" hidden="1">#REF!</definedName>
    <definedName name="IQRTickerConverterH664" hidden="1">#REF!</definedName>
    <definedName name="IQRTickerConverterH665" hidden="1">#REF!</definedName>
    <definedName name="IQRTickerConverterH667" hidden="1">#REF!</definedName>
    <definedName name="IQRTickerConverterH668" hidden="1">#REF!</definedName>
    <definedName name="IQRTickerConverterH669" hidden="1">#REF!</definedName>
    <definedName name="IQRTickerConverterH67" hidden="1">#REF!</definedName>
    <definedName name="IQRTickerConverterH671" hidden="1">#REF!</definedName>
    <definedName name="IQRTickerConverterH672" hidden="1">#REF!</definedName>
    <definedName name="IQRTickerConverterH673" hidden="1">#REF!</definedName>
    <definedName name="IQRTickerConverterH674" hidden="1">#REF!</definedName>
    <definedName name="IQRTickerConverterH675" hidden="1">#REF!</definedName>
    <definedName name="IQRTickerConverterH676" hidden="1">#REF!</definedName>
    <definedName name="IQRTickerConverterH677" hidden="1">#REF!</definedName>
    <definedName name="IQRTickerConverterH678" hidden="1">#REF!</definedName>
    <definedName name="IQRTickerConverterH679" hidden="1">#REF!</definedName>
    <definedName name="IQRTickerConverterH68" hidden="1">#REF!</definedName>
    <definedName name="IQRTickerConverterH681" hidden="1">#REF!</definedName>
    <definedName name="IQRTickerConverterH682" hidden="1">#REF!</definedName>
    <definedName name="IQRTickerConverterH683" hidden="1">#REF!</definedName>
    <definedName name="IQRTickerConverterH684" hidden="1">#REF!</definedName>
    <definedName name="IQRTickerConverterH685" hidden="1">#REF!</definedName>
    <definedName name="IQRTickerConverterH686" hidden="1">#REF!</definedName>
    <definedName name="IQRTickerConverterH687" hidden="1">#REF!</definedName>
    <definedName name="IQRTickerConverterH688" hidden="1">#REF!</definedName>
    <definedName name="IQRTickerConverterH689" hidden="1">#REF!</definedName>
    <definedName name="IQRTickerConverterH690" hidden="1">#REF!</definedName>
    <definedName name="IQRTickerConverterH691" hidden="1">#REF!</definedName>
    <definedName name="IQRTickerConverterH692" hidden="1">#REF!</definedName>
    <definedName name="IQRTickerConverterH693" hidden="1">#REF!</definedName>
    <definedName name="IQRTickerConverterH694" hidden="1">#REF!</definedName>
    <definedName name="IQRTickerConverterH695" hidden="1">#REF!</definedName>
    <definedName name="IQRTickerConverterH696" hidden="1">#REF!</definedName>
    <definedName name="IQRTickerConverterH697" hidden="1">#REF!</definedName>
    <definedName name="IQRTickerConverterH699" hidden="1">#REF!</definedName>
    <definedName name="IQRTickerConverterH7" hidden="1">#REF!</definedName>
    <definedName name="IQRTickerConverterH70" hidden="1">#REF!</definedName>
    <definedName name="IQRTickerConverterH700" hidden="1">#REF!</definedName>
    <definedName name="IQRTickerConverterH702" hidden="1">#REF!</definedName>
    <definedName name="IQRTickerConverterH703" hidden="1">#REF!</definedName>
    <definedName name="IQRTickerConverterH704" hidden="1">#REF!</definedName>
    <definedName name="IQRTickerConverterH705" hidden="1">#REF!</definedName>
    <definedName name="IQRTickerConverterH706" hidden="1">#REF!</definedName>
    <definedName name="IQRTickerConverterH707" hidden="1">#REF!</definedName>
    <definedName name="IQRTickerConverterH708" hidden="1">#REF!</definedName>
    <definedName name="IQRTickerConverterH709" hidden="1">#REF!</definedName>
    <definedName name="IQRTickerConverterH71" hidden="1">#REF!</definedName>
    <definedName name="IQRTickerConverterH710" hidden="1">#REF!</definedName>
    <definedName name="IQRTickerConverterH711" hidden="1">#REF!</definedName>
    <definedName name="IQRTickerConverterH712" hidden="1">#REF!</definedName>
    <definedName name="IQRTickerConverterH713" hidden="1">#REF!</definedName>
    <definedName name="IQRTickerConverterH714" hidden="1">#REF!</definedName>
    <definedName name="IQRTickerConverterH715" hidden="1">#REF!</definedName>
    <definedName name="IQRTickerConverterH716" hidden="1">#REF!</definedName>
    <definedName name="IQRTickerConverterH717" hidden="1">#REF!</definedName>
    <definedName name="IQRTickerConverterH718" hidden="1">#REF!</definedName>
    <definedName name="IQRTickerConverterH72" hidden="1">#REF!</definedName>
    <definedName name="IQRTickerConverterH720" hidden="1">#REF!</definedName>
    <definedName name="IQRTickerConverterH721" hidden="1">#REF!</definedName>
    <definedName name="IQRTickerConverterH722" hidden="1">#REF!</definedName>
    <definedName name="IQRTickerConverterH723" hidden="1">#REF!</definedName>
    <definedName name="IQRTickerConverterH724" hidden="1">#REF!</definedName>
    <definedName name="IQRTickerConverterH725" hidden="1">#REF!</definedName>
    <definedName name="IQRTickerConverterH726" hidden="1">#REF!</definedName>
    <definedName name="IQRTickerConverterH727" hidden="1">#REF!</definedName>
    <definedName name="IQRTickerConverterH729" hidden="1">#REF!</definedName>
    <definedName name="IQRTickerConverterH73" hidden="1">#REF!</definedName>
    <definedName name="IQRTickerConverterH730" hidden="1">#REF!</definedName>
    <definedName name="IQRTickerConverterH731" hidden="1">#REF!</definedName>
    <definedName name="IQRTickerConverterH732" hidden="1">#REF!</definedName>
    <definedName name="IQRTickerConverterH733" hidden="1">#REF!</definedName>
    <definedName name="IQRTickerConverterH734" hidden="1">#REF!</definedName>
    <definedName name="IQRTickerConverterH735" hidden="1">#REF!</definedName>
    <definedName name="IQRTickerConverterH736" hidden="1">#REF!</definedName>
    <definedName name="IQRTickerConverterH737" hidden="1">#REF!</definedName>
    <definedName name="IQRTickerConverterH739" hidden="1">#REF!</definedName>
    <definedName name="IQRTickerConverterH74" hidden="1">#REF!</definedName>
    <definedName name="IQRTickerConverterH740" hidden="1">#REF!</definedName>
    <definedName name="IQRTickerConverterH741" hidden="1">#REF!</definedName>
    <definedName name="IQRTickerConverterH742" hidden="1">#REF!</definedName>
    <definedName name="IQRTickerConverterH743" hidden="1">#REF!</definedName>
    <definedName name="IQRTickerConverterH744" hidden="1">#REF!</definedName>
    <definedName name="IQRTickerConverterH745" hidden="1">#REF!</definedName>
    <definedName name="IQRTickerConverterH746" hidden="1">#REF!</definedName>
    <definedName name="IQRTickerConverterH747" hidden="1">#REF!</definedName>
    <definedName name="IQRTickerConverterH749" hidden="1">#REF!</definedName>
    <definedName name="IQRTickerConverterH75" hidden="1">#REF!</definedName>
    <definedName name="IQRTickerConverterH750" hidden="1">#REF!</definedName>
    <definedName name="IQRTickerConverterH751" hidden="1">#REF!</definedName>
    <definedName name="IQRTickerConverterH752" hidden="1">#REF!</definedName>
    <definedName name="IQRTickerConverterH753" hidden="1">#REF!</definedName>
    <definedName name="IQRTickerConverterH754" hidden="1">#REF!</definedName>
    <definedName name="IQRTickerConverterH755" hidden="1">#REF!</definedName>
    <definedName name="IQRTickerConverterH756" hidden="1">#REF!</definedName>
    <definedName name="IQRTickerConverterH757" hidden="1">#REF!</definedName>
    <definedName name="IQRTickerConverterH758" hidden="1">#REF!</definedName>
    <definedName name="IQRTickerConverterH759" hidden="1">#REF!</definedName>
    <definedName name="IQRTickerConverterH76" hidden="1">#REF!</definedName>
    <definedName name="IQRTickerConverterH760" hidden="1">#REF!</definedName>
    <definedName name="IQRTickerConverterH761" hidden="1">#REF!</definedName>
    <definedName name="IQRTickerConverterH762" hidden="1">#REF!</definedName>
    <definedName name="IQRTickerConverterH763" hidden="1">#REF!</definedName>
    <definedName name="IQRTickerConverterH764" hidden="1">#REF!</definedName>
    <definedName name="IQRTickerConverterH765" hidden="1">#REF!</definedName>
    <definedName name="IQRTickerConverterH766" hidden="1">#REF!</definedName>
    <definedName name="IQRTickerConverterH767" hidden="1">#REF!</definedName>
    <definedName name="IQRTickerConverterH768" hidden="1">#REF!</definedName>
    <definedName name="IQRTickerConverterH769" hidden="1">#REF!</definedName>
    <definedName name="IQRTickerConverterH77" hidden="1">#REF!</definedName>
    <definedName name="IQRTickerConverterH770" hidden="1">#REF!</definedName>
    <definedName name="IQRTickerConverterH771" hidden="1">#REF!</definedName>
    <definedName name="IQRTickerConverterH772" hidden="1">#REF!</definedName>
    <definedName name="IQRTickerConverterH773" hidden="1">#REF!</definedName>
    <definedName name="IQRTickerConverterH774" hidden="1">#REF!</definedName>
    <definedName name="IQRTickerConverterH775" hidden="1">#REF!</definedName>
    <definedName name="IQRTickerConverterH776" hidden="1">#REF!</definedName>
    <definedName name="IQRTickerConverterH777" hidden="1">#REF!</definedName>
    <definedName name="IQRTickerConverterH778" hidden="1">#REF!</definedName>
    <definedName name="IQRTickerConverterH779" hidden="1">#REF!</definedName>
    <definedName name="IQRTickerConverterH78" hidden="1">#REF!</definedName>
    <definedName name="IQRTickerConverterH780" hidden="1">#REF!</definedName>
    <definedName name="IQRTickerConverterH781" hidden="1">#REF!</definedName>
    <definedName name="IQRTickerConverterH782" hidden="1">#REF!</definedName>
    <definedName name="IQRTickerConverterH783" hidden="1">#REF!</definedName>
    <definedName name="IQRTickerConverterH784" hidden="1">#REF!</definedName>
    <definedName name="IQRTickerConverterH785" hidden="1">#REF!</definedName>
    <definedName name="IQRTickerConverterH786" hidden="1">#REF!</definedName>
    <definedName name="IQRTickerConverterH788" hidden="1">#REF!</definedName>
    <definedName name="IQRTickerConverterH79" hidden="1">#REF!</definedName>
    <definedName name="IQRTickerConverterH790" hidden="1">#REF!</definedName>
    <definedName name="IQRTickerConverterH791" hidden="1">#REF!</definedName>
    <definedName name="IQRTickerConverterH792" hidden="1">#REF!</definedName>
    <definedName name="IQRTickerConverterH793" hidden="1">#REF!</definedName>
    <definedName name="IQRTickerConverterH794" hidden="1">#REF!</definedName>
    <definedName name="IQRTickerConverterH795" hidden="1">#REF!</definedName>
    <definedName name="IQRTickerConverterH796" hidden="1">#REF!</definedName>
    <definedName name="IQRTickerConverterH797" hidden="1">#REF!</definedName>
    <definedName name="IQRTickerConverterH798" hidden="1">#REF!</definedName>
    <definedName name="IQRTickerConverterH799" hidden="1">#REF!</definedName>
    <definedName name="IQRTickerConverterH8" hidden="1">#REF!</definedName>
    <definedName name="IQRTickerConverterH80" hidden="1">#REF!</definedName>
    <definedName name="IQRTickerConverterH800" hidden="1">#REF!</definedName>
    <definedName name="IQRTickerConverterH801" hidden="1">#REF!</definedName>
    <definedName name="IQRTickerConverterH802" hidden="1">#REF!</definedName>
    <definedName name="IQRTickerConverterH803" hidden="1">#REF!</definedName>
    <definedName name="IQRTickerConverterH805" hidden="1">#REF!</definedName>
    <definedName name="IQRTickerConverterH806" hidden="1">#REF!</definedName>
    <definedName name="IQRTickerConverterH807" hidden="1">#REF!</definedName>
    <definedName name="IQRTickerConverterH809" hidden="1">#REF!</definedName>
    <definedName name="IQRTickerConverterH81" hidden="1">#REF!</definedName>
    <definedName name="IQRTickerConverterH810" hidden="1">#REF!</definedName>
    <definedName name="IQRTickerConverterH811" hidden="1">#REF!</definedName>
    <definedName name="IQRTickerConverterH812" hidden="1">#REF!</definedName>
    <definedName name="IQRTickerConverterH813" hidden="1">#REF!</definedName>
    <definedName name="IQRTickerConverterH814" hidden="1">#REF!</definedName>
    <definedName name="IQRTickerConverterH815" hidden="1">#REF!</definedName>
    <definedName name="IQRTickerConverterH816" hidden="1">#REF!</definedName>
    <definedName name="IQRTickerConverterH818" hidden="1">#REF!</definedName>
    <definedName name="IQRTickerConverterH82" hidden="1">#REF!</definedName>
    <definedName name="IQRTickerConverterH820" hidden="1">#REF!</definedName>
    <definedName name="IQRTickerConverterH821" hidden="1">#REF!</definedName>
    <definedName name="IQRTickerConverterH822" hidden="1">#REF!</definedName>
    <definedName name="IQRTickerConverterH823" hidden="1">#REF!</definedName>
    <definedName name="IQRTickerConverterH825" hidden="1">#REF!</definedName>
    <definedName name="IQRTickerConverterH826" hidden="1">#REF!</definedName>
    <definedName name="IQRTickerConverterH827" hidden="1">#REF!</definedName>
    <definedName name="IQRTickerConverterH828" hidden="1">#REF!</definedName>
    <definedName name="IQRTickerConverterH829" hidden="1">#REF!</definedName>
    <definedName name="IQRTickerConverterH83" hidden="1">#REF!</definedName>
    <definedName name="IQRTickerConverterH830" hidden="1">#REF!</definedName>
    <definedName name="IQRTickerConverterH831" hidden="1">#REF!</definedName>
    <definedName name="IQRTickerConverterH832" hidden="1">#REF!</definedName>
    <definedName name="IQRTickerConverterH834" hidden="1">#REF!</definedName>
    <definedName name="IQRTickerConverterH835" hidden="1">#REF!</definedName>
    <definedName name="IQRTickerConverterH836" hidden="1">#REF!</definedName>
    <definedName name="IQRTickerConverterH837" hidden="1">#REF!</definedName>
    <definedName name="IQRTickerConverterH838" hidden="1">#REF!</definedName>
    <definedName name="IQRTickerConverterH839" hidden="1">#REF!</definedName>
    <definedName name="IQRTickerConverterH84" hidden="1">#REF!</definedName>
    <definedName name="IQRTickerConverterH840" hidden="1">#REF!</definedName>
    <definedName name="IQRTickerConverterH842" hidden="1">#REF!</definedName>
    <definedName name="IQRTickerConverterH843" hidden="1">#REF!</definedName>
    <definedName name="IQRTickerConverterH845" hidden="1">#REF!</definedName>
    <definedName name="IQRTickerConverterH846" hidden="1">#REF!</definedName>
    <definedName name="IQRTickerConverterH847" hidden="1">#REF!</definedName>
    <definedName name="IQRTickerConverterH848" hidden="1">#REF!</definedName>
    <definedName name="IQRTickerConverterH849" hidden="1">#REF!</definedName>
    <definedName name="IQRTickerConverterH85" hidden="1">#REF!</definedName>
    <definedName name="IQRTickerConverterH850" hidden="1">#REF!</definedName>
    <definedName name="IQRTickerConverterH851" hidden="1">#REF!</definedName>
    <definedName name="IQRTickerConverterH852" hidden="1">#REF!</definedName>
    <definedName name="IQRTickerConverterH853" hidden="1">#REF!</definedName>
    <definedName name="IQRTickerConverterH854" hidden="1">#REF!</definedName>
    <definedName name="IQRTickerConverterH855" hidden="1">#REF!</definedName>
    <definedName name="IQRTickerConverterH856" hidden="1">#REF!</definedName>
    <definedName name="IQRTickerConverterH857" hidden="1">#REF!</definedName>
    <definedName name="IQRTickerConverterH858" hidden="1">#REF!</definedName>
    <definedName name="IQRTickerConverterH859" hidden="1">#REF!</definedName>
    <definedName name="IQRTickerConverterH86" hidden="1">#REF!</definedName>
    <definedName name="IQRTickerConverterH860" hidden="1">#REF!</definedName>
    <definedName name="IQRTickerConverterH861" hidden="1">#REF!</definedName>
    <definedName name="IQRTickerConverterH862" hidden="1">#REF!</definedName>
    <definedName name="IQRTickerConverterH863" hidden="1">#REF!</definedName>
    <definedName name="IQRTickerConverterH865" hidden="1">#REF!</definedName>
    <definedName name="IQRTickerConverterH866" hidden="1">#REF!</definedName>
    <definedName name="IQRTickerConverterH867" hidden="1">#REF!</definedName>
    <definedName name="IQRTickerConverterH868" hidden="1">#REF!</definedName>
    <definedName name="IQRTickerConverterH869" hidden="1">#REF!</definedName>
    <definedName name="IQRTickerConverterH87" hidden="1">#REF!</definedName>
    <definedName name="IQRTickerConverterH870" hidden="1">#REF!</definedName>
    <definedName name="IQRTickerConverterH871" hidden="1">#REF!</definedName>
    <definedName name="IQRTickerConverterH872" hidden="1">#REF!</definedName>
    <definedName name="IQRTickerConverterH874" hidden="1">#REF!</definedName>
    <definedName name="IQRTickerConverterH875" hidden="1">#REF!</definedName>
    <definedName name="IQRTickerConverterH876" hidden="1">#REF!</definedName>
    <definedName name="IQRTickerConverterH877" hidden="1">#REF!</definedName>
    <definedName name="IQRTickerConverterH878" hidden="1">#REF!</definedName>
    <definedName name="IQRTickerConverterH879" hidden="1">#REF!</definedName>
    <definedName name="IQRTickerConverterH88" hidden="1">#REF!</definedName>
    <definedName name="IQRTickerConverterH880" hidden="1">#REF!</definedName>
    <definedName name="IQRTickerConverterH882" hidden="1">#REF!</definedName>
    <definedName name="IQRTickerConverterH883" hidden="1">#REF!</definedName>
    <definedName name="IQRTickerConverterH884" hidden="1">#REF!</definedName>
    <definedName name="IQRTickerConverterH886" hidden="1">#REF!</definedName>
    <definedName name="IQRTickerConverterH887" hidden="1">#REF!</definedName>
    <definedName name="IQRTickerConverterH888" hidden="1">#REF!</definedName>
    <definedName name="IQRTickerConverterH889" hidden="1">#REF!</definedName>
    <definedName name="IQRTickerConverterH89" hidden="1">#REF!</definedName>
    <definedName name="IQRTickerConverterH890" hidden="1">#REF!</definedName>
    <definedName name="IQRTickerConverterH891" hidden="1">#REF!</definedName>
    <definedName name="IQRTickerConverterH892" hidden="1">#REF!</definedName>
    <definedName name="IQRTickerConverterH893" hidden="1">#REF!</definedName>
    <definedName name="IQRTickerConverterH895" hidden="1">#REF!</definedName>
    <definedName name="IQRTickerConverterH896" hidden="1">#REF!</definedName>
    <definedName name="IQRTickerConverterH897" hidden="1">#REF!</definedName>
    <definedName name="IQRTickerConverterH898" hidden="1">#REF!</definedName>
    <definedName name="IQRTickerConverterH899" hidden="1">#REF!</definedName>
    <definedName name="IQRTickerConverterH9" hidden="1">#REF!</definedName>
    <definedName name="IQRTickerConverterH90" hidden="1">#REF!</definedName>
    <definedName name="IQRTickerConverterH900" hidden="1">#REF!</definedName>
    <definedName name="IQRTickerConverterH902" hidden="1">#REF!</definedName>
    <definedName name="IQRTickerConverterH903" hidden="1">#REF!</definedName>
    <definedName name="IQRTickerConverterH904" hidden="1">#REF!</definedName>
    <definedName name="IQRTickerConverterH905" hidden="1">#REF!</definedName>
    <definedName name="IQRTickerConverterH906" hidden="1">#REF!</definedName>
    <definedName name="IQRTickerConverterH907" hidden="1">#REF!</definedName>
    <definedName name="IQRTickerConverterH908" hidden="1">#REF!</definedName>
    <definedName name="IQRTickerConverterH909" hidden="1">#REF!</definedName>
    <definedName name="IQRTickerConverterH910" hidden="1">#REF!</definedName>
    <definedName name="IQRTickerConverterH911" hidden="1">#REF!</definedName>
    <definedName name="IQRTickerConverterH912" hidden="1">#REF!</definedName>
    <definedName name="IQRTickerConverterH913" hidden="1">#REF!</definedName>
    <definedName name="IQRTickerConverterH914" hidden="1">#REF!</definedName>
    <definedName name="IQRTickerConverterH916" hidden="1">#REF!</definedName>
    <definedName name="IQRTickerConverterH917" hidden="1">#REF!</definedName>
    <definedName name="IQRTickerConverterH918" hidden="1">#REF!</definedName>
    <definedName name="IQRTickerConverterH919" hidden="1">#REF!</definedName>
    <definedName name="IQRTickerConverterH92" hidden="1">#REF!</definedName>
    <definedName name="IQRTickerConverterH920" hidden="1">#REF!</definedName>
    <definedName name="IQRTickerConverterH921" hidden="1">#REF!</definedName>
    <definedName name="IQRTickerConverterH922" hidden="1">#REF!</definedName>
    <definedName name="IQRTickerConverterH923" hidden="1">#REF!</definedName>
    <definedName name="IQRTickerConverterH924" hidden="1">#REF!</definedName>
    <definedName name="IQRTickerConverterH925" hidden="1">#REF!</definedName>
    <definedName name="IQRTickerConverterH926" hidden="1">#REF!</definedName>
    <definedName name="IQRTickerConverterH927" hidden="1">#REF!</definedName>
    <definedName name="IQRTickerConverterH928" hidden="1">#REF!</definedName>
    <definedName name="IQRTickerConverterH929" hidden="1">#REF!</definedName>
    <definedName name="IQRTickerConverterH93" hidden="1">#REF!</definedName>
    <definedName name="IQRTickerConverterH930" hidden="1">#REF!</definedName>
    <definedName name="IQRTickerConverterH931" hidden="1">#REF!</definedName>
    <definedName name="IQRTickerConverterH932" hidden="1">#REF!</definedName>
    <definedName name="IQRTickerConverterH933" hidden="1">#REF!</definedName>
    <definedName name="IQRTickerConverterH934" hidden="1">#REF!</definedName>
    <definedName name="IQRTickerConverterH935" hidden="1">#REF!</definedName>
    <definedName name="IQRTickerConverterH936" hidden="1">#REF!</definedName>
    <definedName name="IQRTickerConverterH937" hidden="1">#REF!</definedName>
    <definedName name="IQRTickerConverterH939" hidden="1">#REF!</definedName>
    <definedName name="IQRTickerConverterH94" hidden="1">#REF!</definedName>
    <definedName name="IQRTickerConverterH940" hidden="1">#REF!</definedName>
    <definedName name="IQRTickerConverterH941" hidden="1">#REF!</definedName>
    <definedName name="IQRTickerConverterH942" hidden="1">#REF!</definedName>
    <definedName name="IQRTickerConverterH943" hidden="1">#REF!</definedName>
    <definedName name="IQRTickerConverterH944" hidden="1">#REF!</definedName>
    <definedName name="IQRTickerConverterH945" hidden="1">#REF!</definedName>
    <definedName name="IQRTickerConverterH946" hidden="1">#REF!</definedName>
    <definedName name="IQRTickerConverterH947" hidden="1">#REF!</definedName>
    <definedName name="IQRTickerConverterH948" hidden="1">#REF!</definedName>
    <definedName name="IQRTickerConverterH949" hidden="1">#REF!</definedName>
    <definedName name="IQRTickerConverterH95" hidden="1">#REF!</definedName>
    <definedName name="IQRTickerConverterH950" hidden="1">#REF!</definedName>
    <definedName name="IQRTickerConverterH951" hidden="1">#REF!</definedName>
    <definedName name="IQRTickerConverterH952" hidden="1">#REF!</definedName>
    <definedName name="IQRTickerConverterH953" hidden="1">#REF!</definedName>
    <definedName name="IQRTickerConverterH954" hidden="1">#REF!</definedName>
    <definedName name="IQRTickerConverterH955" hidden="1">#REF!</definedName>
    <definedName name="IQRTickerConverterH956" hidden="1">#REF!</definedName>
    <definedName name="IQRTickerConverterH957" hidden="1">#REF!</definedName>
    <definedName name="IQRTickerConverterH958" hidden="1">#REF!</definedName>
    <definedName name="IQRTickerConverterH959" hidden="1">#REF!</definedName>
    <definedName name="IQRTickerConverterH96" hidden="1">#REF!</definedName>
    <definedName name="IQRTickerConverterH960" hidden="1">#REF!</definedName>
    <definedName name="IQRTickerConverterH961" hidden="1">#REF!</definedName>
    <definedName name="IQRTickerConverterH962" hidden="1">#REF!</definedName>
    <definedName name="IQRTickerConverterH963" hidden="1">#REF!</definedName>
    <definedName name="IQRTickerConverterH964" hidden="1">#REF!</definedName>
    <definedName name="IQRTickerConverterH965" hidden="1">#REF!</definedName>
    <definedName name="IQRTickerConverterH966" hidden="1">#REF!</definedName>
    <definedName name="IQRTickerConverterH967" hidden="1">#REF!</definedName>
    <definedName name="IQRTickerConverterH968" hidden="1">#REF!</definedName>
    <definedName name="IQRTickerConverterH969" hidden="1">#REF!</definedName>
    <definedName name="IQRTickerConverterH97" hidden="1">#REF!</definedName>
    <definedName name="IQRTickerConverterH970" hidden="1">#REF!</definedName>
    <definedName name="IQRTickerConverterH971" hidden="1">#REF!</definedName>
    <definedName name="IQRTickerConverterH972" hidden="1">#REF!</definedName>
    <definedName name="IQRTickerConverterH973" hidden="1">#REF!</definedName>
    <definedName name="IQRTickerConverterH974" hidden="1">#REF!</definedName>
    <definedName name="IQRTickerConverterH975" hidden="1">#REF!</definedName>
    <definedName name="IQRTickerConverterH977" hidden="1">#REF!</definedName>
    <definedName name="IQRTickerConverterH978" hidden="1">#REF!</definedName>
    <definedName name="IQRTickerConverterH979" hidden="1">#REF!</definedName>
    <definedName name="IQRTickerConverterH98" hidden="1">#REF!</definedName>
    <definedName name="IQRTickerConverterH980" hidden="1">#REF!</definedName>
    <definedName name="IQRTickerConverterH981" hidden="1">#REF!</definedName>
    <definedName name="IQRTickerConverterH982" hidden="1">#REF!</definedName>
    <definedName name="IQRTickerConverterH983" hidden="1">#REF!</definedName>
    <definedName name="IQRTickerConverterH985" hidden="1">#REF!</definedName>
    <definedName name="IQRTickerConverterH986" hidden="1">#REF!</definedName>
    <definedName name="IQRTickerConverterH988" hidden="1">#REF!</definedName>
    <definedName name="IQRTickerConverterH989" hidden="1">#REF!</definedName>
    <definedName name="IQRTickerConverterH99" hidden="1">#REF!</definedName>
    <definedName name="IQRTickerConverterH990" hidden="1">#REF!</definedName>
    <definedName name="IQRTickerConverterH991" hidden="1">#REF!</definedName>
    <definedName name="IQRTickerConverterH993" hidden="1">#REF!</definedName>
    <definedName name="IQRTickerConverterH994" hidden="1">#REF!</definedName>
    <definedName name="IQRTickerConverterH995" hidden="1">#REF!</definedName>
    <definedName name="IQRTickerConverterH996" hidden="1">#REF!</definedName>
    <definedName name="IQRTickerConverterH998" hidden="1">#REF!</definedName>
    <definedName name="IQRTickerConverterH999" hidden="1">#REF!</definedName>
    <definedName name="ListOffset" hidden="1">1</definedName>
    <definedName name="o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print." hidden="1">{#N/A,#N/A,FALSE,"Japan 2003";#N/A,#N/A,FALSE,"Sheet2"}</definedName>
  </definedNames>
  <calcPr calcId="191029" calcMode="autoNoTable" iterate="1" iterateCount="1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22" l="1"/>
  <c r="S556" i="43"/>
  <c r="AG177" i="43" l="1"/>
  <c r="AH177" i="43" s="1"/>
  <c r="Z527" i="43"/>
  <c r="AA527" i="43"/>
  <c r="AB527" i="43"/>
  <c r="U342" i="252"/>
  <c r="U318" i="252"/>
  <c r="U414" i="252"/>
  <c r="T390" i="252"/>
  <c r="T366" i="252"/>
  <c r="S342" i="252"/>
  <c r="S318" i="252"/>
  <c r="J390" i="252"/>
  <c r="G318" i="252"/>
  <c r="R414" i="252"/>
  <c r="R390" i="252"/>
  <c r="R366" i="252"/>
  <c r="R342" i="252"/>
  <c r="O318" i="252"/>
  <c r="H431" i="252" s="1"/>
  <c r="K318" i="252"/>
  <c r="M342" i="252"/>
  <c r="N366" i="252"/>
  <c r="N390" i="252"/>
  <c r="N414" i="252"/>
  <c r="W240" i="252"/>
  <c r="X240" i="252" s="1"/>
  <c r="Y240" i="252" s="1"/>
  <c r="Z240" i="252" s="1"/>
  <c r="AA240" i="252" s="1"/>
  <c r="AB240" i="252" s="1"/>
  <c r="AC240" i="252" s="1"/>
  <c r="AD240" i="252" s="1"/>
  <c r="W98" i="252"/>
  <c r="X98" i="252" s="1"/>
  <c r="Y98" i="252" s="1"/>
  <c r="Z98" i="252" s="1"/>
  <c r="AA98" i="252" s="1"/>
  <c r="AB98" i="252" s="1"/>
  <c r="AC98" i="252" s="1"/>
  <c r="AD98" i="252" s="1"/>
  <c r="AF555" i="43"/>
  <c r="AF554" i="43"/>
  <c r="AF553" i="43"/>
  <c r="AF552" i="43"/>
  <c r="AF551" i="43"/>
  <c r="AI177" i="43" l="1"/>
  <c r="AJ177" i="43" s="1"/>
  <c r="AK177" i="43" s="1"/>
  <c r="AL177" i="43" s="1"/>
  <c r="X513" i="43"/>
  <c r="W513" i="43"/>
  <c r="V513" i="43"/>
  <c r="U513" i="43"/>
  <c r="T513" i="43"/>
  <c r="S513" i="43"/>
  <c r="R513" i="43"/>
  <c r="AA513" i="43"/>
  <c r="Z513" i="43"/>
  <c r="Y513" i="43"/>
  <c r="AB513" i="43"/>
  <c r="AG25" i="43"/>
  <c r="AH25" i="43" s="1"/>
  <c r="AI25" i="43" s="1"/>
  <c r="AJ25" i="43" s="1"/>
  <c r="AK25" i="43" s="1"/>
  <c r="AL25" i="43" s="1"/>
  <c r="AM25" i="43" s="1"/>
  <c r="AN25" i="43" s="1"/>
  <c r="W195" i="252"/>
  <c r="X195" i="252" s="1"/>
  <c r="Y195" i="252" s="1"/>
  <c r="Z195" i="252" s="1"/>
  <c r="AA195" i="252" s="1"/>
  <c r="AB195" i="252" s="1"/>
  <c r="AC195" i="252" s="1"/>
  <c r="AD195" i="252" s="1"/>
  <c r="X47" i="252"/>
  <c r="Y47" i="252" s="1"/>
  <c r="Z47" i="252" s="1"/>
  <c r="AA47" i="252" s="1"/>
  <c r="AB47" i="252" s="1"/>
  <c r="AC47" i="252" s="1"/>
  <c r="AD47" i="252" s="1"/>
  <c r="X42" i="252"/>
  <c r="Y42" i="252" s="1"/>
  <c r="Z42" i="252" s="1"/>
  <c r="AA42" i="252" s="1"/>
  <c r="AB42" i="252" s="1"/>
  <c r="AC42" i="252" s="1"/>
  <c r="AD42" i="252" s="1"/>
  <c r="W42" i="252"/>
  <c r="AG263" i="43"/>
  <c r="AH263" i="43" s="1"/>
  <c r="AI263" i="43" s="1"/>
  <c r="AJ263" i="43" s="1"/>
  <c r="AK263" i="43" s="1"/>
  <c r="AL263" i="43" s="1"/>
  <c r="AM263" i="43" s="1"/>
  <c r="AN263" i="43" s="1"/>
  <c r="T651" i="43" l="1"/>
  <c r="Y657" i="43"/>
  <c r="X657" i="43"/>
  <c r="W657" i="43"/>
  <c r="V657" i="43"/>
  <c r="U657" i="43"/>
  <c r="T657" i="43"/>
  <c r="Z657" i="43"/>
  <c r="Z651" i="43"/>
  <c r="Y651" i="43"/>
  <c r="X651" i="43"/>
  <c r="W651" i="43"/>
  <c r="V651" i="43"/>
  <c r="U651" i="43"/>
  <c r="Z635" i="43"/>
  <c r="Y635" i="43"/>
  <c r="X635" i="43"/>
  <c r="W635" i="43"/>
  <c r="V635" i="43"/>
  <c r="T635" i="43"/>
  <c r="T659" i="43" s="1"/>
  <c r="U635" i="43"/>
  <c r="U636" i="43" l="1"/>
  <c r="T658" i="43"/>
  <c r="V636" i="43"/>
  <c r="Z636" i="43"/>
  <c r="Z659" i="43"/>
  <c r="W636" i="43"/>
  <c r="W659" i="43"/>
  <c r="W658" i="43" s="1"/>
  <c r="V659" i="43"/>
  <c r="V658" i="43" s="1"/>
  <c r="X636" i="43"/>
  <c r="X659" i="43"/>
  <c r="X658" i="43" s="1"/>
  <c r="Y636" i="43"/>
  <c r="U659" i="43"/>
  <c r="U658" i="43" s="1"/>
  <c r="Y659" i="43"/>
  <c r="Y658" i="43" s="1"/>
  <c r="E615" i="43"/>
  <c r="AD468" i="252"/>
  <c r="AC468" i="252"/>
  <c r="AB468" i="252"/>
  <c r="AA468" i="252"/>
  <c r="Z468" i="252"/>
  <c r="Y468" i="252"/>
  <c r="X468" i="252"/>
  <c r="W468" i="252"/>
  <c r="V468" i="252"/>
  <c r="U468" i="252"/>
  <c r="T468" i="252"/>
  <c r="S468" i="252"/>
  <c r="R468" i="252"/>
  <c r="Q468" i="252"/>
  <c r="P468" i="252"/>
  <c r="O468" i="252"/>
  <c r="N468" i="252"/>
  <c r="M468" i="252"/>
  <c r="L468" i="252"/>
  <c r="K468" i="252"/>
  <c r="J468" i="252"/>
  <c r="I468" i="252"/>
  <c r="H468" i="252"/>
  <c r="G468" i="252"/>
  <c r="T466" i="252"/>
  <c r="S466" i="252"/>
  <c r="H466" i="252"/>
  <c r="H467" i="252" s="1"/>
  <c r="G466" i="252"/>
  <c r="G467" i="252" s="1"/>
  <c r="T460" i="252"/>
  <c r="S460" i="252"/>
  <c r="S461" i="252" s="1"/>
  <c r="R460" i="252"/>
  <c r="H460" i="252"/>
  <c r="G460" i="252"/>
  <c r="G461" i="252" s="1"/>
  <c r="H442" i="252"/>
  <c r="D442" i="252"/>
  <c r="H441" i="252"/>
  <c r="D441" i="252"/>
  <c r="H440" i="252"/>
  <c r="D440" i="252"/>
  <c r="H439" i="252"/>
  <c r="D439" i="252"/>
  <c r="H438" i="252"/>
  <c r="D438" i="252"/>
  <c r="H437" i="252"/>
  <c r="D437" i="252"/>
  <c r="H436" i="252"/>
  <c r="D436" i="252"/>
  <c r="H435" i="252"/>
  <c r="D435" i="252"/>
  <c r="H434" i="252"/>
  <c r="D434" i="252"/>
  <c r="H433" i="252"/>
  <c r="D433" i="252"/>
  <c r="H432" i="252"/>
  <c r="D432" i="252"/>
  <c r="D431" i="252"/>
  <c r="H430" i="252"/>
  <c r="D430" i="252"/>
  <c r="H429" i="252"/>
  <c r="D429" i="252"/>
  <c r="H428" i="252"/>
  <c r="D428" i="252"/>
  <c r="H427" i="252"/>
  <c r="D427" i="252"/>
  <c r="H426" i="252"/>
  <c r="D426" i="252"/>
  <c r="H425" i="252"/>
  <c r="D425" i="252"/>
  <c r="D424" i="252"/>
  <c r="D423" i="252"/>
  <c r="H422" i="252"/>
  <c r="D422" i="252"/>
  <c r="U415" i="252"/>
  <c r="R415" i="252"/>
  <c r="N415" i="252"/>
  <c r="AD410" i="252"/>
  <c r="AC410" i="252"/>
  <c r="AB410" i="252"/>
  <c r="AA410" i="252"/>
  <c r="Z410" i="252"/>
  <c r="Y410" i="252"/>
  <c r="X410" i="252"/>
  <c r="W410" i="252"/>
  <c r="V410" i="252"/>
  <c r="T410" i="252"/>
  <c r="S410" i="252"/>
  <c r="Q410" i="252"/>
  <c r="P410" i="252"/>
  <c r="O410" i="252"/>
  <c r="M410" i="252"/>
  <c r="L410" i="252"/>
  <c r="K410" i="252"/>
  <c r="J410" i="252"/>
  <c r="I410" i="252"/>
  <c r="H410" i="252"/>
  <c r="G410" i="252"/>
  <c r="U403" i="252"/>
  <c r="U410" i="252" s="1"/>
  <c r="R403" i="252"/>
  <c r="N403" i="252"/>
  <c r="N410" i="252" s="1"/>
  <c r="AD400" i="252"/>
  <c r="AD417" i="252" s="1"/>
  <c r="AC400" i="252"/>
  <c r="AC413" i="252" s="1"/>
  <c r="AB400" i="252"/>
  <c r="AB417" i="252" s="1"/>
  <c r="AA400" i="252"/>
  <c r="AA417" i="252" s="1"/>
  <c r="Z400" i="252"/>
  <c r="Y400" i="252"/>
  <c r="Y413" i="252" s="1"/>
  <c r="X400" i="252"/>
  <c r="X416" i="252" s="1"/>
  <c r="W400" i="252"/>
  <c r="W417" i="252" s="1"/>
  <c r="V400" i="252"/>
  <c r="V417" i="252" s="1"/>
  <c r="U400" i="252"/>
  <c r="U413" i="252" s="1"/>
  <c r="G440" i="252" s="1"/>
  <c r="T400" i="252"/>
  <c r="T416" i="252" s="1"/>
  <c r="S400" i="252"/>
  <c r="S417" i="252" s="1"/>
  <c r="R400" i="252"/>
  <c r="R417" i="252" s="1"/>
  <c r="Q400" i="252"/>
  <c r="Q413" i="252" s="1"/>
  <c r="P400" i="252"/>
  <c r="P417" i="252" s="1"/>
  <c r="O400" i="252"/>
  <c r="O417" i="252" s="1"/>
  <c r="M400" i="252"/>
  <c r="M413" i="252" s="1"/>
  <c r="L400" i="252"/>
  <c r="L417" i="252" s="1"/>
  <c r="K400" i="252"/>
  <c r="K417" i="252" s="1"/>
  <c r="J400" i="252"/>
  <c r="J417" i="252" s="1"/>
  <c r="I400" i="252"/>
  <c r="I413" i="252" s="1"/>
  <c r="H400" i="252"/>
  <c r="H416" i="252" s="1"/>
  <c r="G400" i="252"/>
  <c r="G417" i="252" s="1"/>
  <c r="N398" i="252"/>
  <c r="N400" i="252" s="1"/>
  <c r="N417" i="252" s="1"/>
  <c r="T391" i="252"/>
  <c r="R391" i="252"/>
  <c r="N391" i="252"/>
  <c r="J391" i="252"/>
  <c r="J284" i="252" s="1"/>
  <c r="AD386" i="252"/>
  <c r="AC386" i="252"/>
  <c r="AB386" i="252"/>
  <c r="AA386" i="252"/>
  <c r="Z386" i="252"/>
  <c r="Y386" i="252"/>
  <c r="X386" i="252"/>
  <c r="W386" i="252"/>
  <c r="V386" i="252"/>
  <c r="U386" i="252"/>
  <c r="S386" i="252"/>
  <c r="Q386" i="252"/>
  <c r="P386" i="252"/>
  <c r="O386" i="252"/>
  <c r="M386" i="252"/>
  <c r="L386" i="252"/>
  <c r="K386" i="252"/>
  <c r="I386" i="252"/>
  <c r="H386" i="252"/>
  <c r="G386" i="252"/>
  <c r="T383" i="252"/>
  <c r="T271" i="252" s="1"/>
  <c r="J382" i="252"/>
  <c r="T379" i="252"/>
  <c r="R379" i="252"/>
  <c r="R386" i="252" s="1"/>
  <c r="N379" i="252"/>
  <c r="N386" i="252" s="1"/>
  <c r="J379" i="252"/>
  <c r="J267" i="252" s="1"/>
  <c r="J182" i="252" s="1"/>
  <c r="J378" i="252"/>
  <c r="AD376" i="252"/>
  <c r="AD393" i="252" s="1"/>
  <c r="AC376" i="252"/>
  <c r="AB376" i="252"/>
  <c r="AB393" i="252" s="1"/>
  <c r="AA376" i="252"/>
  <c r="AA393" i="252" s="1"/>
  <c r="Z376" i="252"/>
  <c r="Z393" i="252" s="1"/>
  <c r="Y376" i="252"/>
  <c r="Y393" i="252" s="1"/>
  <c r="X376" i="252"/>
  <c r="X393" i="252" s="1"/>
  <c r="W376" i="252"/>
  <c r="W393" i="252" s="1"/>
  <c r="V376" i="252"/>
  <c r="V393" i="252" s="1"/>
  <c r="U376" i="252"/>
  <c r="U393" i="252" s="1"/>
  <c r="T376" i="252"/>
  <c r="T393" i="252" s="1"/>
  <c r="S376" i="252"/>
  <c r="S393" i="252" s="1"/>
  <c r="R376" i="252"/>
  <c r="R392" i="252" s="1"/>
  <c r="I434" i="252" s="1"/>
  <c r="Q376" i="252"/>
  <c r="Q393" i="252" s="1"/>
  <c r="P376" i="252"/>
  <c r="P393" i="252" s="1"/>
  <c r="O376" i="252"/>
  <c r="O393" i="252" s="1"/>
  <c r="N376" i="252"/>
  <c r="M376" i="252"/>
  <c r="M392" i="252" s="1"/>
  <c r="L376" i="252"/>
  <c r="L393" i="252" s="1"/>
  <c r="K376" i="252"/>
  <c r="K393" i="252" s="1"/>
  <c r="J376" i="252"/>
  <c r="I376" i="252"/>
  <c r="I393" i="252" s="1"/>
  <c r="H376" i="252"/>
  <c r="H393" i="252" s="1"/>
  <c r="G376" i="252"/>
  <c r="G393" i="252" s="1"/>
  <c r="T367" i="252"/>
  <c r="T284" i="252" s="1"/>
  <c r="R367" i="252"/>
  <c r="N367" i="252"/>
  <c r="N284" i="252" s="1"/>
  <c r="AD362" i="252"/>
  <c r="AC362" i="252"/>
  <c r="AB362" i="252"/>
  <c r="AA362" i="252"/>
  <c r="Z362" i="252"/>
  <c r="Y362" i="252"/>
  <c r="X362" i="252"/>
  <c r="W362" i="252"/>
  <c r="V362" i="252"/>
  <c r="U362" i="252"/>
  <c r="S362" i="252"/>
  <c r="Q362" i="252"/>
  <c r="P362" i="252"/>
  <c r="O362" i="252"/>
  <c r="M362" i="252"/>
  <c r="L362" i="252"/>
  <c r="K362" i="252"/>
  <c r="J362" i="252"/>
  <c r="I362" i="252"/>
  <c r="G362" i="252"/>
  <c r="H358" i="252"/>
  <c r="T355" i="252"/>
  <c r="R355" i="252"/>
  <c r="R362" i="252" s="1"/>
  <c r="N355" i="252"/>
  <c r="N267" i="252" s="1"/>
  <c r="N182" i="252" s="1"/>
  <c r="H355" i="252"/>
  <c r="H362" i="252" s="1"/>
  <c r="N354" i="252"/>
  <c r="AD352" i="252"/>
  <c r="AD368" i="252" s="1"/>
  <c r="AC352" i="252"/>
  <c r="AB352" i="252"/>
  <c r="AB368" i="252" s="1"/>
  <c r="AA352" i="252"/>
  <c r="AA365" i="252" s="1"/>
  <c r="Z352" i="252"/>
  <c r="Z365" i="252" s="1"/>
  <c r="Y352" i="252"/>
  <c r="X352" i="252"/>
  <c r="X368" i="252" s="1"/>
  <c r="W352" i="252"/>
  <c r="W365" i="252" s="1"/>
  <c r="V352" i="252"/>
  <c r="V369" i="252" s="1"/>
  <c r="U352" i="252"/>
  <c r="T352" i="252"/>
  <c r="T368" i="252" s="1"/>
  <c r="I438" i="252" s="1"/>
  <c r="S352" i="252"/>
  <c r="S365" i="252" s="1"/>
  <c r="R352" i="252"/>
  <c r="R368" i="252" s="1"/>
  <c r="I433" i="252" s="1"/>
  <c r="Q352" i="252"/>
  <c r="Q369" i="252" s="1"/>
  <c r="P352" i="252"/>
  <c r="P368" i="252" s="1"/>
  <c r="O352" i="252"/>
  <c r="O365" i="252" s="1"/>
  <c r="N352" i="252"/>
  <c r="M352" i="252"/>
  <c r="L352" i="252"/>
  <c r="L368" i="252" s="1"/>
  <c r="K352" i="252"/>
  <c r="K365" i="252" s="1"/>
  <c r="J352" i="252"/>
  <c r="J365" i="252" s="1"/>
  <c r="I352" i="252"/>
  <c r="H352" i="252"/>
  <c r="H365" i="252" s="1"/>
  <c r="G424" i="252" s="1"/>
  <c r="G352" i="252"/>
  <c r="G368" i="252" s="1"/>
  <c r="U343" i="252"/>
  <c r="S343" i="252"/>
  <c r="R343" i="252"/>
  <c r="M343" i="252"/>
  <c r="AD338" i="252"/>
  <c r="AC338" i="252"/>
  <c r="AB338" i="252"/>
  <c r="AA338" i="252"/>
  <c r="Z338" i="252"/>
  <c r="Y338" i="252"/>
  <c r="X338" i="252"/>
  <c r="W338" i="252"/>
  <c r="V338" i="252"/>
  <c r="T338" i="252"/>
  <c r="R338" i="252"/>
  <c r="Q338" i="252"/>
  <c r="P338" i="252"/>
  <c r="O338" i="252"/>
  <c r="N338" i="252"/>
  <c r="L338" i="252"/>
  <c r="K338" i="252"/>
  <c r="J338" i="252"/>
  <c r="I338" i="252"/>
  <c r="G338" i="252"/>
  <c r="H334" i="252"/>
  <c r="U331" i="252"/>
  <c r="U338" i="252" s="1"/>
  <c r="S331" i="252"/>
  <c r="S338" i="252" s="1"/>
  <c r="R331" i="252"/>
  <c r="M331" i="252"/>
  <c r="M338" i="252" s="1"/>
  <c r="H331" i="252"/>
  <c r="H338" i="252" s="1"/>
  <c r="AD328" i="252"/>
  <c r="AD345" i="252" s="1"/>
  <c r="AC328" i="252"/>
  <c r="AC341" i="252" s="1"/>
  <c r="AB328" i="252"/>
  <c r="AB344" i="252" s="1"/>
  <c r="AA328" i="252"/>
  <c r="AA345" i="252" s="1"/>
  <c r="Z328" i="252"/>
  <c r="Z345" i="252" s="1"/>
  <c r="Y328" i="252"/>
  <c r="Y341" i="252" s="1"/>
  <c r="X328" i="252"/>
  <c r="X341" i="252" s="1"/>
  <c r="W328" i="252"/>
  <c r="W345" i="252" s="1"/>
  <c r="V328" i="252"/>
  <c r="V345" i="252" s="1"/>
  <c r="T328" i="252"/>
  <c r="T345" i="252" s="1"/>
  <c r="S328" i="252"/>
  <c r="Q328" i="252"/>
  <c r="Q341" i="252" s="1"/>
  <c r="P328" i="252"/>
  <c r="P345" i="252" s="1"/>
  <c r="O328" i="252"/>
  <c r="O345" i="252" s="1"/>
  <c r="N328" i="252"/>
  <c r="M328" i="252"/>
  <c r="M341" i="252" s="1"/>
  <c r="L328" i="252"/>
  <c r="L341" i="252" s="1"/>
  <c r="K328" i="252"/>
  <c r="K345" i="252" s="1"/>
  <c r="J328" i="252"/>
  <c r="J345" i="252" s="1"/>
  <c r="I328" i="252"/>
  <c r="I341" i="252" s="1"/>
  <c r="G328" i="252"/>
  <c r="G345" i="252" s="1"/>
  <c r="U327" i="252"/>
  <c r="U328" i="252" s="1"/>
  <c r="U341" i="252" s="1"/>
  <c r="R326" i="252"/>
  <c r="R328" i="252" s="1"/>
  <c r="R345" i="252" s="1"/>
  <c r="H326" i="252"/>
  <c r="H328" i="252" s="1"/>
  <c r="U319" i="252"/>
  <c r="S319" i="252"/>
  <c r="S284" i="252" s="1"/>
  <c r="K319" i="252"/>
  <c r="G319" i="252"/>
  <c r="G284" i="252" s="1"/>
  <c r="AD314" i="252"/>
  <c r="AC314" i="252"/>
  <c r="AB314" i="252"/>
  <c r="AA314" i="252"/>
  <c r="Z314" i="252"/>
  <c r="Y314" i="252"/>
  <c r="X314" i="252"/>
  <c r="W314" i="252"/>
  <c r="V314" i="252"/>
  <c r="T314" i="252"/>
  <c r="S314" i="252"/>
  <c r="R314" i="252"/>
  <c r="Q314" i="252"/>
  <c r="P314" i="252"/>
  <c r="N314" i="252"/>
  <c r="M314" i="252"/>
  <c r="L314" i="252"/>
  <c r="J314" i="252"/>
  <c r="I314" i="252"/>
  <c r="H314" i="252"/>
  <c r="U313" i="252"/>
  <c r="U307" i="252"/>
  <c r="U267" i="252" s="1"/>
  <c r="S307" i="252"/>
  <c r="O307" i="252"/>
  <c r="O314" i="252" s="1"/>
  <c r="O302" i="252" s="1"/>
  <c r="O304" i="252" s="1"/>
  <c r="K307" i="252"/>
  <c r="K314" i="252" s="1"/>
  <c r="G307" i="252"/>
  <c r="K306" i="252"/>
  <c r="AD304" i="252"/>
  <c r="AD321" i="252" s="1"/>
  <c r="AC304" i="252"/>
  <c r="AC317" i="252" s="1"/>
  <c r="AB304" i="252"/>
  <c r="AB321" i="252" s="1"/>
  <c r="AA304" i="252"/>
  <c r="Z304" i="252"/>
  <c r="Z321" i="252" s="1"/>
  <c r="Y304" i="252"/>
  <c r="Y320" i="252" s="1"/>
  <c r="X304" i="252"/>
  <c r="X321" i="252" s="1"/>
  <c r="W304" i="252"/>
  <c r="V304" i="252"/>
  <c r="V321" i="252" s="1"/>
  <c r="U304" i="252"/>
  <c r="U321" i="252" s="1"/>
  <c r="T304" i="252"/>
  <c r="T321" i="252" s="1"/>
  <c r="S304" i="252"/>
  <c r="R304" i="252"/>
  <c r="R321" i="252" s="1"/>
  <c r="Q304" i="252"/>
  <c r="Q317" i="252" s="1"/>
  <c r="P304" i="252"/>
  <c r="P320" i="252" s="1"/>
  <c r="N304" i="252"/>
  <c r="N321" i="252" s="1"/>
  <c r="M304" i="252"/>
  <c r="M321" i="252" s="1"/>
  <c r="L304" i="252"/>
  <c r="L321" i="252" s="1"/>
  <c r="K304" i="252"/>
  <c r="J304" i="252"/>
  <c r="J321" i="252" s="1"/>
  <c r="I304" i="252"/>
  <c r="I321" i="252" s="1"/>
  <c r="H304" i="252"/>
  <c r="H317" i="252" s="1"/>
  <c r="G304" i="252"/>
  <c r="D297" i="252"/>
  <c r="A297" i="252" s="1"/>
  <c r="D296" i="252"/>
  <c r="A296" i="252" s="1"/>
  <c r="D295" i="252"/>
  <c r="A295" i="252" s="1"/>
  <c r="D294" i="252"/>
  <c r="A294" i="252" s="1"/>
  <c r="D293" i="252"/>
  <c r="A293" i="252" s="1"/>
  <c r="D292" i="252"/>
  <c r="A292" i="252" s="1"/>
  <c r="D291" i="252"/>
  <c r="A291" i="252" s="1"/>
  <c r="D290" i="252"/>
  <c r="A290" i="252" s="1"/>
  <c r="W289" i="252"/>
  <c r="X289" i="252" s="1"/>
  <c r="Y289" i="252" s="1"/>
  <c r="Z289" i="252" s="1"/>
  <c r="AA289" i="252" s="1"/>
  <c r="AB289" i="252" s="1"/>
  <c r="AC289" i="252" s="1"/>
  <c r="AD289" i="252" s="1"/>
  <c r="D289" i="252"/>
  <c r="A289" i="252" s="1"/>
  <c r="W282" i="252"/>
  <c r="A285" i="252"/>
  <c r="U284" i="252"/>
  <c r="Q284" i="252"/>
  <c r="P284" i="252"/>
  <c r="O284" i="252"/>
  <c r="M284" i="252"/>
  <c r="L284" i="252"/>
  <c r="K284" i="252"/>
  <c r="I284" i="252"/>
  <c r="X283" i="252"/>
  <c r="Y283" i="252" s="1"/>
  <c r="V282" i="252"/>
  <c r="U282" i="252"/>
  <c r="T282" i="252"/>
  <c r="S282" i="252"/>
  <c r="R282" i="252"/>
  <c r="Q282" i="252"/>
  <c r="P282" i="252"/>
  <c r="O282" i="252"/>
  <c r="N282" i="252"/>
  <c r="M282" i="252"/>
  <c r="L282" i="252"/>
  <c r="K282" i="252"/>
  <c r="J282" i="252"/>
  <c r="I282" i="252"/>
  <c r="G282" i="252"/>
  <c r="A282" i="252"/>
  <c r="Q278" i="252"/>
  <c r="Q280" i="252" s="1"/>
  <c r="P278" i="252"/>
  <c r="P280" i="252" s="1"/>
  <c r="O278" i="252"/>
  <c r="O37" i="252" s="1"/>
  <c r="I278" i="252"/>
  <c r="I280" i="252" s="1"/>
  <c r="H278" i="252"/>
  <c r="H37" i="252" s="1"/>
  <c r="G278" i="252"/>
  <c r="G280" i="252" s="1"/>
  <c r="U273" i="252"/>
  <c r="T273" i="252"/>
  <c r="S273" i="252"/>
  <c r="R273" i="252"/>
  <c r="Q273" i="252"/>
  <c r="P273" i="252"/>
  <c r="O273" i="252"/>
  <c r="N273" i="252"/>
  <c r="M273" i="252"/>
  <c r="L273" i="252"/>
  <c r="K273" i="252"/>
  <c r="J273" i="252"/>
  <c r="I273" i="252"/>
  <c r="H273" i="252"/>
  <c r="G273" i="252"/>
  <c r="A273" i="252"/>
  <c r="U272" i="252"/>
  <c r="T272" i="252"/>
  <c r="S272" i="252"/>
  <c r="R272" i="252"/>
  <c r="Q272" i="252"/>
  <c r="P272" i="252"/>
  <c r="O272" i="252"/>
  <c r="N272" i="252"/>
  <c r="M272" i="252"/>
  <c r="L272" i="252"/>
  <c r="K272" i="252"/>
  <c r="J272" i="252"/>
  <c r="I272" i="252"/>
  <c r="H272" i="252"/>
  <c r="G272" i="252"/>
  <c r="A272" i="252"/>
  <c r="U271" i="252"/>
  <c r="S271" i="252"/>
  <c r="R271" i="252"/>
  <c r="Q271" i="252"/>
  <c r="P271" i="252"/>
  <c r="O271" i="252"/>
  <c r="N271" i="252"/>
  <c r="M271" i="252"/>
  <c r="L271" i="252"/>
  <c r="K271" i="252"/>
  <c r="J271" i="252"/>
  <c r="I271" i="252"/>
  <c r="H271" i="252"/>
  <c r="G271" i="252"/>
  <c r="A271" i="252"/>
  <c r="U270" i="252"/>
  <c r="U237" i="252" s="1"/>
  <c r="T270" i="252"/>
  <c r="T237" i="252" s="1"/>
  <c r="S270" i="252"/>
  <c r="S237" i="252" s="1"/>
  <c r="R270" i="252"/>
  <c r="R237" i="252" s="1"/>
  <c r="Q270" i="252"/>
  <c r="Q237" i="252" s="1"/>
  <c r="P270" i="252"/>
  <c r="P237" i="252" s="1"/>
  <c r="O270" i="252"/>
  <c r="O237" i="252" s="1"/>
  <c r="N270" i="252"/>
  <c r="N237" i="252" s="1"/>
  <c r="M270" i="252"/>
  <c r="M237" i="252" s="1"/>
  <c r="L270" i="252"/>
  <c r="L237" i="252" s="1"/>
  <c r="K270" i="252"/>
  <c r="K237" i="252" s="1"/>
  <c r="J270" i="252"/>
  <c r="J237" i="252" s="1"/>
  <c r="I270" i="252"/>
  <c r="G270" i="252"/>
  <c r="A270" i="252"/>
  <c r="U269" i="252"/>
  <c r="T269" i="252"/>
  <c r="T228" i="252" s="1"/>
  <c r="S269" i="252"/>
  <c r="S228" i="252" s="1"/>
  <c r="R269" i="252"/>
  <c r="R228" i="252" s="1"/>
  <c r="Q269" i="252"/>
  <c r="Q228" i="252" s="1"/>
  <c r="P269" i="252"/>
  <c r="P228" i="252" s="1"/>
  <c r="O269" i="252"/>
  <c r="O228" i="252" s="1"/>
  <c r="N269" i="252"/>
  <c r="N228" i="252" s="1"/>
  <c r="M269" i="252"/>
  <c r="M228" i="252" s="1"/>
  <c r="L269" i="252"/>
  <c r="L228" i="252" s="1"/>
  <c r="K269" i="252"/>
  <c r="J269" i="252"/>
  <c r="I269" i="252"/>
  <c r="H269" i="252"/>
  <c r="G269" i="252"/>
  <c r="A269" i="252"/>
  <c r="U268" i="252"/>
  <c r="U218" i="252" s="1"/>
  <c r="T268" i="252"/>
  <c r="T218" i="252" s="1"/>
  <c r="S268" i="252"/>
  <c r="S218" i="252" s="1"/>
  <c r="R268" i="252"/>
  <c r="R218" i="252" s="1"/>
  <c r="Q268" i="252"/>
  <c r="Q218" i="252" s="1"/>
  <c r="P268" i="252"/>
  <c r="P218" i="252" s="1"/>
  <c r="O268" i="252"/>
  <c r="O218" i="252" s="1"/>
  <c r="N268" i="252"/>
  <c r="N218" i="252" s="1"/>
  <c r="M268" i="252"/>
  <c r="M218" i="252" s="1"/>
  <c r="L268" i="252"/>
  <c r="L218" i="252" s="1"/>
  <c r="K268" i="252"/>
  <c r="K218" i="252" s="1"/>
  <c r="J268" i="252"/>
  <c r="J218" i="252" s="1"/>
  <c r="I268" i="252"/>
  <c r="H268" i="252"/>
  <c r="G268" i="252"/>
  <c r="A268" i="252"/>
  <c r="S267" i="252"/>
  <c r="S182" i="252" s="1"/>
  <c r="Q267" i="252"/>
  <c r="Q182" i="252" s="1"/>
  <c r="P267" i="252"/>
  <c r="P182" i="252" s="1"/>
  <c r="O267" i="252"/>
  <c r="O182" i="252" s="1"/>
  <c r="M267" i="252"/>
  <c r="M182" i="252" s="1"/>
  <c r="L267" i="252"/>
  <c r="L182" i="252" s="1"/>
  <c r="K267" i="252"/>
  <c r="K182" i="252" s="1"/>
  <c r="I267" i="252"/>
  <c r="I182" i="252" s="1"/>
  <c r="A267" i="252"/>
  <c r="U266" i="252"/>
  <c r="U256" i="252" s="1"/>
  <c r="T266" i="252"/>
  <c r="T256" i="252" s="1"/>
  <c r="S266" i="252"/>
  <c r="S256" i="252" s="1"/>
  <c r="Q266" i="252"/>
  <c r="Q256" i="252" s="1"/>
  <c r="P266" i="252"/>
  <c r="P256" i="252" s="1"/>
  <c r="N266" i="252"/>
  <c r="N256" i="252" s="1"/>
  <c r="M266" i="252"/>
  <c r="M256" i="252" s="1"/>
  <c r="L266" i="252"/>
  <c r="L256" i="252" s="1"/>
  <c r="K266" i="252"/>
  <c r="K256" i="252" s="1"/>
  <c r="J266" i="252"/>
  <c r="J256" i="252" s="1"/>
  <c r="I266" i="252"/>
  <c r="H266" i="252"/>
  <c r="G266" i="252"/>
  <c r="A266" i="252"/>
  <c r="U265" i="252"/>
  <c r="T265" i="252"/>
  <c r="S265" i="252"/>
  <c r="R265" i="252"/>
  <c r="Q265" i="252"/>
  <c r="P265" i="252"/>
  <c r="O265" i="252"/>
  <c r="N265" i="252"/>
  <c r="M265" i="252"/>
  <c r="L265" i="252"/>
  <c r="K265" i="252"/>
  <c r="J265" i="252"/>
  <c r="I265" i="252"/>
  <c r="H265" i="252"/>
  <c r="G265" i="252"/>
  <c r="A265" i="252"/>
  <c r="W259" i="252"/>
  <c r="X259" i="252" s="1"/>
  <c r="Y259" i="252" s="1"/>
  <c r="Z259" i="252" s="1"/>
  <c r="AA259" i="252" s="1"/>
  <c r="AB259" i="252" s="1"/>
  <c r="AC259" i="252" s="1"/>
  <c r="AD259" i="252" s="1"/>
  <c r="J258" i="252"/>
  <c r="U255" i="252"/>
  <c r="Q255" i="252"/>
  <c r="O255" i="252"/>
  <c r="M255" i="252"/>
  <c r="L255" i="252"/>
  <c r="K255" i="252"/>
  <c r="I255" i="252"/>
  <c r="K254" i="252"/>
  <c r="D252" i="252"/>
  <c r="D251" i="252"/>
  <c r="D250" i="252"/>
  <c r="D249" i="252"/>
  <c r="U248" i="252"/>
  <c r="T248" i="252"/>
  <c r="S248" i="252"/>
  <c r="Q248" i="252"/>
  <c r="P248" i="252"/>
  <c r="O248" i="252"/>
  <c r="M248" i="252"/>
  <c r="L248" i="252"/>
  <c r="L247" i="252" s="1"/>
  <c r="K248" i="252"/>
  <c r="K247" i="252"/>
  <c r="A247" i="252"/>
  <c r="A246" i="252"/>
  <c r="A245" i="252"/>
  <c r="A244" i="252"/>
  <c r="X241" i="252"/>
  <c r="Y241" i="252" s="1"/>
  <c r="Z241" i="252" s="1"/>
  <c r="AA241" i="252" s="1"/>
  <c r="AB241" i="252" s="1"/>
  <c r="AC241" i="252" s="1"/>
  <c r="AD241" i="252" s="1"/>
  <c r="W241" i="252"/>
  <c r="U239" i="252"/>
  <c r="V234" i="252" s="1"/>
  <c r="V236" i="252" s="1"/>
  <c r="V246" i="252" s="1"/>
  <c r="T239" i="252"/>
  <c r="U234" i="252" s="1"/>
  <c r="S239" i="252"/>
  <c r="T234" i="252" s="1"/>
  <c r="R239" i="252"/>
  <c r="Q239" i="252"/>
  <c r="R234" i="252" s="1"/>
  <c r="P239" i="252"/>
  <c r="Q234" i="252" s="1"/>
  <c r="O239" i="252"/>
  <c r="P234" i="252" s="1"/>
  <c r="N239" i="252"/>
  <c r="M239" i="252"/>
  <c r="N234" i="252" s="1"/>
  <c r="L239" i="252"/>
  <c r="K239" i="252"/>
  <c r="L234" i="252" s="1"/>
  <c r="J239" i="252"/>
  <c r="I239" i="252"/>
  <c r="J234" i="252" s="1"/>
  <c r="V235" i="252"/>
  <c r="S234" i="252"/>
  <c r="O234" i="252"/>
  <c r="M234" i="252"/>
  <c r="K234" i="252"/>
  <c r="W231" i="252"/>
  <c r="X231" i="252" s="1"/>
  <c r="Y231" i="252" s="1"/>
  <c r="Z231" i="252" s="1"/>
  <c r="AA231" i="252" s="1"/>
  <c r="AB231" i="252" s="1"/>
  <c r="AC231" i="252" s="1"/>
  <c r="AD231" i="252" s="1"/>
  <c r="W230" i="252"/>
  <c r="X230" i="252" s="1"/>
  <c r="Y230" i="252" s="1"/>
  <c r="Z230" i="252" s="1"/>
  <c r="AA230" i="252" s="1"/>
  <c r="AB230" i="252" s="1"/>
  <c r="AC230" i="252" s="1"/>
  <c r="AD230" i="252" s="1"/>
  <c r="R229" i="252"/>
  <c r="N229" i="252"/>
  <c r="Q229" i="252" s="1"/>
  <c r="R225" i="252" s="1"/>
  <c r="M229" i="252"/>
  <c r="N225" i="252" s="1"/>
  <c r="S225" i="252"/>
  <c r="O225" i="252"/>
  <c r="AB222" i="252"/>
  <c r="AC222" i="252" s="1"/>
  <c r="AD222" i="252" s="1"/>
  <c r="X222" i="252"/>
  <c r="Y222" i="252" s="1"/>
  <c r="Z222" i="252" s="1"/>
  <c r="W221" i="252"/>
  <c r="X221" i="252" s="1"/>
  <c r="Y221" i="252" s="1"/>
  <c r="Z221" i="252" s="1"/>
  <c r="AA221" i="252" s="1"/>
  <c r="AB221" i="252" s="1"/>
  <c r="AC221" i="252" s="1"/>
  <c r="AD221" i="252" s="1"/>
  <c r="N220" i="252"/>
  <c r="O215" i="252" s="1"/>
  <c r="J220" i="252"/>
  <c r="K215" i="252" s="1"/>
  <c r="I220" i="252"/>
  <c r="J215" i="252" s="1"/>
  <c r="U216" i="252"/>
  <c r="T216" i="252"/>
  <c r="S216" i="252"/>
  <c r="Q216" i="252"/>
  <c r="P216" i="252"/>
  <c r="O216" i="252"/>
  <c r="M216" i="252"/>
  <c r="L216" i="252"/>
  <c r="K216" i="252"/>
  <c r="W210" i="252"/>
  <c r="X210" i="252" s="1"/>
  <c r="Y210" i="252" s="1"/>
  <c r="Z210" i="252" s="1"/>
  <c r="AA210" i="252" s="1"/>
  <c r="AB210" i="252" s="1"/>
  <c r="AC210" i="252" s="1"/>
  <c r="AD210" i="252" s="1"/>
  <c r="AD25" i="252" s="1"/>
  <c r="U209" i="252"/>
  <c r="T209" i="252"/>
  <c r="S209" i="252"/>
  <c r="Q209" i="252"/>
  <c r="P209" i="252"/>
  <c r="O209" i="252"/>
  <c r="L209" i="252"/>
  <c r="K209" i="252"/>
  <c r="I209" i="252"/>
  <c r="H209" i="252"/>
  <c r="G209" i="252"/>
  <c r="G205" i="252" s="1"/>
  <c r="R208" i="252"/>
  <c r="R189" i="252" s="1"/>
  <c r="M208" i="252"/>
  <c r="J208" i="252"/>
  <c r="J189" i="252" s="1"/>
  <c r="V206" i="252"/>
  <c r="W206" i="252" s="1"/>
  <c r="X206" i="252" s="1"/>
  <c r="Y206" i="252" s="1"/>
  <c r="Z206" i="252" s="1"/>
  <c r="AA206" i="252" s="1"/>
  <c r="AB206" i="252" s="1"/>
  <c r="AC206" i="252" s="1"/>
  <c r="AD206" i="252" s="1"/>
  <c r="U206" i="252"/>
  <c r="T206" i="252"/>
  <c r="S206" i="252"/>
  <c r="R206" i="252"/>
  <c r="Q206" i="252"/>
  <c r="P206" i="252"/>
  <c r="O206" i="252"/>
  <c r="N206" i="252"/>
  <c r="M206" i="252"/>
  <c r="L206" i="252"/>
  <c r="K206" i="252"/>
  <c r="J206" i="252"/>
  <c r="V205" i="252"/>
  <c r="U204" i="252"/>
  <c r="T204" i="252"/>
  <c r="S204" i="252"/>
  <c r="Q204" i="252"/>
  <c r="P204" i="252"/>
  <c r="O204" i="252"/>
  <c r="M204" i="252"/>
  <c r="L204" i="252"/>
  <c r="K204" i="252"/>
  <c r="I204" i="252"/>
  <c r="H204" i="252"/>
  <c r="G204" i="252"/>
  <c r="U203" i="252"/>
  <c r="T203" i="252"/>
  <c r="S203" i="252"/>
  <c r="R203" i="252"/>
  <c r="Q203" i="252"/>
  <c r="P203" i="252"/>
  <c r="O203" i="252"/>
  <c r="N203" i="252"/>
  <c r="M203" i="252"/>
  <c r="L203" i="252"/>
  <c r="K203" i="252"/>
  <c r="J203" i="252"/>
  <c r="I203" i="252"/>
  <c r="H203" i="252"/>
  <c r="G203" i="252"/>
  <c r="T200" i="252"/>
  <c r="T201" i="252" s="1"/>
  <c r="L200" i="252"/>
  <c r="L201" i="252" s="1"/>
  <c r="J200" i="252"/>
  <c r="J201" i="252" s="1"/>
  <c r="H200" i="252"/>
  <c r="H201" i="252" s="1"/>
  <c r="G200" i="252"/>
  <c r="G201" i="252" s="1"/>
  <c r="U198" i="252"/>
  <c r="U38" i="252" s="1"/>
  <c r="T198" i="252"/>
  <c r="T258" i="252" s="1"/>
  <c r="U254" i="252" s="1"/>
  <c r="S198" i="252"/>
  <c r="R198" i="252"/>
  <c r="R258" i="252" s="1"/>
  <c r="S254" i="252" s="1"/>
  <c r="Q198" i="252"/>
  <c r="Q258" i="252" s="1"/>
  <c r="R254" i="252" s="1"/>
  <c r="P198" i="252"/>
  <c r="P258" i="252" s="1"/>
  <c r="Q254" i="252" s="1"/>
  <c r="O198" i="252"/>
  <c r="N198" i="252"/>
  <c r="N258" i="252" s="1"/>
  <c r="O254" i="252" s="1"/>
  <c r="M198" i="252"/>
  <c r="M38" i="252" s="1"/>
  <c r="L198" i="252"/>
  <c r="L258" i="252" s="1"/>
  <c r="M254" i="252" s="1"/>
  <c r="K198" i="252"/>
  <c r="I198" i="252"/>
  <c r="I205" i="252" s="1"/>
  <c r="T192" i="252"/>
  <c r="R192" i="252"/>
  <c r="Q192" i="252"/>
  <c r="H192" i="252"/>
  <c r="G192" i="252"/>
  <c r="W190" i="252"/>
  <c r="U189" i="252"/>
  <c r="T189" i="252"/>
  <c r="S189" i="252"/>
  <c r="Q189" i="252"/>
  <c r="P189" i="252"/>
  <c r="O189" i="252"/>
  <c r="M189" i="252"/>
  <c r="L189" i="252"/>
  <c r="K189" i="252"/>
  <c r="I189" i="252"/>
  <c r="H189" i="252"/>
  <c r="G189" i="252"/>
  <c r="G190" i="252" s="1"/>
  <c r="U187" i="252"/>
  <c r="T187" i="252"/>
  <c r="U188" i="252" s="1"/>
  <c r="S187" i="252"/>
  <c r="R187" i="252"/>
  <c r="R193" i="252" s="1"/>
  <c r="P187" i="252"/>
  <c r="L187" i="252"/>
  <c r="H187" i="252"/>
  <c r="H193" i="252" s="1"/>
  <c r="G187" i="252"/>
  <c r="H179" i="252"/>
  <c r="U176" i="252"/>
  <c r="T176" i="252"/>
  <c r="S176" i="252"/>
  <c r="Q176" i="252"/>
  <c r="P176" i="252"/>
  <c r="O176" i="252"/>
  <c r="M176" i="252"/>
  <c r="L176" i="252"/>
  <c r="W173" i="252"/>
  <c r="X173" i="252" s="1"/>
  <c r="Y173" i="252" s="1"/>
  <c r="Z173" i="252" s="1"/>
  <c r="AA173" i="252" s="1"/>
  <c r="AB173" i="252" s="1"/>
  <c r="AC173" i="252" s="1"/>
  <c r="AD173" i="252" s="1"/>
  <c r="U172" i="252"/>
  <c r="T172" i="252"/>
  <c r="S172" i="252"/>
  <c r="R172" i="252"/>
  <c r="Q172" i="252"/>
  <c r="O172" i="252"/>
  <c r="N172" i="252"/>
  <c r="M172" i="252"/>
  <c r="L172" i="252"/>
  <c r="K172" i="252"/>
  <c r="J172" i="252"/>
  <c r="U168" i="252"/>
  <c r="Q168" i="252"/>
  <c r="P168" i="252"/>
  <c r="O168" i="252"/>
  <c r="M168" i="252"/>
  <c r="L168" i="252"/>
  <c r="K168" i="252"/>
  <c r="J168" i="252"/>
  <c r="V167" i="252"/>
  <c r="W167" i="252" s="1"/>
  <c r="X167" i="252" s="1"/>
  <c r="Y167" i="252" s="1"/>
  <c r="Z167" i="252" s="1"/>
  <c r="AA167" i="252" s="1"/>
  <c r="AB167" i="252" s="1"/>
  <c r="AC167" i="252" s="1"/>
  <c r="AD167" i="252" s="1"/>
  <c r="W166" i="252"/>
  <c r="X166" i="252" s="1"/>
  <c r="Y166" i="252" s="1"/>
  <c r="Z166" i="252" s="1"/>
  <c r="AA166" i="252" s="1"/>
  <c r="AB166" i="252" s="1"/>
  <c r="AC166" i="252" s="1"/>
  <c r="AD166" i="252" s="1"/>
  <c r="V166" i="252"/>
  <c r="V165" i="252"/>
  <c r="P165" i="252"/>
  <c r="O165" i="252"/>
  <c r="N165" i="252"/>
  <c r="M165" i="252"/>
  <c r="L165" i="252"/>
  <c r="K165" i="252"/>
  <c r="J165" i="252"/>
  <c r="I165" i="252"/>
  <c r="M162" i="252"/>
  <c r="L162" i="252"/>
  <c r="K162" i="252"/>
  <c r="K187" i="252" s="1"/>
  <c r="J162" i="252"/>
  <c r="J187" i="252" s="1"/>
  <c r="I162" i="252"/>
  <c r="I187" i="252" s="1"/>
  <c r="U160" i="252"/>
  <c r="U164" i="252" s="1"/>
  <c r="U169" i="252" s="1"/>
  <c r="T160" i="252"/>
  <c r="T164" i="252" s="1"/>
  <c r="T169" i="252" s="1"/>
  <c r="S160" i="252"/>
  <c r="S164" i="252" s="1"/>
  <c r="S169" i="252" s="1"/>
  <c r="R160" i="252"/>
  <c r="R164" i="252" s="1"/>
  <c r="R169" i="252" s="1"/>
  <c r="L160" i="252"/>
  <c r="L164" i="252" s="1"/>
  <c r="L169" i="252" s="1"/>
  <c r="K160" i="252"/>
  <c r="K164" i="252" s="1"/>
  <c r="K169" i="252" s="1"/>
  <c r="J160" i="252"/>
  <c r="H160" i="252"/>
  <c r="H164" i="252" s="1"/>
  <c r="H169" i="252" s="1"/>
  <c r="G160" i="252"/>
  <c r="G164" i="252" s="1"/>
  <c r="G169" i="252" s="1"/>
  <c r="V159" i="252"/>
  <c r="W159" i="252" s="1"/>
  <c r="X159" i="252" s="1"/>
  <c r="Y159" i="252" s="1"/>
  <c r="Z159" i="252" s="1"/>
  <c r="AA159" i="252" s="1"/>
  <c r="AB159" i="252" s="1"/>
  <c r="AC159" i="252" s="1"/>
  <c r="AD159" i="252" s="1"/>
  <c r="V158" i="252"/>
  <c r="W158" i="252" s="1"/>
  <c r="X158" i="252" s="1"/>
  <c r="Y158" i="252" s="1"/>
  <c r="Z158" i="252" s="1"/>
  <c r="AA158" i="252" s="1"/>
  <c r="AB158" i="252" s="1"/>
  <c r="AC158" i="252" s="1"/>
  <c r="AD158" i="252" s="1"/>
  <c r="I157" i="252"/>
  <c r="V156" i="252"/>
  <c r="W156" i="252" s="1"/>
  <c r="X156" i="252" s="1"/>
  <c r="Y156" i="252" s="1"/>
  <c r="Z156" i="252" s="1"/>
  <c r="AA156" i="252" s="1"/>
  <c r="AB156" i="252" s="1"/>
  <c r="AC156" i="252" s="1"/>
  <c r="AD156" i="252" s="1"/>
  <c r="P156" i="252"/>
  <c r="P160" i="252" s="1"/>
  <c r="P164" i="252" s="1"/>
  <c r="P169" i="252" s="1"/>
  <c r="V155" i="252"/>
  <c r="W155" i="252" s="1"/>
  <c r="X155" i="252" s="1"/>
  <c r="Y155" i="252" s="1"/>
  <c r="Z155" i="252" s="1"/>
  <c r="AA155" i="252" s="1"/>
  <c r="AB155" i="252" s="1"/>
  <c r="AC155" i="252" s="1"/>
  <c r="AD155" i="252" s="1"/>
  <c r="Q155" i="252"/>
  <c r="O155" i="252"/>
  <c r="O187" i="252" s="1"/>
  <c r="N155" i="252"/>
  <c r="N160" i="252" s="1"/>
  <c r="N164" i="252" s="1"/>
  <c r="N169" i="252" s="1"/>
  <c r="M155" i="252"/>
  <c r="M160" i="252" s="1"/>
  <c r="M164" i="252" s="1"/>
  <c r="M169" i="252" s="1"/>
  <c r="V152" i="252"/>
  <c r="W152" i="252" s="1"/>
  <c r="X152" i="252" s="1"/>
  <c r="Y152" i="252" s="1"/>
  <c r="Z152" i="252" s="1"/>
  <c r="AA152" i="252" s="1"/>
  <c r="AB152" i="252" s="1"/>
  <c r="AC152" i="252" s="1"/>
  <c r="AD152" i="252" s="1"/>
  <c r="T148" i="252"/>
  <c r="T153" i="252" s="1"/>
  <c r="R148" i="252"/>
  <c r="R153" i="252" s="1"/>
  <c r="M148" i="252"/>
  <c r="M153" i="252" s="1"/>
  <c r="H148" i="252"/>
  <c r="H153" i="252" s="1"/>
  <c r="G148" i="252"/>
  <c r="G153" i="252" s="1"/>
  <c r="U144" i="252"/>
  <c r="U192" i="252" s="1"/>
  <c r="S144" i="252"/>
  <c r="Q144" i="252"/>
  <c r="Q148" i="252" s="1"/>
  <c r="Q153" i="252" s="1"/>
  <c r="P144" i="252"/>
  <c r="P192" i="252" s="1"/>
  <c r="O144" i="252"/>
  <c r="O192" i="252" s="1"/>
  <c r="N144" i="252"/>
  <c r="M144" i="252"/>
  <c r="M192" i="252" s="1"/>
  <c r="L144" i="252"/>
  <c r="L192" i="252" s="1"/>
  <c r="K144" i="252"/>
  <c r="K192" i="252" s="1"/>
  <c r="J144" i="252"/>
  <c r="I144" i="252"/>
  <c r="I148" i="252" s="1"/>
  <c r="I153" i="252" s="1"/>
  <c r="R139" i="252"/>
  <c r="N139" i="252"/>
  <c r="J139" i="252"/>
  <c r="R136" i="252"/>
  <c r="K136" i="252"/>
  <c r="N136" i="252" s="1"/>
  <c r="J136" i="252"/>
  <c r="W135" i="252"/>
  <c r="X135" i="252" s="1"/>
  <c r="Y135" i="252" s="1"/>
  <c r="Z135" i="252" s="1"/>
  <c r="AA135" i="252" s="1"/>
  <c r="AB135" i="252" s="1"/>
  <c r="AC135" i="252" s="1"/>
  <c r="AD135" i="252" s="1"/>
  <c r="V135" i="252"/>
  <c r="W134" i="252"/>
  <c r="X134" i="252" s="1"/>
  <c r="Y134" i="252" s="1"/>
  <c r="Z134" i="252" s="1"/>
  <c r="AA134" i="252" s="1"/>
  <c r="AB134" i="252" s="1"/>
  <c r="AC134" i="252" s="1"/>
  <c r="AD134" i="252" s="1"/>
  <c r="P134" i="252"/>
  <c r="R134" i="252" s="1"/>
  <c r="O134" i="252"/>
  <c r="N134" i="252"/>
  <c r="J134" i="252"/>
  <c r="R133" i="252"/>
  <c r="R204" i="252" s="1"/>
  <c r="N133" i="252"/>
  <c r="N204" i="252" s="1"/>
  <c r="J133" i="252"/>
  <c r="J204" i="252" s="1"/>
  <c r="Q130" i="252"/>
  <c r="O130" i="252"/>
  <c r="I130" i="252"/>
  <c r="H130" i="252"/>
  <c r="G130" i="252"/>
  <c r="J129" i="252"/>
  <c r="T128" i="252"/>
  <c r="T255" i="252" s="1"/>
  <c r="S128" i="252"/>
  <c r="S255" i="252" s="1"/>
  <c r="P128" i="252"/>
  <c r="N128" i="252"/>
  <c r="N255" i="252" s="1"/>
  <c r="J128" i="252"/>
  <c r="J255" i="252" s="1"/>
  <c r="U127" i="252"/>
  <c r="U278" i="252" s="1"/>
  <c r="U37" i="252" s="1"/>
  <c r="T127" i="252"/>
  <c r="S127" i="252"/>
  <c r="S278" i="252" s="1"/>
  <c r="R127" i="252"/>
  <c r="R278" i="252" s="1"/>
  <c r="M127" i="252"/>
  <c r="L127" i="252"/>
  <c r="L130" i="252" s="1"/>
  <c r="K127" i="252"/>
  <c r="K278" i="252" s="1"/>
  <c r="J127" i="252"/>
  <c r="J278" i="252" s="1"/>
  <c r="J37" i="252" s="1"/>
  <c r="R126" i="252"/>
  <c r="R216" i="252" s="1"/>
  <c r="N126" i="252"/>
  <c r="N216" i="252" s="1"/>
  <c r="J126" i="252"/>
  <c r="J216" i="252" s="1"/>
  <c r="U122" i="252"/>
  <c r="U180" i="252" s="1"/>
  <c r="T122" i="252"/>
  <c r="T180" i="252" s="1"/>
  <c r="S122" i="252"/>
  <c r="S180" i="252" s="1"/>
  <c r="Q122" i="252"/>
  <c r="Q180" i="252" s="1"/>
  <c r="P122" i="252"/>
  <c r="P180" i="252" s="1"/>
  <c r="O122" i="252"/>
  <c r="M122" i="252"/>
  <c r="M180" i="252" s="1"/>
  <c r="L122" i="252"/>
  <c r="L180" i="252" s="1"/>
  <c r="K122" i="252"/>
  <c r="N122" i="252" s="1"/>
  <c r="N180" i="252" s="1"/>
  <c r="I122" i="252"/>
  <c r="I180" i="252" s="1"/>
  <c r="H122" i="252"/>
  <c r="H180" i="252" s="1"/>
  <c r="G122" i="252"/>
  <c r="J122" i="252" s="1"/>
  <c r="J180" i="252" s="1"/>
  <c r="AD119" i="252"/>
  <c r="AC119" i="252"/>
  <c r="AB119" i="252"/>
  <c r="AA119" i="252"/>
  <c r="Z119" i="252"/>
  <c r="Y119" i="252"/>
  <c r="X119" i="252"/>
  <c r="W119" i="252"/>
  <c r="V119" i="252"/>
  <c r="R119" i="252"/>
  <c r="M119" i="252"/>
  <c r="J119" i="252"/>
  <c r="J71" i="252" s="1"/>
  <c r="U116" i="252"/>
  <c r="T116" i="252"/>
  <c r="S116" i="252"/>
  <c r="R116" i="252"/>
  <c r="Q116" i="252"/>
  <c r="P116" i="252"/>
  <c r="O116" i="252"/>
  <c r="N116" i="252"/>
  <c r="M116" i="252"/>
  <c r="L116" i="252"/>
  <c r="K116" i="252"/>
  <c r="J116" i="252"/>
  <c r="I116" i="252"/>
  <c r="H116" i="252"/>
  <c r="G116" i="252"/>
  <c r="U108" i="252"/>
  <c r="T108" i="252"/>
  <c r="S108" i="252"/>
  <c r="Q108" i="252"/>
  <c r="P108" i="252"/>
  <c r="O108" i="252"/>
  <c r="M108" i="252"/>
  <c r="L108" i="252"/>
  <c r="K108" i="252"/>
  <c r="I108" i="252"/>
  <c r="H108" i="252"/>
  <c r="G108" i="252"/>
  <c r="V106" i="252"/>
  <c r="V108" i="252" s="1"/>
  <c r="R106" i="252"/>
  <c r="R462" i="252" s="1"/>
  <c r="N106" i="252"/>
  <c r="N108" i="252" s="1"/>
  <c r="J106" i="252"/>
  <c r="J108" i="252" s="1"/>
  <c r="V105" i="252"/>
  <c r="W105" i="252" s="1"/>
  <c r="X105" i="252" s="1"/>
  <c r="Y105" i="252" s="1"/>
  <c r="Z105" i="252" s="1"/>
  <c r="AA105" i="252" s="1"/>
  <c r="AB105" i="252" s="1"/>
  <c r="AC105" i="252" s="1"/>
  <c r="AD105" i="252" s="1"/>
  <c r="R105" i="252"/>
  <c r="N105" i="252"/>
  <c r="J105" i="252"/>
  <c r="V102" i="252"/>
  <c r="W102" i="252" s="1"/>
  <c r="X102" i="252" s="1"/>
  <c r="Y102" i="252" s="1"/>
  <c r="Z102" i="252" s="1"/>
  <c r="AA102" i="252" s="1"/>
  <c r="AB102" i="252" s="1"/>
  <c r="AC102" i="252" s="1"/>
  <c r="AD102" i="252" s="1"/>
  <c r="V101" i="252"/>
  <c r="W101" i="252" s="1"/>
  <c r="X101" i="252" s="1"/>
  <c r="Y101" i="252" s="1"/>
  <c r="Z101" i="252" s="1"/>
  <c r="AA101" i="252" s="1"/>
  <c r="AB101" i="252" s="1"/>
  <c r="AC101" i="252" s="1"/>
  <c r="AD101" i="252" s="1"/>
  <c r="V100" i="252"/>
  <c r="W100" i="252" s="1"/>
  <c r="X100" i="252" s="1"/>
  <c r="Y100" i="252" s="1"/>
  <c r="Z100" i="252" s="1"/>
  <c r="AA100" i="252" s="1"/>
  <c r="AB100" i="252" s="1"/>
  <c r="AC100" i="252" s="1"/>
  <c r="AD100" i="252" s="1"/>
  <c r="Y97" i="252"/>
  <c r="X97" i="252"/>
  <c r="W97" i="252"/>
  <c r="U96" i="252"/>
  <c r="U117" i="252" s="1"/>
  <c r="T96" i="252"/>
  <c r="S96" i="252"/>
  <c r="S117" i="252" s="1"/>
  <c r="Q96" i="252"/>
  <c r="Q117" i="252" s="1"/>
  <c r="P96" i="252"/>
  <c r="O96" i="252"/>
  <c r="O117" i="252" s="1"/>
  <c r="M96" i="252"/>
  <c r="M117" i="252" s="1"/>
  <c r="L96" i="252"/>
  <c r="K96" i="252"/>
  <c r="K117" i="252" s="1"/>
  <c r="I96" i="252"/>
  <c r="I117" i="252" s="1"/>
  <c r="H96" i="252"/>
  <c r="G96" i="252"/>
  <c r="G117" i="252" s="1"/>
  <c r="H95" i="252"/>
  <c r="V92" i="252"/>
  <c r="W92" i="252" s="1"/>
  <c r="X92" i="252" s="1"/>
  <c r="Y92" i="252" s="1"/>
  <c r="Z92" i="252" s="1"/>
  <c r="AA92" i="252" s="1"/>
  <c r="AB92" i="252" s="1"/>
  <c r="AC92" i="252" s="1"/>
  <c r="AD92" i="252" s="1"/>
  <c r="V90" i="252"/>
  <c r="W90" i="252" s="1"/>
  <c r="X90" i="252" s="1"/>
  <c r="Y90" i="252" s="1"/>
  <c r="Z90" i="252" s="1"/>
  <c r="AA90" i="252" s="1"/>
  <c r="AB90" i="252" s="1"/>
  <c r="AC90" i="252" s="1"/>
  <c r="AD90" i="252" s="1"/>
  <c r="U89" i="252"/>
  <c r="T89" i="252"/>
  <c r="S89" i="252"/>
  <c r="Q89" i="252"/>
  <c r="P89" i="252"/>
  <c r="O89" i="252"/>
  <c r="M89" i="252"/>
  <c r="L89" i="252"/>
  <c r="K89" i="252"/>
  <c r="V88" i="252"/>
  <c r="W88" i="252" s="1"/>
  <c r="X88" i="252" s="1"/>
  <c r="Y88" i="252" s="1"/>
  <c r="Z88" i="252" s="1"/>
  <c r="AA88" i="252" s="1"/>
  <c r="AB88" i="252" s="1"/>
  <c r="AC88" i="252" s="1"/>
  <c r="AD88" i="252" s="1"/>
  <c r="V87" i="252"/>
  <c r="U86" i="252"/>
  <c r="U115" i="252" s="1"/>
  <c r="T86" i="252"/>
  <c r="T115" i="252" s="1"/>
  <c r="S86" i="252"/>
  <c r="S115" i="252" s="1"/>
  <c r="Q86" i="252"/>
  <c r="Q115" i="252" s="1"/>
  <c r="P86" i="252"/>
  <c r="P115" i="252" s="1"/>
  <c r="O86" i="252"/>
  <c r="O115" i="252" s="1"/>
  <c r="M86" i="252"/>
  <c r="M115" i="252" s="1"/>
  <c r="L86" i="252"/>
  <c r="L115" i="252" s="1"/>
  <c r="K86" i="252"/>
  <c r="K115" i="252" s="1"/>
  <c r="I86" i="252"/>
  <c r="I115" i="252" s="1"/>
  <c r="H86" i="252"/>
  <c r="H115" i="252" s="1"/>
  <c r="G86" i="252"/>
  <c r="G115" i="252" s="1"/>
  <c r="U84" i="252"/>
  <c r="T84" i="252"/>
  <c r="S84" i="252"/>
  <c r="Q84" i="252"/>
  <c r="P84" i="252"/>
  <c r="O84" i="252"/>
  <c r="M84" i="252"/>
  <c r="L84" i="252"/>
  <c r="K84" i="252"/>
  <c r="I84" i="252"/>
  <c r="H84" i="252"/>
  <c r="G84" i="252"/>
  <c r="T83" i="252"/>
  <c r="S83" i="252"/>
  <c r="Q83" i="252"/>
  <c r="P83" i="252"/>
  <c r="O83" i="252"/>
  <c r="M83" i="252"/>
  <c r="L83" i="252"/>
  <c r="K83" i="252"/>
  <c r="I83" i="252"/>
  <c r="H83" i="252"/>
  <c r="G83" i="252"/>
  <c r="V82" i="252"/>
  <c r="W82" i="252" s="1"/>
  <c r="X82" i="252" s="1"/>
  <c r="Y82" i="252" s="1"/>
  <c r="Z82" i="252" s="1"/>
  <c r="AA82" i="252" s="1"/>
  <c r="AB82" i="252" s="1"/>
  <c r="AC82" i="252" s="1"/>
  <c r="AD82" i="252" s="1"/>
  <c r="G80" i="252"/>
  <c r="U73" i="252"/>
  <c r="T73" i="252"/>
  <c r="S73" i="252"/>
  <c r="Q73" i="252"/>
  <c r="P73" i="252"/>
  <c r="O73" i="252"/>
  <c r="M73" i="252"/>
  <c r="L73" i="252"/>
  <c r="K73" i="252"/>
  <c r="G73" i="252"/>
  <c r="U71" i="252"/>
  <c r="T71" i="252"/>
  <c r="T72" i="252" s="1"/>
  <c r="S71" i="252"/>
  <c r="R71" i="252"/>
  <c r="Q71" i="252"/>
  <c r="P71" i="252"/>
  <c r="P72" i="252" s="1"/>
  <c r="O71" i="252"/>
  <c r="L71" i="252"/>
  <c r="K71" i="252"/>
  <c r="I71" i="252"/>
  <c r="H71" i="252"/>
  <c r="G71" i="252"/>
  <c r="T69" i="252"/>
  <c r="S69" i="252"/>
  <c r="S68" i="252" s="1"/>
  <c r="Q69" i="252"/>
  <c r="P69" i="252"/>
  <c r="P68" i="252" s="1"/>
  <c r="O69" i="252"/>
  <c r="O68" i="252" s="1"/>
  <c r="M69" i="252"/>
  <c r="M68" i="252" s="1"/>
  <c r="L69" i="252"/>
  <c r="L68" i="252" s="1"/>
  <c r="K69" i="252"/>
  <c r="I69" i="252"/>
  <c r="I68" i="252" s="1"/>
  <c r="H69" i="252"/>
  <c r="H68" i="252" s="1"/>
  <c r="G69" i="252"/>
  <c r="T68" i="252"/>
  <c r="R67" i="252"/>
  <c r="Q67" i="252"/>
  <c r="N67" i="252"/>
  <c r="M67" i="252"/>
  <c r="L67" i="252"/>
  <c r="K67" i="252"/>
  <c r="J67" i="252"/>
  <c r="I67" i="252"/>
  <c r="H67" i="252"/>
  <c r="G67" i="252"/>
  <c r="Q65" i="252"/>
  <c r="M65" i="252"/>
  <c r="L65" i="252"/>
  <c r="V63" i="252"/>
  <c r="U63" i="252"/>
  <c r="T63" i="252"/>
  <c r="S63" i="252"/>
  <c r="R63" i="252"/>
  <c r="Q63" i="252"/>
  <c r="P63" i="252"/>
  <c r="O63" i="252"/>
  <c r="N63" i="252"/>
  <c r="M63" i="252"/>
  <c r="L63" i="252"/>
  <c r="K63" i="252"/>
  <c r="W62" i="252"/>
  <c r="X62" i="252" s="1"/>
  <c r="X63" i="252" s="1"/>
  <c r="U58" i="252"/>
  <c r="U60" i="252" s="1"/>
  <c r="V60" i="252" s="1"/>
  <c r="T58" i="252"/>
  <c r="T60" i="252" s="1"/>
  <c r="S58" i="252"/>
  <c r="S60" i="252" s="1"/>
  <c r="Q58" i="252"/>
  <c r="Q60" i="252" s="1"/>
  <c r="P58" i="252"/>
  <c r="P60" i="252" s="1"/>
  <c r="O58" i="252"/>
  <c r="O60" i="252" s="1"/>
  <c r="M58" i="252"/>
  <c r="M60" i="252" s="1"/>
  <c r="L58" i="252"/>
  <c r="L60" i="252" s="1"/>
  <c r="K58" i="252"/>
  <c r="K60" i="252" s="1"/>
  <c r="I58" i="252"/>
  <c r="I60" i="252" s="1"/>
  <c r="H58" i="252"/>
  <c r="H60" i="252" s="1"/>
  <c r="G58" i="252"/>
  <c r="G60" i="252" s="1"/>
  <c r="R56" i="252"/>
  <c r="N56" i="252"/>
  <c r="J56" i="252"/>
  <c r="R55" i="252"/>
  <c r="N55" i="252"/>
  <c r="J55" i="252"/>
  <c r="Q47" i="252"/>
  <c r="W43" i="252"/>
  <c r="V43" i="252"/>
  <c r="Y43" i="252"/>
  <c r="X43" i="252"/>
  <c r="T41" i="252"/>
  <c r="S41" i="252"/>
  <c r="Q41" i="252"/>
  <c r="P41" i="252"/>
  <c r="L41" i="252"/>
  <c r="G41" i="252"/>
  <c r="U40" i="252"/>
  <c r="T40" i="252"/>
  <c r="S40" i="252"/>
  <c r="Q40" i="252"/>
  <c r="P40" i="252"/>
  <c r="O40" i="252"/>
  <c r="K40" i="252"/>
  <c r="G40" i="252"/>
  <c r="T38" i="252"/>
  <c r="S38" i="252"/>
  <c r="R38" i="252"/>
  <c r="P38" i="252"/>
  <c r="O38" i="252"/>
  <c r="N38" i="252"/>
  <c r="L38" i="252"/>
  <c r="K38" i="252"/>
  <c r="J38" i="252"/>
  <c r="I38" i="252"/>
  <c r="H38" i="252"/>
  <c r="G38" i="252"/>
  <c r="D38" i="252"/>
  <c r="S37" i="252"/>
  <c r="R37" i="252"/>
  <c r="K37" i="252"/>
  <c r="I37" i="252"/>
  <c r="AD35" i="252"/>
  <c r="AC35" i="252"/>
  <c r="AB35" i="252"/>
  <c r="AA35" i="252"/>
  <c r="Z35" i="252"/>
  <c r="Y35" i="252"/>
  <c r="X35" i="252"/>
  <c r="W35" i="252"/>
  <c r="V35" i="252"/>
  <c r="R28" i="252"/>
  <c r="R96" i="252" s="1"/>
  <c r="N28" i="252"/>
  <c r="N96" i="252" s="1"/>
  <c r="J28" i="252"/>
  <c r="J96" i="252" s="1"/>
  <c r="J117" i="252" s="1"/>
  <c r="U27" i="252"/>
  <c r="U95" i="252" s="1"/>
  <c r="T27" i="252"/>
  <c r="T95" i="252" s="1"/>
  <c r="S27" i="252"/>
  <c r="S95" i="252" s="1"/>
  <c r="Q27" i="252"/>
  <c r="P27" i="252"/>
  <c r="P95" i="252" s="1"/>
  <c r="O27" i="252"/>
  <c r="O95" i="252" s="1"/>
  <c r="M27" i="252"/>
  <c r="L27" i="252"/>
  <c r="L95" i="252" s="1"/>
  <c r="K27" i="252"/>
  <c r="K95" i="252" s="1"/>
  <c r="I27" i="252"/>
  <c r="H27" i="252"/>
  <c r="G27" i="252"/>
  <c r="G95" i="252" s="1"/>
  <c r="V25" i="252"/>
  <c r="U25" i="252"/>
  <c r="U93" i="252" s="1"/>
  <c r="T25" i="252"/>
  <c r="S25" i="252"/>
  <c r="S210" i="252" s="1"/>
  <c r="Q25" i="252"/>
  <c r="Q93" i="252" s="1"/>
  <c r="P25" i="252"/>
  <c r="O25" i="252"/>
  <c r="O210" i="252" s="1"/>
  <c r="M25" i="252"/>
  <c r="M93" i="252" s="1"/>
  <c r="L25" i="252"/>
  <c r="K25" i="252"/>
  <c r="I25" i="252"/>
  <c r="I132" i="252" s="1"/>
  <c r="I137" i="252" s="1"/>
  <c r="H25" i="252"/>
  <c r="G25" i="252"/>
  <c r="R24" i="252"/>
  <c r="N24" i="252"/>
  <c r="J24" i="252"/>
  <c r="R22" i="252"/>
  <c r="N22" i="252"/>
  <c r="N89" i="252" s="1"/>
  <c r="I22" i="252"/>
  <c r="I89" i="252" s="1"/>
  <c r="H22" i="252"/>
  <c r="G22" i="252"/>
  <c r="G89" i="252" s="1"/>
  <c r="R20" i="252"/>
  <c r="R84" i="252" s="1"/>
  <c r="N20" i="252"/>
  <c r="N84" i="252" s="1"/>
  <c r="J20" i="252"/>
  <c r="J84" i="252" s="1"/>
  <c r="R19" i="252"/>
  <c r="R248" i="252" s="1"/>
  <c r="N19" i="252"/>
  <c r="N248" i="252" s="1"/>
  <c r="J19" i="252"/>
  <c r="J248" i="252" s="1"/>
  <c r="U18" i="252"/>
  <c r="R18" i="252"/>
  <c r="R83" i="252" s="1"/>
  <c r="N18" i="252"/>
  <c r="N83" i="252" s="1"/>
  <c r="J18" i="252"/>
  <c r="U17" i="252"/>
  <c r="U16" i="252"/>
  <c r="U80" i="252" s="1"/>
  <c r="T16" i="252"/>
  <c r="T80" i="252" s="1"/>
  <c r="S16" i="252"/>
  <c r="S80" i="252" s="1"/>
  <c r="Q16" i="252"/>
  <c r="Q80" i="252" s="1"/>
  <c r="P16" i="252"/>
  <c r="O16" i="252"/>
  <c r="O80" i="252" s="1"/>
  <c r="M16" i="252"/>
  <c r="M80" i="252" s="1"/>
  <c r="L16" i="252"/>
  <c r="K16" i="252"/>
  <c r="K80" i="252" s="1"/>
  <c r="I16" i="252"/>
  <c r="I80" i="252" s="1"/>
  <c r="H16" i="252"/>
  <c r="G16" i="252"/>
  <c r="T15" i="252"/>
  <c r="T47" i="252" s="1"/>
  <c r="S15" i="252"/>
  <c r="Q15" i="252"/>
  <c r="Q79" i="252" s="1"/>
  <c r="P15" i="252"/>
  <c r="P47" i="252" s="1"/>
  <c r="O15" i="252"/>
  <c r="M15" i="252"/>
  <c r="M79" i="252" s="1"/>
  <c r="L15" i="252"/>
  <c r="L47" i="252" s="1"/>
  <c r="H15" i="252"/>
  <c r="H47" i="252" s="1"/>
  <c r="G15" i="252"/>
  <c r="R14" i="252"/>
  <c r="K14" i="252"/>
  <c r="K176" i="252" s="1"/>
  <c r="I14" i="252"/>
  <c r="I176" i="252" s="1"/>
  <c r="H14" i="252"/>
  <c r="L40" i="252" s="1"/>
  <c r="U13" i="252"/>
  <c r="U15" i="252" s="1"/>
  <c r="U42" i="252" s="1"/>
  <c r="U43" i="252" s="1"/>
  <c r="R13" i="252"/>
  <c r="K13" i="252"/>
  <c r="O41" i="252" s="1"/>
  <c r="I13" i="252"/>
  <c r="H13" i="252"/>
  <c r="H41" i="252" s="1"/>
  <c r="G6" i="252"/>
  <c r="H5" i="252"/>
  <c r="I5" i="252" s="1"/>
  <c r="G4" i="252"/>
  <c r="H3" i="252"/>
  <c r="I3" i="252" s="1"/>
  <c r="E625" i="43"/>
  <c r="AB624" i="43"/>
  <c r="AA624" i="43"/>
  <c r="Z624" i="43"/>
  <c r="Y624" i="43"/>
  <c r="X624" i="43"/>
  <c r="W624" i="43"/>
  <c r="V624" i="43"/>
  <c r="U624" i="43"/>
  <c r="T624" i="43"/>
  <c r="S624" i="43"/>
  <c r="R624" i="43"/>
  <c r="Q624" i="43"/>
  <c r="P624" i="43"/>
  <c r="O624" i="43"/>
  <c r="N624" i="43"/>
  <c r="M624" i="43"/>
  <c r="L624" i="43"/>
  <c r="K624" i="43"/>
  <c r="J624" i="43"/>
  <c r="I624" i="43"/>
  <c r="H624" i="43"/>
  <c r="E624" i="43"/>
  <c r="AB623" i="43"/>
  <c r="AA623" i="43"/>
  <c r="Z623" i="43"/>
  <c r="Y623" i="43"/>
  <c r="X623" i="43"/>
  <c r="W623" i="43"/>
  <c r="V623" i="43"/>
  <c r="U623" i="43"/>
  <c r="T623" i="43"/>
  <c r="S623" i="43"/>
  <c r="R623" i="43"/>
  <c r="Q623" i="43"/>
  <c r="P623" i="43"/>
  <c r="O623" i="43"/>
  <c r="N623" i="43"/>
  <c r="M623" i="43"/>
  <c r="L623" i="43"/>
  <c r="K623" i="43"/>
  <c r="J623" i="43"/>
  <c r="I623" i="43"/>
  <c r="H623" i="43"/>
  <c r="E623" i="43"/>
  <c r="AB622" i="43"/>
  <c r="AA622" i="43"/>
  <c r="Z622" i="43"/>
  <c r="Y622" i="43"/>
  <c r="X622" i="43"/>
  <c r="W622" i="43"/>
  <c r="V622" i="43"/>
  <c r="U622" i="43"/>
  <c r="T622" i="43"/>
  <c r="S622" i="43"/>
  <c r="R622" i="43"/>
  <c r="Q622" i="43"/>
  <c r="P622" i="43"/>
  <c r="O622" i="43"/>
  <c r="N622" i="43"/>
  <c r="M622" i="43"/>
  <c r="L622" i="43"/>
  <c r="K622" i="43"/>
  <c r="J622" i="43"/>
  <c r="I622" i="43"/>
  <c r="H622" i="43"/>
  <c r="E622" i="43"/>
  <c r="AB620" i="43"/>
  <c r="AA620" i="43"/>
  <c r="Z620" i="43"/>
  <c r="Y620" i="43"/>
  <c r="X620" i="43"/>
  <c r="W620" i="43"/>
  <c r="V620" i="43"/>
  <c r="U620" i="43"/>
  <c r="T620" i="43"/>
  <c r="S620" i="43"/>
  <c r="R620" i="43"/>
  <c r="Q620" i="43"/>
  <c r="P620" i="43"/>
  <c r="O620" i="43"/>
  <c r="N620" i="43"/>
  <c r="M620" i="43"/>
  <c r="L620" i="43"/>
  <c r="K620" i="43"/>
  <c r="J620" i="43"/>
  <c r="I620" i="43"/>
  <c r="H620" i="43"/>
  <c r="H625" i="43" s="1"/>
  <c r="E608" i="43"/>
  <c r="E614" i="43" s="1"/>
  <c r="E607" i="43"/>
  <c r="E613" i="43" s="1"/>
  <c r="E606" i="43"/>
  <c r="E612" i="43" s="1"/>
  <c r="E605" i="43"/>
  <c r="Z603" i="43"/>
  <c r="Z607" i="43" s="1"/>
  <c r="Y603" i="43"/>
  <c r="X603" i="43"/>
  <c r="W603" i="43"/>
  <c r="W605" i="43" s="1"/>
  <c r="V603" i="43"/>
  <c r="V608" i="43" s="1"/>
  <c r="U603" i="43"/>
  <c r="U608" i="43" s="1"/>
  <c r="T603" i="43"/>
  <c r="S603" i="43"/>
  <c r="S608" i="43" s="1"/>
  <c r="R603" i="43"/>
  <c r="R608" i="43" s="1"/>
  <c r="Q603" i="43"/>
  <c r="Q608" i="43" s="1"/>
  <c r="P603" i="43"/>
  <c r="P607" i="43" s="1"/>
  <c r="O603" i="43"/>
  <c r="O607" i="43" s="1"/>
  <c r="N603" i="43"/>
  <c r="M603" i="43"/>
  <c r="M607" i="43" s="1"/>
  <c r="L603" i="43"/>
  <c r="K603" i="43"/>
  <c r="J603" i="43"/>
  <c r="I603" i="43"/>
  <c r="H603" i="43"/>
  <c r="E597" i="43"/>
  <c r="E596" i="43"/>
  <c r="E595" i="43"/>
  <c r="E594" i="43"/>
  <c r="Z592" i="43"/>
  <c r="Z596" i="43" s="1"/>
  <c r="Y592" i="43"/>
  <c r="X592" i="43"/>
  <c r="W592" i="43"/>
  <c r="W597" i="43" s="1"/>
  <c r="V592" i="43"/>
  <c r="V595" i="43" s="1"/>
  <c r="U592" i="43"/>
  <c r="U597" i="43" s="1"/>
  <c r="T592" i="43"/>
  <c r="S592" i="43"/>
  <c r="S594" i="43" s="1"/>
  <c r="R592" i="43"/>
  <c r="R597" i="43" s="1"/>
  <c r="Q592" i="43"/>
  <c r="Q596" i="43" s="1"/>
  <c r="P592" i="43"/>
  <c r="P597" i="43" s="1"/>
  <c r="O592" i="43"/>
  <c r="N592" i="43"/>
  <c r="M592" i="43"/>
  <c r="L592" i="43"/>
  <c r="K592" i="43"/>
  <c r="J592" i="43"/>
  <c r="I592" i="43"/>
  <c r="H592" i="43"/>
  <c r="E586" i="43"/>
  <c r="E585" i="43"/>
  <c r="E584" i="43"/>
  <c r="E583" i="43"/>
  <c r="Z581" i="43"/>
  <c r="Z586" i="43" s="1"/>
  <c r="Y581" i="43"/>
  <c r="Y586" i="43" s="1"/>
  <c r="X581" i="43"/>
  <c r="W581" i="43"/>
  <c r="W585" i="43" s="1"/>
  <c r="V581" i="43"/>
  <c r="U581" i="43"/>
  <c r="U586" i="43" s="1"/>
  <c r="T581" i="43"/>
  <c r="S581" i="43"/>
  <c r="S585" i="43" s="1"/>
  <c r="R581" i="43"/>
  <c r="R585" i="43" s="1"/>
  <c r="Q581" i="43"/>
  <c r="Q584" i="43" s="1"/>
  <c r="P581" i="43"/>
  <c r="P583" i="43" s="1"/>
  <c r="O581" i="43"/>
  <c r="O583" i="43" s="1"/>
  <c r="N581" i="43"/>
  <c r="N585" i="43" s="1"/>
  <c r="M581" i="43"/>
  <c r="M585" i="43" s="1"/>
  <c r="L581" i="43"/>
  <c r="K581" i="43"/>
  <c r="J581" i="43"/>
  <c r="I581" i="43"/>
  <c r="H581" i="43"/>
  <c r="AC575" i="43"/>
  <c r="AB575" i="43"/>
  <c r="AA575" i="43"/>
  <c r="Z575" i="43"/>
  <c r="Y575" i="43"/>
  <c r="X575" i="43"/>
  <c r="W575" i="43"/>
  <c r="V575" i="43"/>
  <c r="U575" i="43"/>
  <c r="T575" i="43"/>
  <c r="AC648" i="43"/>
  <c r="AB648" i="43"/>
  <c r="AA648" i="43"/>
  <c r="Z648" i="43"/>
  <c r="Y648" i="43"/>
  <c r="X648" i="43"/>
  <c r="W648" i="43"/>
  <c r="V648" i="43"/>
  <c r="U648" i="43"/>
  <c r="T648" i="43"/>
  <c r="S648" i="43"/>
  <c r="E570" i="43"/>
  <c r="AD569" i="43"/>
  <c r="AC569" i="43"/>
  <c r="AB569" i="43"/>
  <c r="AA569" i="43"/>
  <c r="Z569" i="43"/>
  <c r="Y569" i="43"/>
  <c r="X569" i="43"/>
  <c r="E569" i="43"/>
  <c r="AD568" i="43"/>
  <c r="AC568" i="43"/>
  <c r="AB568" i="43"/>
  <c r="AA568" i="43"/>
  <c r="Z568" i="43"/>
  <c r="Y568" i="43"/>
  <c r="X568" i="43"/>
  <c r="E568" i="43"/>
  <c r="AD567" i="43"/>
  <c r="AC567" i="43"/>
  <c r="AB567" i="43"/>
  <c r="AA567" i="43"/>
  <c r="Z567" i="43"/>
  <c r="Y567" i="43"/>
  <c r="X567" i="43"/>
  <c r="E567" i="43"/>
  <c r="AD566" i="43"/>
  <c r="AC566" i="43"/>
  <c r="AB566" i="43"/>
  <c r="AA566" i="43"/>
  <c r="Z566" i="43"/>
  <c r="Y566" i="43"/>
  <c r="X566" i="43"/>
  <c r="E566" i="43"/>
  <c r="AD565" i="43"/>
  <c r="AC565" i="43"/>
  <c r="AB565" i="43"/>
  <c r="AA565" i="43"/>
  <c r="Z565" i="43"/>
  <c r="Y565" i="43"/>
  <c r="X565" i="43"/>
  <c r="E565" i="43"/>
  <c r="AD563" i="43"/>
  <c r="AC563" i="43"/>
  <c r="AB563" i="43"/>
  <c r="AA563" i="43"/>
  <c r="Z563" i="43"/>
  <c r="Y563" i="43"/>
  <c r="X563" i="43"/>
  <c r="W563" i="43"/>
  <c r="R556" i="43"/>
  <c r="Q556" i="43"/>
  <c r="P556" i="43"/>
  <c r="O556" i="43"/>
  <c r="N556" i="43"/>
  <c r="E556" i="43"/>
  <c r="AD555" i="43"/>
  <c r="AC555" i="43"/>
  <c r="AB555" i="43"/>
  <c r="AA555" i="43"/>
  <c r="Z555" i="43"/>
  <c r="Y555" i="43"/>
  <c r="X555" i="43"/>
  <c r="W555" i="43"/>
  <c r="V555" i="43"/>
  <c r="U555" i="43"/>
  <c r="E555" i="43"/>
  <c r="AD554" i="43"/>
  <c r="AC554" i="43"/>
  <c r="AB554" i="43"/>
  <c r="AA554" i="43"/>
  <c r="Z554" i="43"/>
  <c r="Y554" i="43"/>
  <c r="X554" i="43"/>
  <c r="W554" i="43"/>
  <c r="V554" i="43"/>
  <c r="U554" i="43"/>
  <c r="E554" i="43"/>
  <c r="AD553" i="43"/>
  <c r="AC553" i="43"/>
  <c r="AB553" i="43"/>
  <c r="AA553" i="43"/>
  <c r="Z553" i="43"/>
  <c r="Y553" i="43"/>
  <c r="X553" i="43"/>
  <c r="W553" i="43"/>
  <c r="V553" i="43"/>
  <c r="U553" i="43"/>
  <c r="E553" i="43"/>
  <c r="AD552" i="43"/>
  <c r="AC552" i="43"/>
  <c r="AB552" i="43"/>
  <c r="AA552" i="43"/>
  <c r="Z552" i="43"/>
  <c r="Y552" i="43"/>
  <c r="X552" i="43"/>
  <c r="W552" i="43"/>
  <c r="V552" i="43"/>
  <c r="U552" i="43"/>
  <c r="E552" i="43"/>
  <c r="AD551" i="43"/>
  <c r="AC551" i="43"/>
  <c r="AB551" i="43"/>
  <c r="AA551" i="43"/>
  <c r="Z551" i="43"/>
  <c r="Y551" i="43"/>
  <c r="X551" i="43"/>
  <c r="W551" i="43"/>
  <c r="V551" i="43"/>
  <c r="U551" i="43"/>
  <c r="E551" i="43"/>
  <c r="AD549" i="43"/>
  <c r="AC549" i="43"/>
  <c r="AB549" i="43"/>
  <c r="AA549" i="43"/>
  <c r="Z549" i="43"/>
  <c r="Y549" i="43"/>
  <c r="X549" i="43"/>
  <c r="W549" i="43"/>
  <c r="V549" i="43"/>
  <c r="U549" i="43"/>
  <c r="T549" i="43"/>
  <c r="T556" i="43" s="1"/>
  <c r="AB537" i="43"/>
  <c r="AA537" i="43"/>
  <c r="AB534" i="43"/>
  <c r="AA534" i="43"/>
  <c r="Z534" i="43"/>
  <c r="Y534" i="43"/>
  <c r="X534" i="43"/>
  <c r="W534" i="43"/>
  <c r="V534" i="43"/>
  <c r="U534" i="43"/>
  <c r="T534" i="43"/>
  <c r="S534" i="43"/>
  <c r="R534" i="43"/>
  <c r="AB532" i="43"/>
  <c r="AA532" i="43"/>
  <c r="AB524" i="43"/>
  <c r="AA524" i="43"/>
  <c r="Z524" i="43"/>
  <c r="Y524" i="43"/>
  <c r="X524" i="43"/>
  <c r="W524" i="43"/>
  <c r="V524" i="43"/>
  <c r="S524" i="43"/>
  <c r="R524" i="43"/>
  <c r="AB518" i="43"/>
  <c r="AB520" i="43" s="1"/>
  <c r="AA518" i="43"/>
  <c r="AA520" i="43" s="1"/>
  <c r="Z518" i="43"/>
  <c r="Z520" i="43" s="1"/>
  <c r="Y518" i="43"/>
  <c r="Y520" i="43" s="1"/>
  <c r="X518" i="43"/>
  <c r="X520" i="43" s="1"/>
  <c r="W518" i="43"/>
  <c r="W520" i="43" s="1"/>
  <c r="V518" i="43"/>
  <c r="V520" i="43" s="1"/>
  <c r="U518" i="43"/>
  <c r="U520" i="43" s="1"/>
  <c r="T518" i="43"/>
  <c r="T520" i="43" s="1"/>
  <c r="S518" i="43"/>
  <c r="S520" i="43" s="1"/>
  <c r="R518" i="43"/>
  <c r="R520" i="43" s="1"/>
  <c r="AB505" i="43"/>
  <c r="AA505" i="43"/>
  <c r="Z505" i="43"/>
  <c r="Y505" i="43"/>
  <c r="X505" i="43"/>
  <c r="W505" i="43"/>
  <c r="V505" i="43"/>
  <c r="U505" i="43"/>
  <c r="T505" i="43"/>
  <c r="S505" i="43"/>
  <c r="R505" i="43"/>
  <c r="AB501" i="43"/>
  <c r="AB487" i="43"/>
  <c r="AB490" i="43" s="1"/>
  <c r="AB346" i="43" s="1"/>
  <c r="AA487" i="43"/>
  <c r="AA490" i="43" s="1"/>
  <c r="Z487" i="43"/>
  <c r="Z490" i="43" s="1"/>
  <c r="Z492" i="43" s="1"/>
  <c r="Y487" i="43"/>
  <c r="Y490" i="43" s="1"/>
  <c r="X487" i="43"/>
  <c r="X490" i="43" s="1"/>
  <c r="X492" i="43" s="1"/>
  <c r="W487" i="43"/>
  <c r="W490" i="43" s="1"/>
  <c r="V487" i="43"/>
  <c r="V490" i="43" s="1"/>
  <c r="V492" i="43" s="1"/>
  <c r="U487" i="43"/>
  <c r="U490" i="43" s="1"/>
  <c r="T487" i="43"/>
  <c r="T490" i="43" s="1"/>
  <c r="T492" i="43" s="1"/>
  <c r="S487" i="43"/>
  <c r="S490" i="43" s="1"/>
  <c r="R487" i="43"/>
  <c r="R490" i="43" s="1"/>
  <c r="R492" i="43" s="1"/>
  <c r="AB479" i="43"/>
  <c r="AA479" i="43"/>
  <c r="Z479" i="43"/>
  <c r="Y479" i="43"/>
  <c r="X479" i="43"/>
  <c r="W479" i="43"/>
  <c r="V479" i="43"/>
  <c r="U479" i="43"/>
  <c r="T479" i="43"/>
  <c r="S479" i="43"/>
  <c r="R479" i="43"/>
  <c r="AB478" i="43"/>
  <c r="AA478" i="43"/>
  <c r="Z478" i="43"/>
  <c r="Y478" i="43"/>
  <c r="X478" i="43"/>
  <c r="W478" i="43"/>
  <c r="V478" i="43"/>
  <c r="U478" i="43"/>
  <c r="AB473" i="43"/>
  <c r="AA473" i="43"/>
  <c r="Z473" i="43"/>
  <c r="Y473" i="43"/>
  <c r="X473" i="43"/>
  <c r="W473" i="43"/>
  <c r="V473" i="43"/>
  <c r="U473" i="43"/>
  <c r="T473" i="43"/>
  <c r="S473" i="43"/>
  <c r="R473" i="43"/>
  <c r="AB471" i="43"/>
  <c r="AA471" i="43"/>
  <c r="Z471" i="43"/>
  <c r="Y471" i="43"/>
  <c r="X471" i="43"/>
  <c r="W471" i="43"/>
  <c r="V471" i="43"/>
  <c r="U471" i="43"/>
  <c r="T471" i="43"/>
  <c r="AB469" i="43"/>
  <c r="AA469" i="43"/>
  <c r="Z469" i="43"/>
  <c r="Y469" i="43"/>
  <c r="X469" i="43"/>
  <c r="W469" i="43"/>
  <c r="AB458" i="43"/>
  <c r="AB460" i="43" s="1"/>
  <c r="AA458" i="43"/>
  <c r="AA460" i="43" s="1"/>
  <c r="AA463" i="43" s="1"/>
  <c r="AA465" i="43" s="1"/>
  <c r="Z458" i="43"/>
  <c r="Z460" i="43" s="1"/>
  <c r="Z463" i="43" s="1"/>
  <c r="Z465" i="43" s="1"/>
  <c r="Y458" i="43"/>
  <c r="Y460" i="43" s="1"/>
  <c r="Y324" i="43" s="1"/>
  <c r="X458" i="43"/>
  <c r="X460" i="43" s="1"/>
  <c r="X463" i="43" s="1"/>
  <c r="X465" i="43" s="1"/>
  <c r="W458" i="43"/>
  <c r="W460" i="43" s="1"/>
  <c r="W463" i="43" s="1"/>
  <c r="W465" i="43" s="1"/>
  <c r="V458" i="43"/>
  <c r="V460" i="43" s="1"/>
  <c r="V463" i="43" s="1"/>
  <c r="V465" i="43" s="1"/>
  <c r="U458" i="43"/>
  <c r="U460" i="43" s="1"/>
  <c r="T458" i="43"/>
  <c r="T460" i="43" s="1"/>
  <c r="S458" i="43"/>
  <c r="S460" i="43" s="1"/>
  <c r="S463" i="43" s="1"/>
  <c r="S465" i="43" s="1"/>
  <c r="R458" i="43"/>
  <c r="R460" i="43" s="1"/>
  <c r="R463" i="43" s="1"/>
  <c r="R465" i="43" s="1"/>
  <c r="AB452" i="43"/>
  <c r="AB360" i="43" s="1"/>
  <c r="AA452" i="43"/>
  <c r="Z452" i="43"/>
  <c r="Y452" i="43"/>
  <c r="X452" i="43"/>
  <c r="W452" i="43"/>
  <c r="V452" i="43"/>
  <c r="U452" i="43"/>
  <c r="T452" i="43"/>
  <c r="S452" i="43"/>
  <c r="R452" i="43"/>
  <c r="AB448" i="43"/>
  <c r="AA448" i="43"/>
  <c r="AA446" i="43"/>
  <c r="Z446" i="43"/>
  <c r="Z360" i="43" s="1"/>
  <c r="Y446" i="43"/>
  <c r="Y360" i="43" s="1"/>
  <c r="X446" i="43"/>
  <c r="X360" i="43" s="1"/>
  <c r="W446" i="43"/>
  <c r="V446" i="43"/>
  <c r="V360" i="43" s="1"/>
  <c r="U446" i="43"/>
  <c r="T446" i="43"/>
  <c r="T360" i="43" s="1"/>
  <c r="S446" i="43"/>
  <c r="S360" i="43" s="1"/>
  <c r="R446" i="43"/>
  <c r="R360" i="43" s="1"/>
  <c r="W441" i="43"/>
  <c r="S441" i="43"/>
  <c r="R441" i="43"/>
  <c r="AB433" i="43"/>
  <c r="AB435" i="43" s="1"/>
  <c r="AB344" i="43" s="1"/>
  <c r="AA433" i="43"/>
  <c r="AA435" i="43" s="1"/>
  <c r="Z433" i="43"/>
  <c r="Z435" i="43" s="1"/>
  <c r="Z438" i="43" s="1"/>
  <c r="Y433" i="43"/>
  <c r="Y435" i="43" s="1"/>
  <c r="Y438" i="43" s="1"/>
  <c r="X433" i="43"/>
  <c r="X435" i="43" s="1"/>
  <c r="X344" i="43" s="1"/>
  <c r="W433" i="43"/>
  <c r="W435" i="43" s="1"/>
  <c r="V433" i="43"/>
  <c r="V435" i="43" s="1"/>
  <c r="V438" i="43" s="1"/>
  <c r="U433" i="43"/>
  <c r="U435" i="43" s="1"/>
  <c r="U438" i="43" s="1"/>
  <c r="T433" i="43"/>
  <c r="T435" i="43" s="1"/>
  <c r="T352" i="43" s="1"/>
  <c r="S433" i="43"/>
  <c r="S435" i="43" s="1"/>
  <c r="R433" i="43"/>
  <c r="R435" i="43" s="1"/>
  <c r="R438" i="43" s="1"/>
  <c r="Y411" i="43"/>
  <c r="X411" i="43"/>
  <c r="W411" i="43"/>
  <c r="V411" i="43"/>
  <c r="U411" i="43"/>
  <c r="T411" i="43"/>
  <c r="S411" i="43"/>
  <c r="R411" i="43"/>
  <c r="AB405" i="43"/>
  <c r="AA405" i="43"/>
  <c r="Z405" i="43"/>
  <c r="Y405" i="43"/>
  <c r="X405" i="43"/>
  <c r="AB402" i="43"/>
  <c r="AB359" i="43" s="1"/>
  <c r="AA402" i="43"/>
  <c r="AA359" i="43" s="1"/>
  <c r="Z402" i="43"/>
  <c r="Z336" i="43" s="1"/>
  <c r="Y401" i="43"/>
  <c r="X401" i="43"/>
  <c r="X322" i="43" s="1"/>
  <c r="W401" i="43"/>
  <c r="V401" i="43"/>
  <c r="U401" i="43"/>
  <c r="T401" i="43"/>
  <c r="S401" i="43"/>
  <c r="R401" i="43"/>
  <c r="Y400" i="43"/>
  <c r="X400" i="43"/>
  <c r="W400" i="43"/>
  <c r="V400" i="43"/>
  <c r="U400" i="43"/>
  <c r="T400" i="43"/>
  <c r="S400" i="43"/>
  <c r="R400" i="43"/>
  <c r="Y399" i="43"/>
  <c r="Y402" i="43" s="1"/>
  <c r="X399" i="43"/>
  <c r="W399" i="43"/>
  <c r="W402" i="43" s="1"/>
  <c r="W310" i="43" s="1"/>
  <c r="V399" i="43"/>
  <c r="V402" i="43" s="1"/>
  <c r="V310" i="43" s="1"/>
  <c r="U399" i="43"/>
  <c r="U402" i="43" s="1"/>
  <c r="U406" i="43" s="1"/>
  <c r="U408" i="43" s="1"/>
  <c r="U412" i="43" s="1"/>
  <c r="T399" i="43"/>
  <c r="T402" i="43" s="1"/>
  <c r="T406" i="43" s="1"/>
  <c r="T408" i="43" s="1"/>
  <c r="T343" i="43" s="1"/>
  <c r="S399" i="43"/>
  <c r="R399" i="43"/>
  <c r="R402" i="43" s="1"/>
  <c r="R310" i="43" s="1"/>
  <c r="S395" i="43"/>
  <c r="R395" i="43"/>
  <c r="T388" i="43"/>
  <c r="S388" i="43"/>
  <c r="R388" i="43"/>
  <c r="W378" i="43"/>
  <c r="V378" i="43"/>
  <c r="U378" i="43"/>
  <c r="T378" i="43"/>
  <c r="S378" i="43"/>
  <c r="R378" i="43"/>
  <c r="X376" i="43"/>
  <c r="W376" i="43"/>
  <c r="V376" i="43"/>
  <c r="U376" i="43"/>
  <c r="T376" i="43"/>
  <c r="S376" i="43"/>
  <c r="R376" i="43"/>
  <c r="Q376" i="43"/>
  <c r="P376" i="43"/>
  <c r="AB373" i="43"/>
  <c r="AB358" i="43" s="1"/>
  <c r="AA373" i="43"/>
  <c r="AA358" i="43" s="1"/>
  <c r="Z373" i="43"/>
  <c r="Z375" i="43" s="1"/>
  <c r="Y373" i="43"/>
  <c r="Y375" i="43" s="1"/>
  <c r="Y377" i="43" s="1"/>
  <c r="X373" i="43"/>
  <c r="X375" i="43" s="1"/>
  <c r="X319" i="43" s="1"/>
  <c r="W373" i="43"/>
  <c r="W309" i="43" s="1"/>
  <c r="V373" i="43"/>
  <c r="V375" i="43" s="1"/>
  <c r="U373" i="43"/>
  <c r="U375" i="43" s="1"/>
  <c r="T373" i="43"/>
  <c r="T327" i="43" s="1"/>
  <c r="S373" i="43"/>
  <c r="S309" i="43" s="1"/>
  <c r="R373" i="43"/>
  <c r="R375" i="43" s="1"/>
  <c r="Q373" i="43"/>
  <c r="Q375" i="43" s="1"/>
  <c r="P373" i="43"/>
  <c r="P375" i="43" s="1"/>
  <c r="AB363" i="43"/>
  <c r="AA363" i="43"/>
  <c r="Z363" i="43"/>
  <c r="Y363" i="43"/>
  <c r="X363" i="43"/>
  <c r="W363" i="43"/>
  <c r="V363" i="43"/>
  <c r="U363" i="43"/>
  <c r="T363" i="43"/>
  <c r="S363" i="43"/>
  <c r="R363" i="43"/>
  <c r="AA360" i="43"/>
  <c r="E354" i="43"/>
  <c r="E352" i="43"/>
  <c r="E351" i="43"/>
  <c r="E350" i="43"/>
  <c r="E346" i="43"/>
  <c r="E344" i="43"/>
  <c r="E343" i="43"/>
  <c r="E342" i="43"/>
  <c r="AB339" i="43"/>
  <c r="AA339" i="43"/>
  <c r="Z339" i="43"/>
  <c r="Y339" i="43"/>
  <c r="X339" i="43"/>
  <c r="W339" i="43"/>
  <c r="V339" i="43"/>
  <c r="U339" i="43"/>
  <c r="T339" i="43"/>
  <c r="S339" i="43"/>
  <c r="R339" i="43"/>
  <c r="AB337" i="43"/>
  <c r="AA337" i="43"/>
  <c r="Z337" i="43"/>
  <c r="Y337" i="43"/>
  <c r="X337" i="43"/>
  <c r="W337" i="43"/>
  <c r="V337" i="43"/>
  <c r="U337" i="43"/>
  <c r="T337" i="43"/>
  <c r="S337" i="43"/>
  <c r="R337" i="43"/>
  <c r="E337" i="43"/>
  <c r="U336" i="43"/>
  <c r="E336" i="43"/>
  <c r="E335" i="43"/>
  <c r="E330" i="43"/>
  <c r="E329" i="43"/>
  <c r="E328" i="43"/>
  <c r="E327" i="43"/>
  <c r="E323" i="43"/>
  <c r="AB322" i="43"/>
  <c r="AA322" i="43"/>
  <c r="Z322" i="43"/>
  <c r="E322" i="43"/>
  <c r="AB321" i="43"/>
  <c r="AA321" i="43"/>
  <c r="Z321" i="43"/>
  <c r="E321" i="43"/>
  <c r="E320" i="43"/>
  <c r="E319" i="43"/>
  <c r="AB316" i="43"/>
  <c r="AA316" i="43"/>
  <c r="Z316" i="43"/>
  <c r="Y316" i="43"/>
  <c r="X316" i="43"/>
  <c r="W316" i="43"/>
  <c r="V316" i="43"/>
  <c r="U316" i="43"/>
  <c r="T316" i="43"/>
  <c r="S316" i="43"/>
  <c r="R316" i="43"/>
  <c r="E315" i="43"/>
  <c r="AB313" i="43"/>
  <c r="AA313" i="43"/>
  <c r="Z313" i="43"/>
  <c r="Y313" i="43"/>
  <c r="X313" i="43"/>
  <c r="W313" i="43"/>
  <c r="V313" i="43"/>
  <c r="U313" i="43"/>
  <c r="T313" i="43"/>
  <c r="S313" i="43"/>
  <c r="R313" i="43"/>
  <c r="E313" i="43"/>
  <c r="E312" i="43"/>
  <c r="AB311" i="43"/>
  <c r="AA311" i="43"/>
  <c r="Z311" i="43"/>
  <c r="E311" i="43"/>
  <c r="E310" i="43"/>
  <c r="E309" i="43"/>
  <c r="E275" i="43"/>
  <c r="E274" i="43"/>
  <c r="E273" i="43"/>
  <c r="E272" i="43"/>
  <c r="E271" i="43"/>
  <c r="E270" i="43"/>
  <c r="E269" i="43"/>
  <c r="E268" i="43"/>
  <c r="E267" i="43"/>
  <c r="Y257" i="43"/>
  <c r="AG239" i="43"/>
  <c r="AH239" i="43" s="1"/>
  <c r="AI239" i="43" s="1"/>
  <c r="AJ239" i="43" s="1"/>
  <c r="AK239" i="43" s="1"/>
  <c r="AL239" i="43" s="1"/>
  <c r="AM239" i="43" s="1"/>
  <c r="AN239" i="43" s="1"/>
  <c r="E234" i="43"/>
  <c r="E233" i="43"/>
  <c r="E232" i="43"/>
  <c r="E231" i="43"/>
  <c r="Y230" i="43"/>
  <c r="Y229" i="43" s="1"/>
  <c r="Y234" i="43" s="1"/>
  <c r="AG229" i="43"/>
  <c r="AH229" i="43" s="1"/>
  <c r="AI229" i="43" s="1"/>
  <c r="AJ229" i="43" s="1"/>
  <c r="AK229" i="43" s="1"/>
  <c r="AL229" i="43" s="1"/>
  <c r="AM229" i="43" s="1"/>
  <c r="AN229" i="43" s="1"/>
  <c r="AB227" i="43"/>
  <c r="AB226" i="43" s="1"/>
  <c r="AA227" i="43"/>
  <c r="Y221" i="43"/>
  <c r="Z216" i="43" s="1"/>
  <c r="AG220" i="43"/>
  <c r="AH220" i="43" s="1"/>
  <c r="AI220" i="43" s="1"/>
  <c r="AJ220" i="43" s="1"/>
  <c r="AK220" i="43" s="1"/>
  <c r="AL220" i="43" s="1"/>
  <c r="AM220" i="43" s="1"/>
  <c r="AN220" i="43" s="1"/>
  <c r="AB218" i="43"/>
  <c r="AA218" i="43"/>
  <c r="Z218" i="43"/>
  <c r="AG213" i="43"/>
  <c r="AH213" i="43" s="1"/>
  <c r="AI213" i="43" s="1"/>
  <c r="AJ213" i="43" s="1"/>
  <c r="AK213" i="43" s="1"/>
  <c r="AL213" i="43" s="1"/>
  <c r="AM213" i="43" s="1"/>
  <c r="AN213" i="43" s="1"/>
  <c r="AG212" i="43"/>
  <c r="Y202" i="43"/>
  <c r="Z197" i="43" s="1"/>
  <c r="AG201" i="43"/>
  <c r="AH201" i="43" s="1"/>
  <c r="AI201" i="43" s="1"/>
  <c r="AJ201" i="43" s="1"/>
  <c r="AK201" i="43" s="1"/>
  <c r="AL201" i="43" s="1"/>
  <c r="AM201" i="43" s="1"/>
  <c r="AN201" i="43" s="1"/>
  <c r="Z199" i="43"/>
  <c r="AG192" i="43"/>
  <c r="AH192" i="43" s="1"/>
  <c r="AG188" i="43"/>
  <c r="AH188" i="43" s="1"/>
  <c r="AI188" i="43" s="1"/>
  <c r="AJ188" i="43" s="1"/>
  <c r="AK188" i="43" s="1"/>
  <c r="AL188" i="43" s="1"/>
  <c r="AM188" i="43" s="1"/>
  <c r="AN188" i="43" s="1"/>
  <c r="AF187" i="43"/>
  <c r="AF186" i="43"/>
  <c r="AM177" i="43"/>
  <c r="AN177" i="43" s="1"/>
  <c r="K26" i="22" s="1"/>
  <c r="AG173" i="43"/>
  <c r="AH173" i="43" s="1"/>
  <c r="Y170" i="43"/>
  <c r="Y159" i="43"/>
  <c r="AF152" i="43"/>
  <c r="AG152" i="43" s="1"/>
  <c r="AH152" i="43" s="1"/>
  <c r="AI152" i="43" s="1"/>
  <c r="AJ152" i="43" s="1"/>
  <c r="AK152" i="43" s="1"/>
  <c r="AL152" i="43" s="1"/>
  <c r="AM152" i="43" s="1"/>
  <c r="AN152" i="43" s="1"/>
  <c r="Y140" i="43"/>
  <c r="Y156" i="43" s="1"/>
  <c r="AD134" i="43"/>
  <c r="AE134" i="43" s="1"/>
  <c r="AF134" i="43" s="1"/>
  <c r="AG134" i="43" s="1"/>
  <c r="AH134" i="43" s="1"/>
  <c r="AI134" i="43" s="1"/>
  <c r="AJ134" i="43" s="1"/>
  <c r="AK134" i="43" s="1"/>
  <c r="AL134" i="43" s="1"/>
  <c r="AM134" i="43" s="1"/>
  <c r="AN134" i="43" s="1"/>
  <c r="Y126" i="43"/>
  <c r="Y130" i="43" s="1"/>
  <c r="Y136" i="43" s="1"/>
  <c r="AG121" i="43"/>
  <c r="AH121" i="43" s="1"/>
  <c r="AI121" i="43" s="1"/>
  <c r="AJ121" i="43" s="1"/>
  <c r="AK121" i="43" s="1"/>
  <c r="AL121" i="43" s="1"/>
  <c r="AM121" i="43" s="1"/>
  <c r="AN121" i="43" s="1"/>
  <c r="Y114" i="43"/>
  <c r="Y119" i="43" s="1"/>
  <c r="Y112" i="43"/>
  <c r="Y104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Y91" i="43"/>
  <c r="AN90" i="43"/>
  <c r="AM90" i="43"/>
  <c r="AL90" i="43"/>
  <c r="AK90" i="43"/>
  <c r="AJ90" i="43"/>
  <c r="AI90" i="43"/>
  <c r="AH90" i="43"/>
  <c r="AG90" i="43"/>
  <c r="AF90" i="43"/>
  <c r="AE90" i="43"/>
  <c r="AD90" i="43"/>
  <c r="AC90" i="43"/>
  <c r="Z88" i="43"/>
  <c r="Z91" i="43" s="1"/>
  <c r="AD84" i="43"/>
  <c r="AE84" i="43" s="1"/>
  <c r="AF84" i="43" s="1"/>
  <c r="AG84" i="43" s="1"/>
  <c r="AH84" i="43" s="1"/>
  <c r="AI84" i="43" s="1"/>
  <c r="AJ84" i="43" s="1"/>
  <c r="AK84" i="43" s="1"/>
  <c r="AL84" i="43" s="1"/>
  <c r="AM84" i="43" s="1"/>
  <c r="AN84" i="43" s="1"/>
  <c r="AD83" i="43"/>
  <c r="AE83" i="43" s="1"/>
  <c r="AF83" i="43" s="1"/>
  <c r="AG83" i="43" s="1"/>
  <c r="AH83" i="43" s="1"/>
  <c r="AI83" i="43" s="1"/>
  <c r="AJ83" i="43" s="1"/>
  <c r="AK83" i="43" s="1"/>
  <c r="AL83" i="43" s="1"/>
  <c r="AM83" i="43" s="1"/>
  <c r="AN83" i="43" s="1"/>
  <c r="AD82" i="43"/>
  <c r="AE82" i="43" s="1"/>
  <c r="AF82" i="43" s="1"/>
  <c r="AG82" i="43" s="1"/>
  <c r="AH82" i="43" s="1"/>
  <c r="AI82" i="43" s="1"/>
  <c r="AJ82" i="43" s="1"/>
  <c r="AK82" i="43" s="1"/>
  <c r="AL82" i="43" s="1"/>
  <c r="AM82" i="43" s="1"/>
  <c r="AN82" i="43" s="1"/>
  <c r="Y78" i="43"/>
  <c r="Y100" i="43" s="1"/>
  <c r="AD74" i="43"/>
  <c r="AE74" i="43" s="1"/>
  <c r="AF74" i="43" s="1"/>
  <c r="AG74" i="43" s="1"/>
  <c r="AH74" i="43" s="1"/>
  <c r="AI74" i="43" s="1"/>
  <c r="AJ74" i="43" s="1"/>
  <c r="AK74" i="43" s="1"/>
  <c r="AL74" i="43" s="1"/>
  <c r="AM74" i="43" s="1"/>
  <c r="AN74" i="43" s="1"/>
  <c r="Y68" i="43"/>
  <c r="Y98" i="43" s="1"/>
  <c r="Y66" i="43"/>
  <c r="Y65" i="43"/>
  <c r="AD64" i="43"/>
  <c r="AE64" i="43" s="1"/>
  <c r="AF64" i="43" s="1"/>
  <c r="AG64" i="43" s="1"/>
  <c r="AH64" i="43" s="1"/>
  <c r="AI64" i="43" s="1"/>
  <c r="AJ64" i="43" s="1"/>
  <c r="AK64" i="43" s="1"/>
  <c r="AL64" i="43" s="1"/>
  <c r="AM64" i="43" s="1"/>
  <c r="AN64" i="43" s="1"/>
  <c r="AD53" i="43"/>
  <c r="AE53" i="43" s="1"/>
  <c r="AF53" i="43" s="1"/>
  <c r="AG53" i="43" s="1"/>
  <c r="AH53" i="43" s="1"/>
  <c r="AI53" i="43" s="1"/>
  <c r="AJ53" i="43" s="1"/>
  <c r="AK53" i="43" s="1"/>
  <c r="AL53" i="43" s="1"/>
  <c r="AM53" i="43" s="1"/>
  <c r="AN53" i="43" s="1"/>
  <c r="Y52" i="43"/>
  <c r="Y53" i="43" s="1"/>
  <c r="AG45" i="43"/>
  <c r="AH45" i="43" s="1"/>
  <c r="AI45" i="43" s="1"/>
  <c r="AJ45" i="43" s="1"/>
  <c r="AK45" i="43" s="1"/>
  <c r="AL45" i="43" s="1"/>
  <c r="AM45" i="43" s="1"/>
  <c r="AN45" i="43" s="1"/>
  <c r="AG41" i="43"/>
  <c r="AH41" i="43" s="1"/>
  <c r="AI41" i="43" s="1"/>
  <c r="AJ41" i="43" s="1"/>
  <c r="AK41" i="43" s="1"/>
  <c r="AL41" i="43" s="1"/>
  <c r="AM41" i="43" s="1"/>
  <c r="AN41" i="43" s="1"/>
  <c r="Y35" i="43"/>
  <c r="Y34" i="43"/>
  <c r="AF31" i="43"/>
  <c r="Y21" i="43"/>
  <c r="Y77" i="43" s="1"/>
  <c r="AF19" i="43"/>
  <c r="Y19" i="43"/>
  <c r="Y75" i="43" s="1"/>
  <c r="Y16" i="43"/>
  <c r="Y10" i="43"/>
  <c r="Y62" i="43" s="1"/>
  <c r="Y9" i="43"/>
  <c r="Y41" i="43" s="1"/>
  <c r="I3" i="43"/>
  <c r="J3" i="43" s="1"/>
  <c r="K3" i="43" s="1"/>
  <c r="K84" i="22"/>
  <c r="M51" i="22"/>
  <c r="L51" i="22"/>
  <c r="K51" i="22"/>
  <c r="J51" i="22"/>
  <c r="I51" i="22"/>
  <c r="H51" i="22"/>
  <c r="G51" i="22"/>
  <c r="F51" i="22"/>
  <c r="E51" i="22"/>
  <c r="D51" i="22"/>
  <c r="C51" i="22"/>
  <c r="M50" i="22"/>
  <c r="L50" i="22"/>
  <c r="K50" i="22"/>
  <c r="J50" i="22"/>
  <c r="I50" i="22"/>
  <c r="H50" i="22"/>
  <c r="G50" i="22"/>
  <c r="F50" i="22"/>
  <c r="E50" i="22"/>
  <c r="D50" i="22"/>
  <c r="L36" i="22"/>
  <c r="K36" i="22"/>
  <c r="J36" i="22"/>
  <c r="L34" i="22"/>
  <c r="K34" i="22"/>
  <c r="J34" i="22"/>
  <c r="C33" i="22"/>
  <c r="C29" i="22"/>
  <c r="C25" i="22"/>
  <c r="L22" i="22"/>
  <c r="K22" i="22"/>
  <c r="J22" i="22"/>
  <c r="G15" i="22"/>
  <c r="R14" i="22"/>
  <c r="G14" i="22"/>
  <c r="R13" i="22"/>
  <c r="G13" i="22"/>
  <c r="R12" i="22"/>
  <c r="G12" i="22"/>
  <c r="D14" i="22"/>
  <c r="D13" i="22"/>
  <c r="D12" i="22"/>
  <c r="D12" i="22" a="1"/>
  <c r="C12" i="22" a="1"/>
  <c r="C13" i="22" s="1"/>
  <c r="R11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C4" i="22"/>
  <c r="W25" i="252" l="1"/>
  <c r="J58" i="252"/>
  <c r="AA411" i="252"/>
  <c r="H6" i="252"/>
  <c r="G37" i="252"/>
  <c r="P37" i="252"/>
  <c r="L72" i="252"/>
  <c r="N73" i="252"/>
  <c r="O132" i="252"/>
  <c r="I411" i="252"/>
  <c r="M411" i="252"/>
  <c r="S411" i="252"/>
  <c r="W411" i="252"/>
  <c r="W413" i="252"/>
  <c r="R209" i="252"/>
  <c r="K210" i="252"/>
  <c r="K211" i="252" s="1"/>
  <c r="N69" i="252"/>
  <c r="R69" i="252"/>
  <c r="R68" i="252" s="1"/>
  <c r="W106" i="252"/>
  <c r="U411" i="252"/>
  <c r="K51" i="252"/>
  <c r="Q72" i="252"/>
  <c r="X25" i="252"/>
  <c r="Q38" i="252"/>
  <c r="S52" i="252" s="1"/>
  <c r="M42" i="252"/>
  <c r="M43" i="252" s="1"/>
  <c r="I73" i="252"/>
  <c r="I72" i="252" s="1"/>
  <c r="O148" i="252"/>
  <c r="O153" i="252" s="1"/>
  <c r="U148" i="252"/>
  <c r="U153" i="252" s="1"/>
  <c r="U170" i="252" s="1"/>
  <c r="G170" i="252"/>
  <c r="N200" i="252"/>
  <c r="N201" i="252" s="1"/>
  <c r="S229" i="252"/>
  <c r="H270" i="252"/>
  <c r="L365" i="252"/>
  <c r="P387" i="252"/>
  <c r="R284" i="252"/>
  <c r="O411" i="252"/>
  <c r="M47" i="252"/>
  <c r="X387" i="252"/>
  <c r="K15" i="252"/>
  <c r="K34" i="252" s="1"/>
  <c r="M17" i="252"/>
  <c r="M45" i="252" s="1"/>
  <c r="Y25" i="252"/>
  <c r="Q42" i="252"/>
  <c r="Q43" i="252" s="1"/>
  <c r="K68" i="252"/>
  <c r="R108" i="252"/>
  <c r="P193" i="252"/>
  <c r="P200" i="252"/>
  <c r="P201" i="252" s="1"/>
  <c r="R220" i="252"/>
  <c r="S215" i="252" s="1"/>
  <c r="O229" i="252"/>
  <c r="U229" i="252"/>
  <c r="V225" i="252" s="1"/>
  <c r="V227" i="252" s="1"/>
  <c r="R266" i="252"/>
  <c r="R256" i="252" s="1"/>
  <c r="R363" i="252"/>
  <c r="I363" i="252"/>
  <c r="M363" i="252"/>
  <c r="T365" i="252"/>
  <c r="G438" i="252" s="1"/>
  <c r="N393" i="252"/>
  <c r="L387" i="252"/>
  <c r="G411" i="252"/>
  <c r="K411" i="252"/>
  <c r="Y411" i="252"/>
  <c r="AC411" i="252"/>
  <c r="I40" i="252"/>
  <c r="AB387" i="252"/>
  <c r="J14" i="252"/>
  <c r="H42" i="252"/>
  <c r="H43" i="252" s="1"/>
  <c r="Q17" i="252"/>
  <c r="G210" i="252"/>
  <c r="AB25" i="252"/>
  <c r="Q37" i="252"/>
  <c r="R51" i="252" s="1"/>
  <c r="H40" i="252"/>
  <c r="M40" i="252"/>
  <c r="R58" i="252"/>
  <c r="G68" i="252"/>
  <c r="U72" i="252"/>
  <c r="I93" i="252"/>
  <c r="G132" i="252"/>
  <c r="G137" i="252" s="1"/>
  <c r="K148" i="252"/>
  <c r="K153" i="252" s="1"/>
  <c r="K170" i="252" s="1"/>
  <c r="J164" i="252"/>
  <c r="J169" i="252" s="1"/>
  <c r="R170" i="252"/>
  <c r="S188" i="252"/>
  <c r="S190" i="252" s="1"/>
  <c r="I192" i="252"/>
  <c r="R200" i="252"/>
  <c r="R201" i="252" s="1"/>
  <c r="K229" i="252"/>
  <c r="H267" i="252"/>
  <c r="H182" i="252" s="1"/>
  <c r="I315" i="252"/>
  <c r="M315" i="252"/>
  <c r="N362" i="252"/>
  <c r="N363" i="252" s="1"/>
  <c r="AB365" i="252"/>
  <c r="J386" i="252"/>
  <c r="J387" i="252" s="1"/>
  <c r="T386" i="252"/>
  <c r="T387" i="252" s="1"/>
  <c r="H387" i="252"/>
  <c r="Q411" i="252"/>
  <c r="G47" i="252"/>
  <c r="G42" i="252"/>
  <c r="G43" i="252" s="1"/>
  <c r="G17" i="252"/>
  <c r="G48" i="252"/>
  <c r="G79" i="252"/>
  <c r="S34" i="252"/>
  <c r="S47" i="252"/>
  <c r="S42" i="252"/>
  <c r="S43" i="252" s="1"/>
  <c r="S17" i="252"/>
  <c r="S79" i="252"/>
  <c r="S48" i="252"/>
  <c r="I6" i="252"/>
  <c r="J5" i="252"/>
  <c r="R15" i="252"/>
  <c r="O47" i="252"/>
  <c r="O42" i="252"/>
  <c r="O43" i="252" s="1"/>
  <c r="O17" i="252"/>
  <c r="O48" i="252"/>
  <c r="O79" i="252"/>
  <c r="O34" i="252"/>
  <c r="R16" i="252"/>
  <c r="R80" i="252" s="1"/>
  <c r="P80" i="252"/>
  <c r="U45" i="252"/>
  <c r="V45" i="252" s="1"/>
  <c r="W45" i="252" s="1"/>
  <c r="X45" i="252" s="1"/>
  <c r="Y45" i="252" s="1"/>
  <c r="Z45" i="252" s="1"/>
  <c r="AA45" i="252" s="1"/>
  <c r="AB45" i="252" s="1"/>
  <c r="AC45" i="252" s="1"/>
  <c r="AD45" i="252" s="1"/>
  <c r="U21" i="252"/>
  <c r="U69" i="252"/>
  <c r="U68" i="252" s="1"/>
  <c r="U83" i="252"/>
  <c r="R89" i="252"/>
  <c r="R73" i="252"/>
  <c r="R72" i="252" s="1"/>
  <c r="H210" i="252"/>
  <c r="H211" i="252" s="1"/>
  <c r="H132" i="252"/>
  <c r="H137" i="252" s="1"/>
  <c r="H93" i="252"/>
  <c r="R27" i="252"/>
  <c r="R95" i="252" s="1"/>
  <c r="Q95" i="252"/>
  <c r="S59" i="252"/>
  <c r="T278" i="252"/>
  <c r="T37" i="252" s="1"/>
  <c r="U51" i="252" s="1"/>
  <c r="T130" i="252"/>
  <c r="U79" i="252"/>
  <c r="U48" i="252"/>
  <c r="U34" i="252"/>
  <c r="U59" i="252"/>
  <c r="K48" i="252"/>
  <c r="K17" i="252"/>
  <c r="K79" i="252"/>
  <c r="N16" i="252"/>
  <c r="N80" i="252" s="1"/>
  <c r="L80" i="252"/>
  <c r="H89" i="252"/>
  <c r="H73" i="252"/>
  <c r="H72" i="252" s="1"/>
  <c r="J22" i="252"/>
  <c r="N25" i="252"/>
  <c r="N93" i="252" s="1"/>
  <c r="T210" i="252"/>
  <c r="T132" i="252"/>
  <c r="T137" i="252" s="1"/>
  <c r="T93" i="252"/>
  <c r="M95" i="252"/>
  <c r="N27" i="252"/>
  <c r="N95" i="252" s="1"/>
  <c r="N117" i="252"/>
  <c r="M52" i="252"/>
  <c r="K52" i="252"/>
  <c r="L52" i="252"/>
  <c r="Q52" i="252"/>
  <c r="P52" i="252"/>
  <c r="O52" i="252"/>
  <c r="U52" i="252"/>
  <c r="T52" i="252"/>
  <c r="J60" i="252"/>
  <c r="L33" i="252" s="1"/>
  <c r="N58" i="252"/>
  <c r="G59" i="252"/>
  <c r="N68" i="252"/>
  <c r="G72" i="252"/>
  <c r="H117" i="252"/>
  <c r="N119" i="252"/>
  <c r="N71" i="252" s="1"/>
  <c r="N72" i="252" s="1"/>
  <c r="M71" i="252"/>
  <c r="M72" i="252" s="1"/>
  <c r="M278" i="252"/>
  <c r="M130" i="252"/>
  <c r="N127" i="252"/>
  <c r="M242" i="252"/>
  <c r="M202" i="252"/>
  <c r="M174" i="252"/>
  <c r="M177" i="252"/>
  <c r="M173" i="252"/>
  <c r="M175" i="252"/>
  <c r="M81" i="252"/>
  <c r="M85" i="252" s="1"/>
  <c r="Q45" i="252"/>
  <c r="Q21" i="252"/>
  <c r="L210" i="252"/>
  <c r="L132" i="252"/>
  <c r="L137" i="252" s="1"/>
  <c r="L93" i="252"/>
  <c r="J3" i="252"/>
  <c r="I4" i="252"/>
  <c r="J176" i="252"/>
  <c r="J40" i="252"/>
  <c r="J209" i="252"/>
  <c r="J25" i="252"/>
  <c r="Q68" i="252"/>
  <c r="L117" i="252"/>
  <c r="O180" i="252"/>
  <c r="R122" i="252"/>
  <c r="R180" i="252" s="1"/>
  <c r="P255" i="252"/>
  <c r="P130" i="252"/>
  <c r="R128" i="252"/>
  <c r="M41" i="252"/>
  <c r="J13" i="252"/>
  <c r="I15" i="252"/>
  <c r="M34" i="252" s="1"/>
  <c r="I41" i="252"/>
  <c r="Q242" i="252"/>
  <c r="Q202" i="252"/>
  <c r="Q174" i="252"/>
  <c r="Q175" i="252"/>
  <c r="Q177" i="252"/>
  <c r="Q173" i="252"/>
  <c r="Q81" i="252"/>
  <c r="Q85" i="252" s="1"/>
  <c r="J16" i="252"/>
  <c r="J80" i="252" s="1"/>
  <c r="H80" i="252"/>
  <c r="P210" i="252"/>
  <c r="P132" i="252"/>
  <c r="P137" i="252" s="1"/>
  <c r="P93" i="252"/>
  <c r="J27" i="252"/>
  <c r="J95" i="252" s="1"/>
  <c r="I95" i="252"/>
  <c r="R117" i="252"/>
  <c r="N52" i="252"/>
  <c r="R60" i="252"/>
  <c r="T33" i="252" s="1"/>
  <c r="K59" i="252"/>
  <c r="Y62" i="252"/>
  <c r="S72" i="252"/>
  <c r="V116" i="252"/>
  <c r="W87" i="252"/>
  <c r="T117" i="252"/>
  <c r="W108" i="252"/>
  <c r="X106" i="252"/>
  <c r="U47" i="252"/>
  <c r="R52" i="252"/>
  <c r="O59" i="252"/>
  <c r="K72" i="252"/>
  <c r="K74" i="252" s="1"/>
  <c r="O72" i="252"/>
  <c r="P117" i="252"/>
  <c r="O137" i="252"/>
  <c r="T170" i="252"/>
  <c r="R179" i="252"/>
  <c r="R181" i="252" s="1"/>
  <c r="S179" i="252"/>
  <c r="S181" i="252" s="1"/>
  <c r="H4" i="252"/>
  <c r="Q210" i="252"/>
  <c r="Q211" i="252" s="1"/>
  <c r="Q132" i="252"/>
  <c r="Q137" i="252" s="1"/>
  <c r="L59" i="252"/>
  <c r="J69" i="252"/>
  <c r="J68" i="252" s="1"/>
  <c r="J130" i="252"/>
  <c r="Q187" i="252"/>
  <c r="Q160" i="252"/>
  <c r="Q164" i="252" s="1"/>
  <c r="Q169" i="252" s="1"/>
  <c r="Q170" i="252" s="1"/>
  <c r="K188" i="252"/>
  <c r="J193" i="252"/>
  <c r="H170" i="252"/>
  <c r="K179" i="252"/>
  <c r="N179" i="252"/>
  <c r="N181" i="252" s="1"/>
  <c r="O179" i="252"/>
  <c r="O181" i="252" s="1"/>
  <c r="L193" i="252"/>
  <c r="Q220" i="252"/>
  <c r="R215" i="252" s="1"/>
  <c r="U41" i="252"/>
  <c r="H59" i="252"/>
  <c r="T59" i="252"/>
  <c r="W60" i="252"/>
  <c r="X60" i="252" s="1"/>
  <c r="Y60" i="252" s="1"/>
  <c r="Z60" i="252" s="1"/>
  <c r="AA60" i="252" s="1"/>
  <c r="AB60" i="252" s="1"/>
  <c r="AC60" i="252" s="1"/>
  <c r="AD60" i="252" s="1"/>
  <c r="R25" i="252"/>
  <c r="Z25" i="252"/>
  <c r="L34" i="252"/>
  <c r="P34" i="252"/>
  <c r="T34" i="252"/>
  <c r="K42" i="252"/>
  <c r="K43" i="252" s="1"/>
  <c r="H48" i="252"/>
  <c r="L48" i="252"/>
  <c r="P48" i="252"/>
  <c r="T48" i="252"/>
  <c r="M59" i="252"/>
  <c r="Q59" i="252"/>
  <c r="W63" i="252"/>
  <c r="W33" i="252" s="1"/>
  <c r="H79" i="252"/>
  <c r="L79" i="252"/>
  <c r="L173" i="252" s="1"/>
  <c r="P79" i="252"/>
  <c r="T79" i="252"/>
  <c r="T173" i="252" s="1"/>
  <c r="J83" i="252"/>
  <c r="G93" i="252"/>
  <c r="K93" i="252"/>
  <c r="O93" i="252"/>
  <c r="S93" i="252"/>
  <c r="K132" i="252"/>
  <c r="S132" i="252"/>
  <c r="S137" i="252" s="1"/>
  <c r="J192" i="252"/>
  <c r="J148" i="252"/>
  <c r="J153" i="252" s="1"/>
  <c r="J170" i="252" s="1"/>
  <c r="N192" i="252"/>
  <c r="N148" i="252"/>
  <c r="N153" i="252" s="1"/>
  <c r="N170" i="252" s="1"/>
  <c r="S467" i="252"/>
  <c r="S192" i="252"/>
  <c r="S148" i="252"/>
  <c r="S153" i="252" s="1"/>
  <c r="S170" i="252" s="1"/>
  <c r="M170" i="252"/>
  <c r="I200" i="252"/>
  <c r="I201" i="252" s="1"/>
  <c r="I172" i="252"/>
  <c r="I206" i="252"/>
  <c r="I160" i="252"/>
  <c r="I164" i="252" s="1"/>
  <c r="I169" i="252" s="1"/>
  <c r="I170" i="252" s="1"/>
  <c r="K193" i="252"/>
  <c r="L188" i="252"/>
  <c r="L190" i="252" s="1"/>
  <c r="R176" i="252"/>
  <c r="K258" i="252"/>
  <c r="L254" i="252" s="1"/>
  <c r="L257" i="252" s="1"/>
  <c r="K205" i="252"/>
  <c r="K200" i="252"/>
  <c r="K201" i="252" s="1"/>
  <c r="O258" i="252"/>
  <c r="P254" i="252" s="1"/>
  <c r="S259" i="252" s="1"/>
  <c r="O205" i="252"/>
  <c r="O200" i="252"/>
  <c r="O201" i="252" s="1"/>
  <c r="S258" i="252"/>
  <c r="T254" i="252" s="1"/>
  <c r="S205" i="252"/>
  <c r="S200" i="252"/>
  <c r="S201" i="252" s="1"/>
  <c r="I210" i="252"/>
  <c r="I211" i="252" s="1"/>
  <c r="Q257" i="252"/>
  <c r="M132" i="252"/>
  <c r="M137" i="252" s="1"/>
  <c r="U210" i="252"/>
  <c r="U132" i="252"/>
  <c r="U137" i="252" s="1"/>
  <c r="AC25" i="252"/>
  <c r="P59" i="252"/>
  <c r="N14" i="252"/>
  <c r="R205" i="252"/>
  <c r="N13" i="252"/>
  <c r="H17" i="252"/>
  <c r="L17" i="252"/>
  <c r="P17" i="252"/>
  <c r="T17" i="252"/>
  <c r="AA25" i="252"/>
  <c r="Q34" i="252"/>
  <c r="K41" i="252"/>
  <c r="L42" i="252"/>
  <c r="L43" i="252" s="1"/>
  <c r="P42" i="252"/>
  <c r="P43" i="252" s="1"/>
  <c r="T42" i="252"/>
  <c r="T43" i="252" s="1"/>
  <c r="M48" i="252"/>
  <c r="Q48" i="252"/>
  <c r="J86" i="252"/>
  <c r="J115" i="252" s="1"/>
  <c r="N86" i="252"/>
  <c r="N115" i="252" s="1"/>
  <c r="R86" i="252"/>
  <c r="R115" i="252" s="1"/>
  <c r="U130" i="252"/>
  <c r="K460" i="252"/>
  <c r="K466" i="252"/>
  <c r="K467" i="252" s="1"/>
  <c r="O460" i="252"/>
  <c r="O466" i="252"/>
  <c r="O467" i="252" s="1"/>
  <c r="U466" i="252"/>
  <c r="U467" i="252" s="1"/>
  <c r="U460" i="252"/>
  <c r="K180" i="252"/>
  <c r="J188" i="252"/>
  <c r="J190" i="252" s="1"/>
  <c r="K130" i="252"/>
  <c r="S130" i="252"/>
  <c r="L466" i="252"/>
  <c r="L467" i="252" s="1"/>
  <c r="L460" i="252"/>
  <c r="P466" i="252"/>
  <c r="P467" i="252" s="1"/>
  <c r="P460" i="252"/>
  <c r="N187" i="252"/>
  <c r="T188" i="252"/>
  <c r="T190" i="252" s="1"/>
  <c r="G211" i="252"/>
  <c r="L211" i="252"/>
  <c r="L205" i="252"/>
  <c r="S211" i="252"/>
  <c r="M220" i="252"/>
  <c r="N215" i="252" s="1"/>
  <c r="U259" i="252"/>
  <c r="L278" i="252"/>
  <c r="G314" i="252"/>
  <c r="G315" i="252" s="1"/>
  <c r="G267" i="252"/>
  <c r="T259" i="252"/>
  <c r="P175" i="252"/>
  <c r="I193" i="252"/>
  <c r="M187" i="252"/>
  <c r="I466" i="252"/>
  <c r="I467" i="252" s="1"/>
  <c r="I460" i="252"/>
  <c r="M466" i="252"/>
  <c r="M467" i="252" s="1"/>
  <c r="M460" i="252"/>
  <c r="W165" i="252"/>
  <c r="X165" i="252" s="1"/>
  <c r="Y165" i="252" s="1"/>
  <c r="Z165" i="252" s="1"/>
  <c r="AA165" i="252" s="1"/>
  <c r="AB165" i="252" s="1"/>
  <c r="AC165" i="252" s="1"/>
  <c r="AD165" i="252" s="1"/>
  <c r="L179" i="252"/>
  <c r="L181" i="252" s="1"/>
  <c r="P172" i="252"/>
  <c r="T179" i="252"/>
  <c r="T181" i="252" s="1"/>
  <c r="M179" i="252"/>
  <c r="M181" i="252" s="1"/>
  <c r="U179" i="252"/>
  <c r="U181" i="252" s="1"/>
  <c r="I188" i="252"/>
  <c r="I190" i="252" s="1"/>
  <c r="Q188" i="252"/>
  <c r="Q190" i="252" s="1"/>
  <c r="U193" i="252"/>
  <c r="K190" i="252"/>
  <c r="U190" i="252"/>
  <c r="X190" i="252"/>
  <c r="W205" i="252"/>
  <c r="M200" i="252"/>
  <c r="M201" i="252" s="1"/>
  <c r="M258" i="252"/>
  <c r="N254" i="252" s="1"/>
  <c r="Q259" i="252" s="1"/>
  <c r="Q205" i="252"/>
  <c r="Q200" i="252"/>
  <c r="Q201" i="252" s="1"/>
  <c r="U258" i="252"/>
  <c r="V254" i="252" s="1"/>
  <c r="V255" i="252" s="1"/>
  <c r="V128" i="252" s="1"/>
  <c r="U205" i="252"/>
  <c r="U200" i="252"/>
  <c r="V200" i="252" s="1"/>
  <c r="W200" i="252" s="1"/>
  <c r="X200" i="252" s="1"/>
  <c r="Y200" i="252" s="1"/>
  <c r="Z200" i="252" s="1"/>
  <c r="AA200" i="252" s="1"/>
  <c r="AB200" i="252" s="1"/>
  <c r="AC200" i="252" s="1"/>
  <c r="AD200" i="252" s="1"/>
  <c r="H205" i="252"/>
  <c r="O211" i="252"/>
  <c r="T211" i="252"/>
  <c r="T205" i="252"/>
  <c r="N232" i="252"/>
  <c r="N345" i="252"/>
  <c r="N341" i="252"/>
  <c r="L148" i="252"/>
  <c r="L153" i="252" s="1"/>
  <c r="L170" i="252" s="1"/>
  <c r="P148" i="252"/>
  <c r="P153" i="252" s="1"/>
  <c r="P170" i="252" s="1"/>
  <c r="O193" i="252"/>
  <c r="O160" i="252"/>
  <c r="O164" i="252" s="1"/>
  <c r="O169" i="252" s="1"/>
  <c r="J460" i="252"/>
  <c r="J466" i="252"/>
  <c r="J467" i="252" s="1"/>
  <c r="N460" i="252"/>
  <c r="N466" i="252"/>
  <c r="N467" i="252" s="1"/>
  <c r="Q466" i="252"/>
  <c r="Q467" i="252" s="1"/>
  <c r="Q460" i="252"/>
  <c r="R466" i="252"/>
  <c r="R467" i="252" s="1"/>
  <c r="P174" i="252"/>
  <c r="H181" i="252"/>
  <c r="H188" i="252"/>
  <c r="H190" i="252" s="1"/>
  <c r="P188" i="252"/>
  <c r="P190" i="252" s="1"/>
  <c r="T193" i="252"/>
  <c r="M209" i="252"/>
  <c r="M205" i="252" s="1"/>
  <c r="N208" i="252"/>
  <c r="N209" i="252" s="1"/>
  <c r="N205" i="252" s="1"/>
  <c r="P211" i="252"/>
  <c r="P205" i="252"/>
  <c r="U211" i="252"/>
  <c r="U220" i="252"/>
  <c r="V215" i="252" s="1"/>
  <c r="V217" i="252" s="1"/>
  <c r="U314" i="252"/>
  <c r="U315" i="252" s="1"/>
  <c r="G193" i="252"/>
  <c r="S193" i="252"/>
  <c r="I258" i="252"/>
  <c r="J254" i="252" s="1"/>
  <c r="L259" i="252" s="1"/>
  <c r="M257" i="252"/>
  <c r="I369" i="252"/>
  <c r="I368" i="252"/>
  <c r="M369" i="252"/>
  <c r="M365" i="252"/>
  <c r="U369" i="252"/>
  <c r="U365" i="252"/>
  <c r="Y369" i="252"/>
  <c r="Y368" i="252"/>
  <c r="AC369" i="252"/>
  <c r="AC365" i="252"/>
  <c r="Q363" i="252"/>
  <c r="R410" i="252"/>
  <c r="R411" i="252" s="1"/>
  <c r="R267" i="252"/>
  <c r="R182" i="252" s="1"/>
  <c r="J413" i="252"/>
  <c r="J257" i="252"/>
  <c r="S257" i="252"/>
  <c r="AC392" i="252"/>
  <c r="AC389" i="252"/>
  <c r="L229" i="252"/>
  <c r="M231" i="252" s="1"/>
  <c r="P229" i="252"/>
  <c r="T229" i="252"/>
  <c r="T267" i="252"/>
  <c r="T182" i="252" s="1"/>
  <c r="T362" i="252"/>
  <c r="T363" i="252" s="1"/>
  <c r="U363" i="252"/>
  <c r="Y363" i="252"/>
  <c r="AC363" i="252"/>
  <c r="U368" i="252"/>
  <c r="Z417" i="252"/>
  <c r="Z413" i="252"/>
  <c r="N365" i="252"/>
  <c r="G428" i="252" s="1"/>
  <c r="O413" i="252"/>
  <c r="K257" i="252"/>
  <c r="T257" i="252"/>
  <c r="S345" i="252"/>
  <c r="J363" i="252"/>
  <c r="V363" i="252"/>
  <c r="Z363" i="252"/>
  <c r="AD363" i="252"/>
  <c r="J393" i="252"/>
  <c r="R461" i="252"/>
  <c r="T467" i="252"/>
  <c r="H461" i="252"/>
  <c r="H462" i="252"/>
  <c r="T461" i="252"/>
  <c r="T462" i="252"/>
  <c r="G462" i="252"/>
  <c r="S462" i="252"/>
  <c r="U556" i="43"/>
  <c r="X314" i="43"/>
  <c r="AF556" i="43"/>
  <c r="U392" i="252"/>
  <c r="M393" i="252"/>
  <c r="M389" i="252"/>
  <c r="AC393" i="252"/>
  <c r="N315" i="252"/>
  <c r="R315" i="252"/>
  <c r="V315" i="252"/>
  <c r="Z315" i="252"/>
  <c r="AD315" i="252"/>
  <c r="S315" i="252"/>
  <c r="W315" i="252"/>
  <c r="AA315" i="252"/>
  <c r="I387" i="252"/>
  <c r="M387" i="252"/>
  <c r="Q387" i="252"/>
  <c r="U387" i="252"/>
  <c r="Y387" i="252"/>
  <c r="AC387" i="252"/>
  <c r="R389" i="252"/>
  <c r="G434" i="252" s="1"/>
  <c r="J392" i="252"/>
  <c r="I425" i="252" s="1"/>
  <c r="Z392" i="252"/>
  <c r="R393" i="252"/>
  <c r="U389" i="252"/>
  <c r="J389" i="252"/>
  <c r="G425" i="252" s="1"/>
  <c r="Z389" i="252"/>
  <c r="U317" i="252"/>
  <c r="G441" i="252" s="1"/>
  <c r="Q315" i="252"/>
  <c r="Y315" i="252"/>
  <c r="AC315" i="252"/>
  <c r="Q320" i="252"/>
  <c r="J315" i="252"/>
  <c r="AC320" i="252"/>
  <c r="K315" i="252"/>
  <c r="I317" i="252"/>
  <c r="Y321" i="252"/>
  <c r="S402" i="43"/>
  <c r="S310" i="43" s="1"/>
  <c r="AD341" i="252"/>
  <c r="I339" i="252"/>
  <c r="M339" i="252"/>
  <c r="Q339" i="252"/>
  <c r="U339" i="252"/>
  <c r="Y339" i="252"/>
  <c r="AC339" i="252"/>
  <c r="J339" i="252"/>
  <c r="N339" i="252"/>
  <c r="R339" i="252"/>
  <c r="V339" i="252"/>
  <c r="Z339" i="252"/>
  <c r="AD339" i="252"/>
  <c r="V341" i="252"/>
  <c r="T413" i="252"/>
  <c r="L416" i="252"/>
  <c r="AB416" i="252"/>
  <c r="T417" i="252"/>
  <c r="J411" i="252"/>
  <c r="N411" i="252"/>
  <c r="V411" i="252"/>
  <c r="Z411" i="252"/>
  <c r="AD411" i="252"/>
  <c r="K413" i="252"/>
  <c r="P413" i="252"/>
  <c r="V413" i="252"/>
  <c r="AA413" i="252"/>
  <c r="P416" i="252"/>
  <c r="H417" i="252"/>
  <c r="X417" i="252"/>
  <c r="G413" i="252"/>
  <c r="L413" i="252"/>
  <c r="R413" i="252"/>
  <c r="G435" i="252" s="1"/>
  <c r="AB413" i="252"/>
  <c r="H411" i="252"/>
  <c r="L411" i="252"/>
  <c r="P411" i="252"/>
  <c r="T411" i="252"/>
  <c r="X411" i="252"/>
  <c r="AB411" i="252"/>
  <c r="H413" i="252"/>
  <c r="N413" i="252"/>
  <c r="G430" i="252" s="1"/>
  <c r="S413" i="252"/>
  <c r="X413" i="252"/>
  <c r="AD413" i="252"/>
  <c r="N387" i="252"/>
  <c r="R387" i="252"/>
  <c r="V387" i="252"/>
  <c r="Z387" i="252"/>
  <c r="AD387" i="252"/>
  <c r="N389" i="252"/>
  <c r="G429" i="252" s="1"/>
  <c r="V389" i="252"/>
  <c r="AD389" i="252"/>
  <c r="N392" i="252"/>
  <c r="I429" i="252" s="1"/>
  <c r="V392" i="252"/>
  <c r="AD392" i="252"/>
  <c r="G387" i="252"/>
  <c r="K387" i="252"/>
  <c r="O387" i="252"/>
  <c r="S387" i="252"/>
  <c r="W387" i="252"/>
  <c r="AA387" i="252"/>
  <c r="I389" i="252"/>
  <c r="Q389" i="252"/>
  <c r="Y389" i="252"/>
  <c r="I392" i="252"/>
  <c r="Q392" i="252"/>
  <c r="Y392" i="252"/>
  <c r="G363" i="252"/>
  <c r="K363" i="252"/>
  <c r="O363" i="252"/>
  <c r="S363" i="252"/>
  <c r="W363" i="252"/>
  <c r="AA363" i="252"/>
  <c r="P365" i="252"/>
  <c r="X365" i="252"/>
  <c r="M368" i="252"/>
  <c r="AC368" i="252"/>
  <c r="H363" i="252"/>
  <c r="L363" i="252"/>
  <c r="P363" i="252"/>
  <c r="X363" i="252"/>
  <c r="AB363" i="252"/>
  <c r="I365" i="252"/>
  <c r="Q365" i="252"/>
  <c r="Y365" i="252"/>
  <c r="Q368" i="252"/>
  <c r="AA341" i="252"/>
  <c r="H343" i="252"/>
  <c r="H345" i="252" s="1"/>
  <c r="H342" i="252"/>
  <c r="H344" i="252" s="1"/>
  <c r="I423" i="252" s="1"/>
  <c r="K341" i="252"/>
  <c r="U274" i="252"/>
  <c r="U293" i="252" s="1"/>
  <c r="G339" i="252"/>
  <c r="K339" i="252"/>
  <c r="O339" i="252"/>
  <c r="S339" i="252"/>
  <c r="W339" i="252"/>
  <c r="AA339" i="252"/>
  <c r="G341" i="252"/>
  <c r="O341" i="252"/>
  <c r="W341" i="252"/>
  <c r="S341" i="252"/>
  <c r="G437" i="252" s="1"/>
  <c r="Q274" i="252"/>
  <c r="Q279" i="252" s="1"/>
  <c r="H339" i="252"/>
  <c r="H366" i="252"/>
  <c r="H368" i="252" s="1"/>
  <c r="I424" i="252" s="1"/>
  <c r="L339" i="252"/>
  <c r="P339" i="252"/>
  <c r="T339" i="252"/>
  <c r="X339" i="252"/>
  <c r="AB339" i="252"/>
  <c r="J341" i="252"/>
  <c r="R341" i="252"/>
  <c r="G432" i="252" s="1"/>
  <c r="Z341" i="252"/>
  <c r="H367" i="252"/>
  <c r="H369" i="252" s="1"/>
  <c r="P321" i="252"/>
  <c r="P315" i="252"/>
  <c r="M317" i="252"/>
  <c r="X317" i="252"/>
  <c r="I320" i="252"/>
  <c r="U320" i="252"/>
  <c r="I441" i="252" s="1"/>
  <c r="H321" i="252"/>
  <c r="Q321" i="252"/>
  <c r="AC321" i="252"/>
  <c r="X315" i="252"/>
  <c r="H320" i="252"/>
  <c r="O315" i="252"/>
  <c r="H315" i="252"/>
  <c r="P317" i="252"/>
  <c r="Y317" i="252"/>
  <c r="M320" i="252"/>
  <c r="X320" i="252"/>
  <c r="O266" i="252"/>
  <c r="O256" i="252" s="1"/>
  <c r="O257" i="252" s="1"/>
  <c r="L315" i="252"/>
  <c r="T315" i="252"/>
  <c r="AB315" i="252"/>
  <c r="I416" i="252"/>
  <c r="M416" i="252"/>
  <c r="Q416" i="252"/>
  <c r="U416" i="252"/>
  <c r="I440" i="252" s="1"/>
  <c r="Y416" i="252"/>
  <c r="AC416" i="252"/>
  <c r="I417" i="252"/>
  <c r="M417" i="252"/>
  <c r="Q417" i="252"/>
  <c r="U417" i="252"/>
  <c r="Y417" i="252"/>
  <c r="AC417" i="252"/>
  <c r="J416" i="252"/>
  <c r="N416" i="252"/>
  <c r="I430" i="252" s="1"/>
  <c r="R416" i="252"/>
  <c r="I435" i="252" s="1"/>
  <c r="V416" i="252"/>
  <c r="Z416" i="252"/>
  <c r="AD416" i="252"/>
  <c r="G416" i="252"/>
  <c r="K416" i="252"/>
  <c r="O416" i="252"/>
  <c r="S416" i="252"/>
  <c r="W416" i="252"/>
  <c r="AA416" i="252"/>
  <c r="G389" i="252"/>
  <c r="K389" i="252"/>
  <c r="O389" i="252"/>
  <c r="S389" i="252"/>
  <c r="W389" i="252"/>
  <c r="AA389" i="252"/>
  <c r="G392" i="252"/>
  <c r="K392" i="252"/>
  <c r="O392" i="252"/>
  <c r="S392" i="252"/>
  <c r="W392" i="252"/>
  <c r="AA392" i="252"/>
  <c r="H389" i="252"/>
  <c r="L389" i="252"/>
  <c r="P389" i="252"/>
  <c r="T389" i="252"/>
  <c r="G439" i="252" s="1"/>
  <c r="X389" i="252"/>
  <c r="AB389" i="252"/>
  <c r="H392" i="252"/>
  <c r="L392" i="252"/>
  <c r="P392" i="252"/>
  <c r="T392" i="252"/>
  <c r="I439" i="252" s="1"/>
  <c r="X392" i="252"/>
  <c r="AB392" i="252"/>
  <c r="N369" i="252"/>
  <c r="AD369" i="252"/>
  <c r="J368" i="252"/>
  <c r="V368" i="252"/>
  <c r="O369" i="252"/>
  <c r="S369" i="252"/>
  <c r="J369" i="252"/>
  <c r="R369" i="252"/>
  <c r="Z369" i="252"/>
  <c r="N368" i="252"/>
  <c r="I428" i="252" s="1"/>
  <c r="Z368" i="252"/>
  <c r="K369" i="252"/>
  <c r="W369" i="252"/>
  <c r="R365" i="252"/>
  <c r="G433" i="252" s="1"/>
  <c r="V365" i="252"/>
  <c r="AD365" i="252"/>
  <c r="K368" i="252"/>
  <c r="O368" i="252"/>
  <c r="S368" i="252"/>
  <c r="W368" i="252"/>
  <c r="AA368" i="252"/>
  <c r="G369" i="252"/>
  <c r="L369" i="252"/>
  <c r="P369" i="252"/>
  <c r="T369" i="252"/>
  <c r="X369" i="252"/>
  <c r="AB369" i="252"/>
  <c r="AA369" i="252"/>
  <c r="G365" i="252"/>
  <c r="G427" i="252"/>
  <c r="G442" i="252"/>
  <c r="T344" i="252"/>
  <c r="AB345" i="252"/>
  <c r="I344" i="252"/>
  <c r="M344" i="252"/>
  <c r="I427" i="252" s="1"/>
  <c r="Q344" i="252"/>
  <c r="U344" i="252"/>
  <c r="I442" i="252" s="1"/>
  <c r="Y344" i="252"/>
  <c r="AC344" i="252"/>
  <c r="I345" i="252"/>
  <c r="M345" i="252"/>
  <c r="Q345" i="252"/>
  <c r="U345" i="252"/>
  <c r="Y345" i="252"/>
  <c r="AC345" i="252"/>
  <c r="H424" i="252"/>
  <c r="L344" i="252"/>
  <c r="X344" i="252"/>
  <c r="L345" i="252"/>
  <c r="X345" i="252"/>
  <c r="U182" i="252"/>
  <c r="H341" i="252"/>
  <c r="P341" i="252"/>
  <c r="T341" i="252"/>
  <c r="AB341" i="252"/>
  <c r="J344" i="252"/>
  <c r="N344" i="252"/>
  <c r="R344" i="252"/>
  <c r="I432" i="252" s="1"/>
  <c r="V344" i="252"/>
  <c r="Z344" i="252"/>
  <c r="AD344" i="252"/>
  <c r="P344" i="252"/>
  <c r="U228" i="252"/>
  <c r="G344" i="252"/>
  <c r="K344" i="252"/>
  <c r="O344" i="252"/>
  <c r="S344" i="252"/>
  <c r="I437" i="252" s="1"/>
  <c r="W344" i="252"/>
  <c r="AA344" i="252"/>
  <c r="M274" i="252"/>
  <c r="M289" i="252" s="1"/>
  <c r="J274" i="252"/>
  <c r="J290" i="252" s="1"/>
  <c r="N274" i="252"/>
  <c r="N290" i="252" s="1"/>
  <c r="G274" i="252"/>
  <c r="G294" i="252" s="1"/>
  <c r="I274" i="252"/>
  <c r="I296" i="252" s="1"/>
  <c r="L274" i="252"/>
  <c r="L289" i="252" s="1"/>
  <c r="P274" i="252"/>
  <c r="P297" i="252" s="1"/>
  <c r="T274" i="252"/>
  <c r="T293" i="252" s="1"/>
  <c r="K274" i="252"/>
  <c r="K290" i="252" s="1"/>
  <c r="S274" i="252"/>
  <c r="S290" i="252" s="1"/>
  <c r="G321" i="252"/>
  <c r="G320" i="252"/>
  <c r="I422" i="252" s="1"/>
  <c r="G317" i="252"/>
  <c r="K321" i="252"/>
  <c r="K320" i="252"/>
  <c r="I426" i="252" s="1"/>
  <c r="K317" i="252"/>
  <c r="O321" i="252"/>
  <c r="O320" i="252"/>
  <c r="I431" i="252" s="1"/>
  <c r="O317" i="252"/>
  <c r="S321" i="252"/>
  <c r="S320" i="252"/>
  <c r="I436" i="252" s="1"/>
  <c r="S317" i="252"/>
  <c r="W321" i="252"/>
  <c r="W320" i="252"/>
  <c r="W317" i="252"/>
  <c r="AA321" i="252"/>
  <c r="AA320" i="252"/>
  <c r="AA317" i="252"/>
  <c r="L317" i="252"/>
  <c r="T317" i="252"/>
  <c r="AB317" i="252"/>
  <c r="L320" i="252"/>
  <c r="T320" i="252"/>
  <c r="AB320" i="252"/>
  <c r="J317" i="252"/>
  <c r="N317" i="252"/>
  <c r="R317" i="252"/>
  <c r="V317" i="252"/>
  <c r="Z317" i="252"/>
  <c r="AD317" i="252"/>
  <c r="J320" i="252"/>
  <c r="N320" i="252"/>
  <c r="R320" i="252"/>
  <c r="V320" i="252"/>
  <c r="Z320" i="252"/>
  <c r="AD320" i="252"/>
  <c r="Z283" i="252"/>
  <c r="AC36" i="252"/>
  <c r="Z36" i="252"/>
  <c r="AA36" i="252"/>
  <c r="Y36" i="252"/>
  <c r="AB36" i="252"/>
  <c r="U323" i="43"/>
  <c r="X338" i="43"/>
  <c r="AD36" i="252"/>
  <c r="X286" i="252"/>
  <c r="X282" i="252" s="1"/>
  <c r="Y286" i="252"/>
  <c r="R309" i="43"/>
  <c r="T314" i="43"/>
  <c r="X331" i="43"/>
  <c r="T338" i="43"/>
  <c r="U344" i="43"/>
  <c r="U360" i="43"/>
  <c r="Z327" i="43"/>
  <c r="Z658" i="43"/>
  <c r="W360" i="43"/>
  <c r="Y323" i="43"/>
  <c r="U352" i="43"/>
  <c r="U310" i="43"/>
  <c r="Y311" i="43"/>
  <c r="Q595" i="43"/>
  <c r="AC31" i="252"/>
  <c r="N604" i="43"/>
  <c r="P582" i="43"/>
  <c r="N583" i="43"/>
  <c r="Q597" i="43"/>
  <c r="Q607" i="43"/>
  <c r="O584" i="43"/>
  <c r="R584" i="43"/>
  <c r="N605" i="43"/>
  <c r="U327" i="43"/>
  <c r="Z359" i="43"/>
  <c r="N582" i="43"/>
  <c r="Q605" i="43"/>
  <c r="P586" i="43"/>
  <c r="O582" i="43"/>
  <c r="N607" i="43"/>
  <c r="O606" i="43"/>
  <c r="O608" i="43"/>
  <c r="Q583" i="43"/>
  <c r="O604" i="43"/>
  <c r="AG19" i="43"/>
  <c r="V362" i="43"/>
  <c r="P610" i="43"/>
  <c r="P604" i="43"/>
  <c r="P606" i="43"/>
  <c r="P608" i="43"/>
  <c r="R605" i="43"/>
  <c r="R607" i="43"/>
  <c r="Q582" i="43"/>
  <c r="R583" i="43"/>
  <c r="P585" i="43"/>
  <c r="Q586" i="43"/>
  <c r="O585" i="43"/>
  <c r="M584" i="43"/>
  <c r="M586" i="43"/>
  <c r="P594" i="43"/>
  <c r="P596" i="43"/>
  <c r="Q593" i="43"/>
  <c r="M606" i="43"/>
  <c r="M608" i="43"/>
  <c r="Z310" i="43"/>
  <c r="R347" i="43"/>
  <c r="R355" i="43"/>
  <c r="Q610" i="43"/>
  <c r="O605" i="43"/>
  <c r="Q604" i="43"/>
  <c r="Q606" i="43"/>
  <c r="R582" i="43"/>
  <c r="P584" i="43"/>
  <c r="Q585" i="43"/>
  <c r="R586" i="43"/>
  <c r="O586" i="43"/>
  <c r="N584" i="43"/>
  <c r="N586" i="43"/>
  <c r="Q594" i="43"/>
  <c r="R593" i="43"/>
  <c r="N606" i="43"/>
  <c r="N608" i="43"/>
  <c r="Z328" i="43"/>
  <c r="U332" i="43"/>
  <c r="V336" i="43"/>
  <c r="Z347" i="43"/>
  <c r="R352" i="43"/>
  <c r="Z355" i="43"/>
  <c r="P605" i="43"/>
  <c r="R604" i="43"/>
  <c r="R606" i="43"/>
  <c r="M583" i="43"/>
  <c r="P595" i="43"/>
  <c r="M605" i="43"/>
  <c r="V309" i="43"/>
  <c r="S323" i="43"/>
  <c r="R327" i="43"/>
  <c r="V358" i="43"/>
  <c r="R335" i="43"/>
  <c r="V335" i="43"/>
  <c r="T361" i="43"/>
  <c r="X361" i="43"/>
  <c r="AB361" i="43"/>
  <c r="V556" i="43"/>
  <c r="Z556" i="43"/>
  <c r="AD556" i="43"/>
  <c r="J625" i="43"/>
  <c r="N625" i="43"/>
  <c r="R625" i="43"/>
  <c r="V625" i="43"/>
  <c r="Z315" i="43"/>
  <c r="R354" i="43"/>
  <c r="Z332" i="43"/>
  <c r="U362" i="43"/>
  <c r="Y362" i="43"/>
  <c r="AA310" i="43"/>
  <c r="AA312" i="43" s="1"/>
  <c r="S311" i="43"/>
  <c r="V327" i="43"/>
  <c r="R332" i="43"/>
  <c r="Z346" i="43"/>
  <c r="V355" i="43"/>
  <c r="Y358" i="43"/>
  <c r="P377" i="43"/>
  <c r="P379" i="43" s="1"/>
  <c r="Y406" i="43"/>
  <c r="Y408" i="43" s="1"/>
  <c r="Y412" i="43" s="1"/>
  <c r="U328" i="43"/>
  <c r="Y319" i="43"/>
  <c r="U331" i="43"/>
  <c r="Y332" i="43"/>
  <c r="W338" i="43"/>
  <c r="V347" i="43"/>
  <c r="U358" i="43"/>
  <c r="X402" i="43"/>
  <c r="X336" i="43" s="1"/>
  <c r="S362" i="43"/>
  <c r="Z309" i="43"/>
  <c r="W311" i="43"/>
  <c r="W312" i="43" s="1"/>
  <c r="AA314" i="43"/>
  <c r="R315" i="43"/>
  <c r="AA331" i="43"/>
  <c r="V332" i="43"/>
  <c r="Z335" i="43"/>
  <c r="R346" i="43"/>
  <c r="V354" i="43"/>
  <c r="T358" i="43"/>
  <c r="S314" i="43"/>
  <c r="AB314" i="43"/>
  <c r="V315" i="43"/>
  <c r="AA323" i="43"/>
  <c r="T331" i="43"/>
  <c r="AB331" i="43"/>
  <c r="AA336" i="43"/>
  <c r="AB338" i="43"/>
  <c r="Y344" i="43"/>
  <c r="V346" i="43"/>
  <c r="W347" i="43"/>
  <c r="Y352" i="43"/>
  <c r="Z354" i="43"/>
  <c r="AA355" i="43"/>
  <c r="Z358" i="43"/>
  <c r="Q377" i="43"/>
  <c r="Q379" i="43" s="1"/>
  <c r="U377" i="43"/>
  <c r="U379" i="43" s="1"/>
  <c r="P625" i="43"/>
  <c r="AA345" i="43"/>
  <c r="T328" i="43"/>
  <c r="W362" i="43"/>
  <c r="AA362" i="43"/>
  <c r="S315" i="43"/>
  <c r="AA315" i="43"/>
  <c r="S324" i="43"/>
  <c r="AA332" i="43"/>
  <c r="S353" i="43"/>
  <c r="T355" i="43"/>
  <c r="W314" i="43"/>
  <c r="W324" i="43"/>
  <c r="W331" i="43"/>
  <c r="W332" i="43"/>
  <c r="S338" i="43"/>
  <c r="AA338" i="43"/>
  <c r="T344" i="43"/>
  <c r="S345" i="43"/>
  <c r="T347" i="43"/>
  <c r="W353" i="43"/>
  <c r="T359" i="43"/>
  <c r="Y232" i="43"/>
  <c r="W315" i="43"/>
  <c r="AA324" i="43"/>
  <c r="S331" i="43"/>
  <c r="S332" i="43"/>
  <c r="W345" i="43"/>
  <c r="AA353" i="43"/>
  <c r="W358" i="43"/>
  <c r="W438" i="43"/>
  <c r="W352" i="43"/>
  <c r="Y361" i="43"/>
  <c r="AA309" i="43"/>
  <c r="T311" i="43"/>
  <c r="Y314" i="43"/>
  <c r="AB347" i="43"/>
  <c r="AB355" i="43"/>
  <c r="R358" i="43"/>
  <c r="Y328" i="43"/>
  <c r="Z570" i="43"/>
  <c r="AD570" i="43"/>
  <c r="Y463" i="43"/>
  <c r="Y345" i="43" s="1"/>
  <c r="U361" i="43"/>
  <c r="U314" i="43"/>
  <c r="X315" i="43"/>
  <c r="T320" i="43"/>
  <c r="X321" i="43"/>
  <c r="W323" i="43"/>
  <c r="Y338" i="43"/>
  <c r="AB354" i="43"/>
  <c r="X355" i="43"/>
  <c r="T310" i="43"/>
  <c r="Z312" i="43"/>
  <c r="X311" i="43"/>
  <c r="AA328" i="43"/>
  <c r="Y331" i="43"/>
  <c r="T336" i="43"/>
  <c r="U338" i="43"/>
  <c r="X347" i="43"/>
  <c r="T354" i="43"/>
  <c r="R362" i="43"/>
  <c r="Z362" i="43"/>
  <c r="V582" i="43"/>
  <c r="AB375" i="43"/>
  <c r="AB309" i="43"/>
  <c r="U311" i="43"/>
  <c r="T315" i="43"/>
  <c r="U320" i="43"/>
  <c r="Y322" i="43"/>
  <c r="AB323" i="43"/>
  <c r="AB327" i="43"/>
  <c r="AB328" i="43"/>
  <c r="T335" i="43"/>
  <c r="AB335" i="43"/>
  <c r="U343" i="43"/>
  <c r="X346" i="43"/>
  <c r="S347" i="43"/>
  <c r="W355" i="43"/>
  <c r="U359" i="43"/>
  <c r="S358" i="43"/>
  <c r="R328" i="43"/>
  <c r="V328" i="43"/>
  <c r="V361" i="43"/>
  <c r="Z361" i="43"/>
  <c r="S361" i="43"/>
  <c r="W361" i="43"/>
  <c r="AA361" i="43"/>
  <c r="X556" i="43"/>
  <c r="AB556" i="43"/>
  <c r="Z583" i="43"/>
  <c r="AG31" i="43"/>
  <c r="AB209" i="43"/>
  <c r="X309" i="43"/>
  <c r="AB310" i="43"/>
  <c r="X323" i="43"/>
  <c r="R324" i="43"/>
  <c r="T332" i="43"/>
  <c r="X332" i="43"/>
  <c r="AB332" i="43"/>
  <c r="AB336" i="43"/>
  <c r="R353" i="43"/>
  <c r="X354" i="43"/>
  <c r="S355" i="43"/>
  <c r="T375" i="43"/>
  <c r="AB492" i="43"/>
  <c r="T362" i="43"/>
  <c r="X362" i="43"/>
  <c r="AB362" i="43"/>
  <c r="X570" i="43"/>
  <c r="AB570" i="43"/>
  <c r="Z625" i="43"/>
  <c r="W607" i="43"/>
  <c r="T309" i="43"/>
  <c r="Y310" i="43"/>
  <c r="AB315" i="43"/>
  <c r="Y321" i="43"/>
  <c r="T323" i="43"/>
  <c r="X327" i="43"/>
  <c r="X335" i="43"/>
  <c r="Y336" i="43"/>
  <c r="T346" i="43"/>
  <c r="AA347" i="43"/>
  <c r="U351" i="43"/>
  <c r="X358" i="43"/>
  <c r="Y359" i="43"/>
  <c r="AA406" i="43"/>
  <c r="AA408" i="43" s="1"/>
  <c r="Y570" i="43"/>
  <c r="Y584" i="43"/>
  <c r="Z593" i="43"/>
  <c r="V596" i="43"/>
  <c r="AH19" i="43"/>
  <c r="AI192" i="43"/>
  <c r="T463" i="43"/>
  <c r="T353" i="43" s="1"/>
  <c r="T324" i="43"/>
  <c r="AB463" i="43"/>
  <c r="AB324" i="43"/>
  <c r="AI31" i="43"/>
  <c r="S438" i="43"/>
  <c r="S344" i="43"/>
  <c r="S352" i="43"/>
  <c r="AA438" i="43"/>
  <c r="AA352" i="43"/>
  <c r="AA344" i="43"/>
  <c r="W492" i="43"/>
  <c r="W346" i="43"/>
  <c r="W354" i="43"/>
  <c r="AA492" i="43"/>
  <c r="AA346" i="43"/>
  <c r="AA354" i="43"/>
  <c r="W586" i="43"/>
  <c r="AH31" i="43"/>
  <c r="Y175" i="43"/>
  <c r="U315" i="43"/>
  <c r="Y315" i="43"/>
  <c r="R323" i="43"/>
  <c r="V323" i="43"/>
  <c r="Z323" i="43"/>
  <c r="X324" i="43"/>
  <c r="Y335" i="43"/>
  <c r="R336" i="43"/>
  <c r="R345" i="43"/>
  <c r="X345" i="43"/>
  <c r="X353" i="43"/>
  <c r="U355" i="43"/>
  <c r="Y355" i="43"/>
  <c r="Z406" i="43"/>
  <c r="AA570" i="43"/>
  <c r="Z604" i="43"/>
  <c r="I625" i="43"/>
  <c r="M625" i="43"/>
  <c r="Q625" i="43"/>
  <c r="U625" i="43"/>
  <c r="Y625" i="43"/>
  <c r="W608" i="43"/>
  <c r="V597" i="43"/>
  <c r="U335" i="43"/>
  <c r="U309" i="43"/>
  <c r="Y309" i="43"/>
  <c r="U319" i="43"/>
  <c r="Z324" i="43"/>
  <c r="R331" i="43"/>
  <c r="V331" i="43"/>
  <c r="Z331" i="43"/>
  <c r="R338" i="43"/>
  <c r="V338" i="43"/>
  <c r="Z338" i="43"/>
  <c r="R344" i="43"/>
  <c r="V344" i="43"/>
  <c r="Z344" i="43"/>
  <c r="U347" i="43"/>
  <c r="Y347" i="43"/>
  <c r="Z352" i="43"/>
  <c r="Z353" i="43"/>
  <c r="R361" i="43"/>
  <c r="X377" i="43"/>
  <c r="X342" i="43" s="1"/>
  <c r="U585" i="43"/>
  <c r="Z597" i="43"/>
  <c r="V594" i="43"/>
  <c r="R610" i="43"/>
  <c r="AC556" i="43"/>
  <c r="AG187" i="43"/>
  <c r="R311" i="43"/>
  <c r="R312" i="43" s="1"/>
  <c r="V311" i="43"/>
  <c r="V312" i="43" s="1"/>
  <c r="R314" i="43"/>
  <c r="V314" i="43"/>
  <c r="Z314" i="43"/>
  <c r="V324" i="43"/>
  <c r="Y327" i="43"/>
  <c r="W344" i="43"/>
  <c r="V345" i="43"/>
  <c r="Z345" i="43"/>
  <c r="V352" i="43"/>
  <c r="V353" i="43"/>
  <c r="AB406" i="43"/>
  <c r="AB408" i="43" s="1"/>
  <c r="W556" i="43"/>
  <c r="AA556" i="43"/>
  <c r="AC570" i="43"/>
  <c r="W604" i="43"/>
  <c r="Z610" i="43"/>
  <c r="K625" i="43"/>
  <c r="O625" i="43"/>
  <c r="S625" i="43"/>
  <c r="W625" i="43"/>
  <c r="AA625" i="43"/>
  <c r="Z608" i="43"/>
  <c r="W606" i="43"/>
  <c r="S595" i="43"/>
  <c r="V610" i="43"/>
  <c r="L3" i="43"/>
  <c r="Y71" i="43"/>
  <c r="Y45" i="43"/>
  <c r="Y46" i="43"/>
  <c r="Y317" i="43"/>
  <c r="Y61" i="43"/>
  <c r="Y157" i="43" s="1"/>
  <c r="Y11" i="43"/>
  <c r="Y36" i="43"/>
  <c r="Y333" i="43" s="1"/>
  <c r="Y40" i="43"/>
  <c r="Y340" i="43" s="1"/>
  <c r="AI173" i="43"/>
  <c r="AH187" i="43"/>
  <c r="AH212" i="43"/>
  <c r="AG186" i="43"/>
  <c r="AB199" i="43"/>
  <c r="Y143" i="43"/>
  <c r="Y147" i="43" s="1"/>
  <c r="Y153" i="43" s="1"/>
  <c r="Y154" i="43" s="1"/>
  <c r="AA226" i="43"/>
  <c r="Y233" i="43"/>
  <c r="Y231" i="43"/>
  <c r="AQ313" i="43"/>
  <c r="V377" i="43"/>
  <c r="V319" i="43"/>
  <c r="U492" i="43"/>
  <c r="U354" i="43"/>
  <c r="U346" i="43"/>
  <c r="Y492" i="43"/>
  <c r="Y354" i="43"/>
  <c r="Y346" i="43"/>
  <c r="S492" i="43"/>
  <c r="S354" i="43"/>
  <c r="S346" i="43"/>
  <c r="W406" i="43"/>
  <c r="W359" i="43"/>
  <c r="W336" i="43"/>
  <c r="W328" i="43"/>
  <c r="Y350" i="43"/>
  <c r="Y342" i="43"/>
  <c r="Y379" i="43"/>
  <c r="T412" i="43"/>
  <c r="T351" i="43"/>
  <c r="X438" i="43"/>
  <c r="X352" i="43"/>
  <c r="AB438" i="43"/>
  <c r="AB352" i="43"/>
  <c r="T438" i="43"/>
  <c r="R377" i="43"/>
  <c r="R319" i="43"/>
  <c r="Z377" i="43"/>
  <c r="Z319" i="43"/>
  <c r="T585" i="43"/>
  <c r="T584" i="43"/>
  <c r="T582" i="43"/>
  <c r="X585" i="43"/>
  <c r="X583" i="43"/>
  <c r="X586" i="43"/>
  <c r="T596" i="43"/>
  <c r="T595" i="43"/>
  <c r="X597" i="43"/>
  <c r="X596" i="43"/>
  <c r="X594" i="43"/>
  <c r="X595" i="43"/>
  <c r="S375" i="43"/>
  <c r="S335" i="43"/>
  <c r="S327" i="43"/>
  <c r="W375" i="43"/>
  <c r="W335" i="43"/>
  <c r="W327" i="43"/>
  <c r="AA375" i="43"/>
  <c r="AA335" i="43"/>
  <c r="AA327" i="43"/>
  <c r="R406" i="43"/>
  <c r="R359" i="43"/>
  <c r="V406" i="43"/>
  <c r="V359" i="43"/>
  <c r="S328" i="43"/>
  <c r="U463" i="43"/>
  <c r="U324" i="43"/>
  <c r="Y556" i="43"/>
  <c r="T625" i="43"/>
  <c r="X625" i="43"/>
  <c r="T606" i="43"/>
  <c r="T610" i="43"/>
  <c r="X604" i="43"/>
  <c r="X610" i="43"/>
  <c r="X608" i="43"/>
  <c r="X607" i="43"/>
  <c r="X606" i="43"/>
  <c r="X605" i="43"/>
  <c r="L625" i="43"/>
  <c r="AB625" i="43"/>
  <c r="Z582" i="43"/>
  <c r="Z584" i="43"/>
  <c r="Z594" i="43"/>
  <c r="Z605" i="43"/>
  <c r="W594" i="43"/>
  <c r="Y595" i="43"/>
  <c r="W596" i="43"/>
  <c r="S610" i="43"/>
  <c r="W610" i="43"/>
  <c r="S584" i="43"/>
  <c r="Z585" i="43"/>
  <c r="Z595" i="43"/>
  <c r="Z606" i="43"/>
  <c r="Y605" i="43"/>
  <c r="Y606" i="43"/>
  <c r="Y607" i="43"/>
  <c r="Y608" i="43"/>
  <c r="R596" i="43"/>
  <c r="X593" i="43"/>
  <c r="Y593" i="43"/>
  <c r="V605" i="43"/>
  <c r="V606" i="43"/>
  <c r="V607" i="43"/>
  <c r="R594" i="43"/>
  <c r="Y594" i="43"/>
  <c r="W595" i="43"/>
  <c r="S596" i="43"/>
  <c r="Y596" i="43"/>
  <c r="Y597" i="43"/>
  <c r="U610" i="43"/>
  <c r="Y610" i="43"/>
  <c r="R595" i="43"/>
  <c r="S582" i="43"/>
  <c r="S605" i="43"/>
  <c r="S607" i="43"/>
  <c r="S604" i="43"/>
  <c r="S606" i="43"/>
  <c r="S597" i="43"/>
  <c r="S593" i="43"/>
  <c r="S583" i="43"/>
  <c r="S586" i="43"/>
  <c r="T605" i="43"/>
  <c r="T604" i="43"/>
  <c r="T608" i="43"/>
  <c r="T607" i="43"/>
  <c r="T594" i="43"/>
  <c r="T597" i="43"/>
  <c r="T593" i="43"/>
  <c r="T586" i="43"/>
  <c r="T583" i="43"/>
  <c r="V604" i="43"/>
  <c r="U604" i="43"/>
  <c r="U605" i="43"/>
  <c r="U606" i="43"/>
  <c r="U607" i="43"/>
  <c r="V593" i="43"/>
  <c r="U593" i="43"/>
  <c r="U594" i="43"/>
  <c r="U595" i="43"/>
  <c r="U596" i="43"/>
  <c r="U584" i="43"/>
  <c r="U583" i="43"/>
  <c r="U582" i="43"/>
  <c r="V583" i="43"/>
  <c r="V584" i="43"/>
  <c r="V585" i="43"/>
  <c r="V586" i="43"/>
  <c r="W593" i="43"/>
  <c r="W582" i="43"/>
  <c r="W583" i="43"/>
  <c r="W584" i="43"/>
  <c r="X584" i="43"/>
  <c r="X582" i="43"/>
  <c r="Y582" i="43"/>
  <c r="Y604" i="43"/>
  <c r="Y583" i="43"/>
  <c r="Y585" i="43"/>
  <c r="C14" i="22"/>
  <c r="C12" i="22"/>
  <c r="H274" i="252" l="1"/>
  <c r="H291" i="252" s="1"/>
  <c r="I275" i="252"/>
  <c r="I283" i="252" s="1"/>
  <c r="R74" i="252"/>
  <c r="U296" i="252"/>
  <c r="U297" i="252"/>
  <c r="V33" i="252"/>
  <c r="J132" i="252"/>
  <c r="J137" i="252" s="1"/>
  <c r="U33" i="252"/>
  <c r="K47" i="252"/>
  <c r="M259" i="252"/>
  <c r="M21" i="252"/>
  <c r="U290" i="252"/>
  <c r="U275" i="252"/>
  <c r="U283" i="252" s="1"/>
  <c r="M275" i="252"/>
  <c r="M283" i="252" s="1"/>
  <c r="T51" i="252"/>
  <c r="P257" i="252"/>
  <c r="T74" i="252"/>
  <c r="S51" i="252"/>
  <c r="S33" i="252"/>
  <c r="R274" i="252"/>
  <c r="R292" i="252" s="1"/>
  <c r="Q297" i="252"/>
  <c r="O170" i="252"/>
  <c r="K220" i="252"/>
  <c r="L225" i="252"/>
  <c r="S220" i="252"/>
  <c r="T223" i="252" s="1"/>
  <c r="T225" i="252"/>
  <c r="O220" i="252"/>
  <c r="P215" i="252" s="1"/>
  <c r="O232" i="252"/>
  <c r="P225" i="252"/>
  <c r="Q296" i="252"/>
  <c r="S74" i="252"/>
  <c r="V245" i="252"/>
  <c r="V133" i="252"/>
  <c r="R232" i="252"/>
  <c r="U292" i="252"/>
  <c r="U279" i="252"/>
  <c r="U291" i="252"/>
  <c r="Q275" i="252"/>
  <c r="Q283" i="252" s="1"/>
  <c r="U225" i="252"/>
  <c r="T220" i="252"/>
  <c r="U215" i="252" s="1"/>
  <c r="T232" i="252"/>
  <c r="N257" i="252"/>
  <c r="V244" i="252"/>
  <c r="V216" i="252"/>
  <c r="V126" i="252" s="1"/>
  <c r="Q462" i="252"/>
  <c r="Q461" i="252"/>
  <c r="P45" i="252"/>
  <c r="P21" i="252"/>
  <c r="H202" i="252"/>
  <c r="H81" i="252"/>
  <c r="H85" i="252" s="1"/>
  <c r="Q232" i="252"/>
  <c r="R132" i="252"/>
  <c r="R137" i="252" s="1"/>
  <c r="X87" i="252"/>
  <c r="W116" i="252"/>
  <c r="Z62" i="252"/>
  <c r="Y63" i="252"/>
  <c r="Y33" i="252" s="1"/>
  <c r="I79" i="252"/>
  <c r="I173" i="252" s="1"/>
  <c r="I48" i="252"/>
  <c r="I59" i="252"/>
  <c r="I42" i="252"/>
  <c r="I43" i="252" s="1"/>
  <c r="I17" i="252"/>
  <c r="I47" i="252"/>
  <c r="J210" i="252"/>
  <c r="M194" i="252"/>
  <c r="M195" i="252" s="1"/>
  <c r="M91" i="252"/>
  <c r="N278" i="252"/>
  <c r="N37" i="252" s="1"/>
  <c r="N130" i="252"/>
  <c r="K223" i="252"/>
  <c r="K174" i="252"/>
  <c r="K231" i="252"/>
  <c r="K175" i="252"/>
  <c r="K242" i="252"/>
  <c r="K202" i="252"/>
  <c r="K177" i="252"/>
  <c r="K173" i="252"/>
  <c r="K81" i="252"/>
  <c r="K85" i="252" s="1"/>
  <c r="U231" i="252"/>
  <c r="U202" i="252"/>
  <c r="U242" i="252"/>
  <c r="U223" i="252"/>
  <c r="U174" i="252"/>
  <c r="U177" i="252"/>
  <c r="U173" i="252"/>
  <c r="U175" i="252"/>
  <c r="U81" i="252"/>
  <c r="U85" i="252" s="1"/>
  <c r="O45" i="252"/>
  <c r="O21" i="252"/>
  <c r="R17" i="252"/>
  <c r="R47" i="252"/>
  <c r="R42" i="252"/>
  <c r="R43" i="252" s="1"/>
  <c r="R79" i="252"/>
  <c r="R48" i="252"/>
  <c r="S223" i="252"/>
  <c r="S174" i="252"/>
  <c r="S231" i="252"/>
  <c r="S175" i="252"/>
  <c r="S177" i="252"/>
  <c r="S173" i="252"/>
  <c r="S81" i="252"/>
  <c r="S85" i="252" s="1"/>
  <c r="S242" i="252"/>
  <c r="S202" i="252"/>
  <c r="N210" i="252"/>
  <c r="K45" i="252"/>
  <c r="K21" i="252"/>
  <c r="K33" i="252"/>
  <c r="U23" i="252"/>
  <c r="U49" i="252"/>
  <c r="U46" i="252"/>
  <c r="K5" i="252"/>
  <c r="J6" i="252"/>
  <c r="S45" i="252"/>
  <c r="S21" i="252"/>
  <c r="G202" i="252"/>
  <c r="G81" i="252"/>
  <c r="G85" i="252" s="1"/>
  <c r="U289" i="252"/>
  <c r="U280" i="252"/>
  <c r="U295" i="252"/>
  <c r="O259" i="252"/>
  <c r="M225" i="252"/>
  <c r="L220" i="252"/>
  <c r="N189" i="252"/>
  <c r="N211" i="252"/>
  <c r="N259" i="252"/>
  <c r="U462" i="252"/>
  <c r="U461" i="252"/>
  <c r="H21" i="252"/>
  <c r="H45" i="252"/>
  <c r="N40" i="252"/>
  <c r="N176" i="252"/>
  <c r="U257" i="252"/>
  <c r="K137" i="252"/>
  <c r="N132" i="252"/>
  <c r="N137" i="252" s="1"/>
  <c r="P177" i="252"/>
  <c r="P231" i="252"/>
  <c r="P242" i="252"/>
  <c r="P202" i="252"/>
  <c r="P81" i="252"/>
  <c r="P85" i="252" s="1"/>
  <c r="Y106" i="252"/>
  <c r="X108" i="252"/>
  <c r="R40" i="252"/>
  <c r="J4" i="252"/>
  <c r="K3" i="252"/>
  <c r="Q23" i="252"/>
  <c r="Q49" i="252"/>
  <c r="Q46" i="252"/>
  <c r="M280" i="252"/>
  <c r="M37" i="252"/>
  <c r="X33" i="252"/>
  <c r="J89" i="252"/>
  <c r="J73" i="252"/>
  <c r="J72" i="252" s="1"/>
  <c r="J74" i="252" s="1"/>
  <c r="O223" i="252"/>
  <c r="O174" i="252"/>
  <c r="O231" i="252"/>
  <c r="O242" i="252"/>
  <c r="O202" i="252"/>
  <c r="O177" i="252"/>
  <c r="O173" i="252"/>
  <c r="O175" i="252"/>
  <c r="O81" i="252"/>
  <c r="O85" i="252" s="1"/>
  <c r="U74" i="252"/>
  <c r="Q225" i="252"/>
  <c r="P220" i="252"/>
  <c r="J461" i="252"/>
  <c r="J462" i="252"/>
  <c r="P173" i="252"/>
  <c r="P179" i="252"/>
  <c r="P181" i="252" s="1"/>
  <c r="Q179" i="252"/>
  <c r="Q181" i="252" s="1"/>
  <c r="M462" i="252"/>
  <c r="M461" i="252"/>
  <c r="M193" i="252"/>
  <c r="N188" i="252"/>
  <c r="L280" i="252"/>
  <c r="L37" i="252"/>
  <c r="P461" i="252"/>
  <c r="P462" i="252"/>
  <c r="O461" i="252"/>
  <c r="O462" i="252"/>
  <c r="L45" i="252"/>
  <c r="L21" i="252"/>
  <c r="T242" i="252"/>
  <c r="T177" i="252"/>
  <c r="T231" i="252"/>
  <c r="T202" i="252"/>
  <c r="T175" i="252"/>
  <c r="T174" i="252"/>
  <c r="T81" i="252"/>
  <c r="T85" i="252" s="1"/>
  <c r="R210" i="252"/>
  <c r="R211" i="252" s="1"/>
  <c r="R93" i="252"/>
  <c r="M188" i="252"/>
  <c r="M190" i="252" s="1"/>
  <c r="K181" i="252"/>
  <c r="M23" i="252"/>
  <c r="M46" i="252"/>
  <c r="M49" i="252"/>
  <c r="Q194" i="252"/>
  <c r="Q91" i="252"/>
  <c r="Q231" i="252"/>
  <c r="J15" i="252"/>
  <c r="J41" i="252"/>
  <c r="P259" i="252"/>
  <c r="J205" i="252"/>
  <c r="J211" i="252"/>
  <c r="U294" i="252"/>
  <c r="K259" i="252"/>
  <c r="U232" i="252"/>
  <c r="N461" i="252"/>
  <c r="N462" i="252"/>
  <c r="U201" i="252"/>
  <c r="X205" i="252"/>
  <c r="Y190" i="252"/>
  <c r="I462" i="252"/>
  <c r="J465" i="252" s="1"/>
  <c r="I461" i="252"/>
  <c r="J464" i="252" s="1"/>
  <c r="M232" i="252"/>
  <c r="O188" i="252"/>
  <c r="O190" i="252" s="1"/>
  <c r="N193" i="252"/>
  <c r="L461" i="252"/>
  <c r="M464" i="252" s="1"/>
  <c r="L462" i="252"/>
  <c r="K461" i="252"/>
  <c r="K462" i="252"/>
  <c r="T45" i="252"/>
  <c r="T21" i="252"/>
  <c r="N15" i="252"/>
  <c r="N59" i="252" s="1"/>
  <c r="N41" i="252"/>
  <c r="M210" i="252"/>
  <c r="M211" i="252" s="1"/>
  <c r="I179" i="252"/>
  <c r="I181" i="252" s="1"/>
  <c r="L177" i="252"/>
  <c r="L231" i="252"/>
  <c r="L242" i="252"/>
  <c r="L202" i="252"/>
  <c r="L175" i="252"/>
  <c r="L174" i="252"/>
  <c r="L81" i="252"/>
  <c r="L85" i="252" s="1"/>
  <c r="J179" i="252"/>
  <c r="J181" i="252" s="1"/>
  <c r="Q193" i="252"/>
  <c r="Q196" i="252" s="1"/>
  <c r="Q195" i="252"/>
  <c r="R188" i="252"/>
  <c r="R190" i="252" s="1"/>
  <c r="M33" i="252"/>
  <c r="R255" i="252"/>
  <c r="R130" i="252"/>
  <c r="J93" i="252"/>
  <c r="N60" i="252"/>
  <c r="R41" i="252"/>
  <c r="G45" i="252"/>
  <c r="G21" i="252"/>
  <c r="R59" i="252"/>
  <c r="S312" i="43"/>
  <c r="S336" i="43"/>
  <c r="S406" i="43"/>
  <c r="S359" i="43"/>
  <c r="Q277" i="252"/>
  <c r="T275" i="252"/>
  <c r="T283" i="252" s="1"/>
  <c r="Q292" i="252"/>
  <c r="U277" i="252"/>
  <c r="H290" i="252"/>
  <c r="H284" i="252"/>
  <c r="L296" i="252"/>
  <c r="R297" i="252"/>
  <c r="Q293" i="252"/>
  <c r="G292" i="252"/>
  <c r="N293" i="252"/>
  <c r="Q295" i="252"/>
  <c r="Q294" i="252"/>
  <c r="Q290" i="252"/>
  <c r="Q289" i="252"/>
  <c r="O274" i="252"/>
  <c r="R276" i="252" s="1"/>
  <c r="Q291" i="252"/>
  <c r="P285" i="252" a="1"/>
  <c r="P285" i="252" s="1"/>
  <c r="P35" i="252" s="1"/>
  <c r="J292" i="252"/>
  <c r="O293" i="252"/>
  <c r="G293" i="252"/>
  <c r="G290" i="252"/>
  <c r="P275" i="252"/>
  <c r="P283" i="252" s="1"/>
  <c r="U285" i="252" a="1"/>
  <c r="U285" i="252" s="1"/>
  <c r="U286" i="252" s="1"/>
  <c r="Z97" i="252"/>
  <c r="S297" i="252"/>
  <c r="N297" i="252"/>
  <c r="I290" i="252"/>
  <c r="I293" i="252"/>
  <c r="J291" i="252"/>
  <c r="J289" i="252"/>
  <c r="Q285" i="252" a="1"/>
  <c r="Q285" i="252" s="1"/>
  <c r="Q35" i="252" s="1"/>
  <c r="J295" i="252"/>
  <c r="I285" i="252" a="1"/>
  <c r="I285" i="252" s="1"/>
  <c r="M295" i="252"/>
  <c r="J297" i="252"/>
  <c r="S293" i="252"/>
  <c r="M293" i="252"/>
  <c r="J296" i="252"/>
  <c r="J293" i="252"/>
  <c r="G295" i="252"/>
  <c r="I292" i="252"/>
  <c r="H296" i="252"/>
  <c r="G296" i="252"/>
  <c r="G289" i="252"/>
  <c r="H285" i="252" a="1"/>
  <c r="H285" i="252" s="1"/>
  <c r="I297" i="252"/>
  <c r="G291" i="252"/>
  <c r="I295" i="252"/>
  <c r="H295" i="252"/>
  <c r="G297" i="252"/>
  <c r="I294" i="252"/>
  <c r="H294" i="252"/>
  <c r="S295" i="252"/>
  <c r="H292" i="252"/>
  <c r="R293" i="252"/>
  <c r="T290" i="252"/>
  <c r="S289" i="252"/>
  <c r="S291" i="252"/>
  <c r="K289" i="252"/>
  <c r="K297" i="252"/>
  <c r="K295" i="252"/>
  <c r="K293" i="252"/>
  <c r="T297" i="252"/>
  <c r="T294" i="252"/>
  <c r="P292" i="252"/>
  <c r="P290" i="252"/>
  <c r="P293" i="252"/>
  <c r="K424" i="252"/>
  <c r="M285" i="252" a="1"/>
  <c r="M285" i="252" s="1"/>
  <c r="P296" i="252"/>
  <c r="P294" i="252"/>
  <c r="L292" i="252"/>
  <c r="N294" i="252"/>
  <c r="H275" i="252"/>
  <c r="G423" i="252"/>
  <c r="H423" i="252"/>
  <c r="H282" i="252"/>
  <c r="G422" i="252"/>
  <c r="G275" i="252"/>
  <c r="G285" i="252" a="1"/>
  <c r="G285" i="252" s="1"/>
  <c r="T280" i="252"/>
  <c r="T277" i="252"/>
  <c r="T279" i="252"/>
  <c r="R285" i="252" a="1"/>
  <c r="R285" i="252" s="1"/>
  <c r="R275" i="252"/>
  <c r="R283" i="252" s="1"/>
  <c r="G426" i="252"/>
  <c r="K275" i="252"/>
  <c r="K283" i="252" s="1"/>
  <c r="K285" i="252" a="1"/>
  <c r="K285" i="252" s="1"/>
  <c r="L297" i="252"/>
  <c r="L293" i="252"/>
  <c r="T289" i="252"/>
  <c r="N280" i="252"/>
  <c r="N277" i="252"/>
  <c r="M279" i="252"/>
  <c r="M277" i="252"/>
  <c r="L275" i="252"/>
  <c r="L283" i="252" s="1"/>
  <c r="L285" i="252" a="1"/>
  <c r="L285" i="252" s="1"/>
  <c r="L277" i="252"/>
  <c r="L279" i="252"/>
  <c r="G431" i="252"/>
  <c r="O275" i="252"/>
  <c r="O283" i="252" s="1"/>
  <c r="O285" i="252" a="1"/>
  <c r="O285" i="252" s="1"/>
  <c r="T285" i="252" a="1"/>
  <c r="T285" i="252" s="1"/>
  <c r="S277" i="252"/>
  <c r="S279" i="252"/>
  <c r="S294" i="252"/>
  <c r="S292" i="252"/>
  <c r="S280" i="252"/>
  <c r="S296" i="252"/>
  <c r="T296" i="252"/>
  <c r="T295" i="252"/>
  <c r="L294" i="252"/>
  <c r="T292" i="252"/>
  <c r="T291" i="252"/>
  <c r="L290" i="252"/>
  <c r="P289" i="252"/>
  <c r="H289" i="252"/>
  <c r="M291" i="252"/>
  <c r="I279" i="252"/>
  <c r="I277" i="252"/>
  <c r="L276" i="252"/>
  <c r="K291" i="252"/>
  <c r="I289" i="252"/>
  <c r="G277" i="252"/>
  <c r="J276" i="252"/>
  <c r="G279" i="252"/>
  <c r="H276" i="252"/>
  <c r="I276" i="252"/>
  <c r="G276" i="252"/>
  <c r="R296" i="252"/>
  <c r="N295" i="252"/>
  <c r="J294" i="252"/>
  <c r="N291" i="252"/>
  <c r="N289" i="252"/>
  <c r="N275" i="252"/>
  <c r="N283" i="252" s="1"/>
  <c r="N285" i="252" a="1"/>
  <c r="N285" i="252" s="1"/>
  <c r="J275" i="252"/>
  <c r="J283" i="252" s="1"/>
  <c r="J285" i="252" a="1"/>
  <c r="J285" i="252" s="1"/>
  <c r="G436" i="252"/>
  <c r="S275" i="252"/>
  <c r="S283" i="252" s="1"/>
  <c r="S285" i="252" a="1"/>
  <c r="S285" i="252" s="1"/>
  <c r="M296" i="252"/>
  <c r="M294" i="252"/>
  <c r="M292" i="252"/>
  <c r="M290" i="252"/>
  <c r="K277" i="252"/>
  <c r="N276" i="252"/>
  <c r="K279" i="252"/>
  <c r="K296" i="252"/>
  <c r="K280" i="252"/>
  <c r="K292" i="252"/>
  <c r="K294" i="252"/>
  <c r="L295" i="252"/>
  <c r="L291" i="252"/>
  <c r="P279" i="252"/>
  <c r="S276" i="252"/>
  <c r="P291" i="252"/>
  <c r="P277" i="252"/>
  <c r="H280" i="252"/>
  <c r="H297" i="252"/>
  <c r="H293" i="252"/>
  <c r="H277" i="252"/>
  <c r="H279" i="252"/>
  <c r="K276" i="252"/>
  <c r="N296" i="252"/>
  <c r="N292" i="252"/>
  <c r="R280" i="252"/>
  <c r="R279" i="252"/>
  <c r="R277" i="252"/>
  <c r="J280" i="252"/>
  <c r="J279" i="252"/>
  <c r="M276" i="252"/>
  <c r="J277" i="252"/>
  <c r="M297" i="252"/>
  <c r="I291" i="252"/>
  <c r="P295" i="252"/>
  <c r="AA283" i="252"/>
  <c r="Z43" i="252"/>
  <c r="Y282" i="252"/>
  <c r="Z286" i="252"/>
  <c r="AD31" i="252"/>
  <c r="Y312" i="43"/>
  <c r="Y320" i="43"/>
  <c r="U312" i="43"/>
  <c r="AB320" i="43"/>
  <c r="AA320" i="43"/>
  <c r="R611" i="43"/>
  <c r="Q614" i="43"/>
  <c r="Q611" i="43"/>
  <c r="Q613" i="43"/>
  <c r="Q612" i="43"/>
  <c r="Q615" i="43"/>
  <c r="S615" i="43"/>
  <c r="S614" i="43"/>
  <c r="S613" i="43"/>
  <c r="S612" i="43"/>
  <c r="T615" i="43"/>
  <c r="T614" i="43"/>
  <c r="T613" i="43"/>
  <c r="T612" i="43"/>
  <c r="V613" i="43"/>
  <c r="V612" i="43"/>
  <c r="V615" i="43"/>
  <c r="V614" i="43"/>
  <c r="Y614" i="43"/>
  <c r="Y613" i="43"/>
  <c r="Y612" i="43"/>
  <c r="Y615" i="43"/>
  <c r="Z613" i="43"/>
  <c r="Z611" i="43"/>
  <c r="Z612" i="43"/>
  <c r="Z615" i="43"/>
  <c r="Z614" i="43"/>
  <c r="U611" i="43"/>
  <c r="U614" i="43"/>
  <c r="U613" i="43"/>
  <c r="U612" i="43"/>
  <c r="U615" i="43"/>
  <c r="X611" i="43"/>
  <c r="X615" i="43"/>
  <c r="X614" i="43"/>
  <c r="X613" i="43"/>
  <c r="X612" i="43"/>
  <c r="R613" i="43"/>
  <c r="R612" i="43"/>
  <c r="R615" i="43"/>
  <c r="R614" i="43"/>
  <c r="W615" i="43"/>
  <c r="W614" i="43"/>
  <c r="W613" i="43"/>
  <c r="W612" i="43"/>
  <c r="S611" i="43"/>
  <c r="Y611" i="43"/>
  <c r="W611" i="43"/>
  <c r="X406" i="43"/>
  <c r="X320" i="43" s="1"/>
  <c r="X310" i="43"/>
  <c r="X312" i="43" s="1"/>
  <c r="Y353" i="43"/>
  <c r="AQ315" i="43"/>
  <c r="AQ314" i="43"/>
  <c r="U342" i="43"/>
  <c r="Y343" i="43"/>
  <c r="X328" i="43"/>
  <c r="Y351" i="43"/>
  <c r="T611" i="43"/>
  <c r="U350" i="43"/>
  <c r="V611" i="43"/>
  <c r="X359" i="43"/>
  <c r="X350" i="43"/>
  <c r="X379" i="43"/>
  <c r="T312" i="43"/>
  <c r="Y465" i="43"/>
  <c r="AB312" i="43"/>
  <c r="AQ309" i="43"/>
  <c r="AQ310" i="43"/>
  <c r="T377" i="43"/>
  <c r="T319" i="43"/>
  <c r="T465" i="43"/>
  <c r="AB377" i="43"/>
  <c r="AB319" i="43"/>
  <c r="AJ192" i="43"/>
  <c r="AI19" i="43"/>
  <c r="Z408" i="43"/>
  <c r="Z320" i="43"/>
  <c r="AB465" i="43"/>
  <c r="AB353" i="43"/>
  <c r="AB345" i="43"/>
  <c r="AJ31" i="43"/>
  <c r="T345" i="43"/>
  <c r="Z379" i="43"/>
  <c r="Z350" i="43"/>
  <c r="Z342" i="43"/>
  <c r="M3" i="43"/>
  <c r="W408" i="43"/>
  <c r="W320" i="43"/>
  <c r="AA199" i="43"/>
  <c r="AA377" i="43"/>
  <c r="AA319" i="43"/>
  <c r="R350" i="43"/>
  <c r="R342" i="43"/>
  <c r="R379" i="43"/>
  <c r="V350" i="43"/>
  <c r="V342" i="43"/>
  <c r="V379" i="43"/>
  <c r="AI187" i="43"/>
  <c r="AJ173" i="43"/>
  <c r="Y364" i="43"/>
  <c r="Y224" i="43"/>
  <c r="Y160" i="43"/>
  <c r="Y158" i="43"/>
  <c r="Y63" i="43"/>
  <c r="S408" i="43"/>
  <c r="S320" i="43"/>
  <c r="S377" i="43"/>
  <c r="S319" i="43"/>
  <c r="AB412" i="43"/>
  <c r="AB351" i="43"/>
  <c r="AB343" i="43"/>
  <c r="U465" i="43"/>
  <c r="U353" i="43"/>
  <c r="U345" i="43"/>
  <c r="R408" i="43"/>
  <c r="R320" i="43"/>
  <c r="W377" i="43"/>
  <c r="W319" i="43"/>
  <c r="AA412" i="43"/>
  <c r="AA343" i="43"/>
  <c r="AA351" i="43"/>
  <c r="Y38" i="43"/>
  <c r="Y325" i="43" s="1"/>
  <c r="Y15" i="43"/>
  <c r="V408" i="43"/>
  <c r="V320" i="43"/>
  <c r="AI212" i="43"/>
  <c r="AH186" i="43"/>
  <c r="T276" i="252" l="1"/>
  <c r="U276" i="252"/>
  <c r="R289" i="252"/>
  <c r="R290" i="252"/>
  <c r="R295" i="252"/>
  <c r="L464" i="252"/>
  <c r="O464" i="252"/>
  <c r="R294" i="252"/>
  <c r="R291" i="252"/>
  <c r="M465" i="252"/>
  <c r="P465" i="252"/>
  <c r="M196" i="252"/>
  <c r="T215" i="252"/>
  <c r="S232" i="252"/>
  <c r="N279" i="252"/>
  <c r="L465" i="252"/>
  <c r="L215" i="252"/>
  <c r="K232" i="252"/>
  <c r="G46" i="252"/>
  <c r="G23" i="252"/>
  <c r="G49" i="252"/>
  <c r="R259" i="252"/>
  <c r="R257" i="252"/>
  <c r="L194" i="252"/>
  <c r="L91" i="252"/>
  <c r="Q469" i="252"/>
  <c r="Q94" i="252"/>
  <c r="Q471" i="252"/>
  <c r="Q472" i="252"/>
  <c r="Q470" i="252"/>
  <c r="M50" i="252"/>
  <c r="M26" i="252"/>
  <c r="M29" i="252" s="1"/>
  <c r="M53" i="252" s="1"/>
  <c r="K464" i="252"/>
  <c r="Q215" i="252"/>
  <c r="Q223" i="252"/>
  <c r="P51" i="252"/>
  <c r="P74" i="252"/>
  <c r="Q50" i="252"/>
  <c r="Q26" i="252"/>
  <c r="Q29" i="252" s="1"/>
  <c r="Q53" i="252" s="1"/>
  <c r="P223" i="252"/>
  <c r="N42" i="252"/>
  <c r="N43" i="252" s="1"/>
  <c r="H23" i="252"/>
  <c r="H49" i="252"/>
  <c r="H46" i="252"/>
  <c r="M215" i="252"/>
  <c r="M223" i="252"/>
  <c r="R34" i="252"/>
  <c r="I45" i="252"/>
  <c r="I21" i="252"/>
  <c r="I202" i="252"/>
  <c r="I174" i="252"/>
  <c r="I175" i="252"/>
  <c r="I81" i="252"/>
  <c r="I85" i="252" s="1"/>
  <c r="I177" i="252"/>
  <c r="P33" i="252"/>
  <c r="O33" i="252"/>
  <c r="Q33" i="252"/>
  <c r="N17" i="252"/>
  <c r="N47" i="252"/>
  <c r="N34" i="252"/>
  <c r="N79" i="252"/>
  <c r="N48" i="252"/>
  <c r="R33" i="252"/>
  <c r="T194" i="252"/>
  <c r="T91" i="252"/>
  <c r="O51" i="252"/>
  <c r="N51" i="252"/>
  <c r="L51" i="252"/>
  <c r="M51" i="252"/>
  <c r="L74" i="252"/>
  <c r="L3" i="252"/>
  <c r="K4" i="252"/>
  <c r="Z106" i="252"/>
  <c r="Y108" i="252"/>
  <c r="G194" i="252"/>
  <c r="G91" i="252"/>
  <c r="G94" i="252" s="1"/>
  <c r="U50" i="252"/>
  <c r="U26" i="252"/>
  <c r="U29" i="252" s="1"/>
  <c r="U53" i="252" s="1"/>
  <c r="S194" i="252"/>
  <c r="S91" i="252"/>
  <c r="R45" i="252"/>
  <c r="R21" i="252"/>
  <c r="U194" i="252"/>
  <c r="U91" i="252"/>
  <c r="X116" i="252"/>
  <c r="Y87" i="252"/>
  <c r="P23" i="252"/>
  <c r="P49" i="252"/>
  <c r="P46" i="252"/>
  <c r="M74" i="252"/>
  <c r="L223" i="252"/>
  <c r="T23" i="252"/>
  <c r="T49" i="252"/>
  <c r="T46" i="252"/>
  <c r="J17" i="252"/>
  <c r="J79" i="252"/>
  <c r="J48" i="252"/>
  <c r="N33" i="252"/>
  <c r="J59" i="252"/>
  <c r="J42" i="252"/>
  <c r="J43" i="252" s="1"/>
  <c r="J47" i="252"/>
  <c r="P464" i="252"/>
  <c r="N464" i="252"/>
  <c r="O74" i="252"/>
  <c r="N190" i="252"/>
  <c r="K442" i="252"/>
  <c r="K441" i="252"/>
  <c r="K438" i="252"/>
  <c r="K433" i="252"/>
  <c r="K440" i="252"/>
  <c r="K437" i="252"/>
  <c r="K432" i="252"/>
  <c r="K429" i="252"/>
  <c r="K436" i="252"/>
  <c r="K435" i="252"/>
  <c r="K431" i="252"/>
  <c r="K427" i="252"/>
  <c r="K430" i="252"/>
  <c r="K428" i="252"/>
  <c r="K439" i="252"/>
  <c r="K434" i="252"/>
  <c r="K422" i="252"/>
  <c r="K6" i="252"/>
  <c r="L5" i="252"/>
  <c r="K425" i="252"/>
  <c r="K426" i="252"/>
  <c r="R242" i="252"/>
  <c r="R202" i="252"/>
  <c r="R175" i="252"/>
  <c r="R223" i="252"/>
  <c r="R177" i="252"/>
  <c r="R231" i="252"/>
  <c r="R81" i="252"/>
  <c r="R85" i="252" s="1"/>
  <c r="R174" i="252"/>
  <c r="R173" i="252"/>
  <c r="O46" i="252"/>
  <c r="O23" i="252"/>
  <c r="O49" i="252"/>
  <c r="K194" i="252"/>
  <c r="K91" i="252"/>
  <c r="Q51" i="252"/>
  <c r="Q74" i="252"/>
  <c r="H194" i="252"/>
  <c r="H91" i="252"/>
  <c r="H94" i="252" s="1"/>
  <c r="V248" i="252"/>
  <c r="Y205" i="252"/>
  <c r="Z190" i="252"/>
  <c r="O465" i="252"/>
  <c r="L49" i="252"/>
  <c r="L23" i="252"/>
  <c r="L46" i="252"/>
  <c r="Q465" i="252"/>
  <c r="N465" i="252"/>
  <c r="K465" i="252"/>
  <c r="P232" i="252"/>
  <c r="I465" i="252"/>
  <c r="O91" i="252"/>
  <c r="O194" i="252"/>
  <c r="P194" i="252"/>
  <c r="P91" i="252"/>
  <c r="L232" i="252"/>
  <c r="I464" i="252"/>
  <c r="S46" i="252"/>
  <c r="S23" i="252"/>
  <c r="S49" i="252"/>
  <c r="K46" i="252"/>
  <c r="K23" i="252"/>
  <c r="K49" i="252"/>
  <c r="M469" i="252"/>
  <c r="M94" i="252"/>
  <c r="M471" i="252"/>
  <c r="M472" i="252"/>
  <c r="M470" i="252"/>
  <c r="AA62" i="252"/>
  <c r="Z63" i="252"/>
  <c r="N74" i="252"/>
  <c r="G283" i="252"/>
  <c r="O296" i="252"/>
  <c r="V294" i="252"/>
  <c r="W294" i="252" s="1"/>
  <c r="X294" i="252" s="1"/>
  <c r="Y294" i="252" s="1"/>
  <c r="Z294" i="252" s="1"/>
  <c r="AA294" i="252" s="1"/>
  <c r="AB294" i="252" s="1"/>
  <c r="AC294" i="252" s="1"/>
  <c r="AD294" i="252" s="1"/>
  <c r="V295" i="252"/>
  <c r="W295" i="252" s="1"/>
  <c r="X295" i="252" s="1"/>
  <c r="Y295" i="252" s="1"/>
  <c r="Z295" i="252" s="1"/>
  <c r="AA295" i="252" s="1"/>
  <c r="AB295" i="252" s="1"/>
  <c r="AC295" i="252" s="1"/>
  <c r="AD295" i="252" s="1"/>
  <c r="O277" i="252"/>
  <c r="O289" i="252"/>
  <c r="V290" i="252"/>
  <c r="W290" i="252" s="1"/>
  <c r="O276" i="252"/>
  <c r="Q276" i="252"/>
  <c r="O280" i="252"/>
  <c r="V293" i="252"/>
  <c r="W293" i="252" s="1"/>
  <c r="W296" i="252" s="1"/>
  <c r="O291" i="252"/>
  <c r="V291" i="252"/>
  <c r="W291" i="252" s="1"/>
  <c r="X291" i="252" s="1"/>
  <c r="Y291" i="252" s="1"/>
  <c r="Z291" i="252" s="1"/>
  <c r="AA291" i="252" s="1"/>
  <c r="AB291" i="252" s="1"/>
  <c r="AC291" i="252" s="1"/>
  <c r="AD291" i="252" s="1"/>
  <c r="V292" i="252"/>
  <c r="O295" i="252"/>
  <c r="O290" i="252"/>
  <c r="P276" i="252"/>
  <c r="O279" i="252"/>
  <c r="O292" i="252"/>
  <c r="P286" i="252"/>
  <c r="O294" i="252"/>
  <c r="O297" i="252"/>
  <c r="I286" i="252"/>
  <c r="U35" i="252"/>
  <c r="X36" i="252" s="1"/>
  <c r="AA97" i="252"/>
  <c r="H286" i="252"/>
  <c r="Q286" i="252"/>
  <c r="I35" i="252"/>
  <c r="H35" i="252"/>
  <c r="H283" i="252"/>
  <c r="L423" i="252"/>
  <c r="K423" i="252"/>
  <c r="M35" i="252"/>
  <c r="M286" i="252"/>
  <c r="J35" i="252"/>
  <c r="J286" i="252"/>
  <c r="K35" i="252"/>
  <c r="K286" i="252"/>
  <c r="R35" i="252"/>
  <c r="R286" i="252"/>
  <c r="G287" i="252"/>
  <c r="H287" i="252" s="1"/>
  <c r="I287" i="252" s="1"/>
  <c r="J287" i="252" s="1"/>
  <c r="K287" i="252" s="1"/>
  <c r="L287" i="252" s="1"/>
  <c r="M287" i="252" s="1"/>
  <c r="N287" i="252" s="1"/>
  <c r="O287" i="252" s="1"/>
  <c r="P287" i="252" s="1"/>
  <c r="Q287" i="252" s="1"/>
  <c r="R287" i="252" s="1"/>
  <c r="S287" i="252" s="1"/>
  <c r="T287" i="252" s="1"/>
  <c r="U287" i="252" s="1"/>
  <c r="V287" i="252" s="1"/>
  <c r="W287" i="252" s="1"/>
  <c r="X287" i="252" s="1"/>
  <c r="Y287" i="252" s="1"/>
  <c r="Z287" i="252" s="1"/>
  <c r="AA287" i="252" s="1"/>
  <c r="AB287" i="252" s="1"/>
  <c r="AC287" i="252" s="1"/>
  <c r="AD287" i="252" s="1"/>
  <c r="G35" i="252"/>
  <c r="G286" i="252"/>
  <c r="S35" i="252"/>
  <c r="S286" i="252"/>
  <c r="N35" i="252"/>
  <c r="N286" i="252"/>
  <c r="T35" i="252"/>
  <c r="W36" i="252" s="1"/>
  <c r="T286" i="252"/>
  <c r="L35" i="252"/>
  <c r="L286" i="252"/>
  <c r="O35" i="252"/>
  <c r="O286" i="252"/>
  <c r="AB283" i="252"/>
  <c r="X408" i="43"/>
  <c r="X351" i="43" s="1"/>
  <c r="AA43" i="252"/>
  <c r="AA286" i="252"/>
  <c r="Z282" i="252"/>
  <c r="AB342" i="43"/>
  <c r="AB379" i="43"/>
  <c r="AB350" i="43"/>
  <c r="T342" i="43"/>
  <c r="T379" i="43"/>
  <c r="T350" i="43"/>
  <c r="AK31" i="43"/>
  <c r="Z412" i="43"/>
  <c r="Z343" i="43"/>
  <c r="Z351" i="43"/>
  <c r="AK192" i="43"/>
  <c r="AJ19" i="43"/>
  <c r="R412" i="43"/>
  <c r="R351" i="43"/>
  <c r="R343" i="43"/>
  <c r="Y300" i="43"/>
  <c r="Y67" i="43"/>
  <c r="Y73" i="43" s="1"/>
  <c r="N3" i="43"/>
  <c r="S342" i="43"/>
  <c r="S379" i="43"/>
  <c r="S350" i="43"/>
  <c r="W342" i="43"/>
  <c r="W379" i="43"/>
  <c r="W350" i="43"/>
  <c r="AJ187" i="43"/>
  <c r="AK173" i="43"/>
  <c r="W412" i="43"/>
  <c r="W343" i="43"/>
  <c r="W351" i="43"/>
  <c r="AJ212" i="43"/>
  <c r="AI186" i="43"/>
  <c r="V412" i="43"/>
  <c r="V351" i="43"/>
  <c r="V343" i="43"/>
  <c r="Y42" i="43"/>
  <c r="Y356" i="43" s="1"/>
  <c r="Y39" i="43"/>
  <c r="Y348" i="43" s="1"/>
  <c r="Y17" i="43"/>
  <c r="S412" i="43"/>
  <c r="S343" i="43"/>
  <c r="S351" i="43"/>
  <c r="AA342" i="43"/>
  <c r="AA379" i="43"/>
  <c r="AA350" i="43"/>
  <c r="R194" i="252" l="1"/>
  <c r="R91" i="252"/>
  <c r="M3" i="252"/>
  <c r="L4" i="252"/>
  <c r="K50" i="252"/>
  <c r="K26" i="252"/>
  <c r="K29" i="252" s="1"/>
  <c r="K53" i="252" s="1"/>
  <c r="P195" i="252"/>
  <c r="P196" i="252"/>
  <c r="Z205" i="252"/>
  <c r="AA190" i="252"/>
  <c r="H99" i="252"/>
  <c r="H97" i="252"/>
  <c r="H98" i="252"/>
  <c r="K94" i="252"/>
  <c r="K469" i="252"/>
  <c r="K472" i="252"/>
  <c r="K471" i="252"/>
  <c r="K470" i="252"/>
  <c r="L442" i="252"/>
  <c r="L441" i="252"/>
  <c r="L440" i="252"/>
  <c r="L437" i="252"/>
  <c r="L432" i="252"/>
  <c r="L429" i="252"/>
  <c r="L436" i="252"/>
  <c r="L435" i="252"/>
  <c r="L431" i="252"/>
  <c r="L427" i="252"/>
  <c r="L439" i="252"/>
  <c r="L434" i="252"/>
  <c r="L430" i="252"/>
  <c r="L428" i="252"/>
  <c r="L438" i="252"/>
  <c r="L433" i="252"/>
  <c r="L422" i="252"/>
  <c r="M5" i="252"/>
  <c r="L6" i="252"/>
  <c r="L425" i="252"/>
  <c r="L426" i="252"/>
  <c r="L424" i="252"/>
  <c r="N45" i="252"/>
  <c r="N21" i="252"/>
  <c r="L470" i="252"/>
  <c r="L472" i="252"/>
  <c r="L94" i="252"/>
  <c r="L469" i="252"/>
  <c r="L471" i="252"/>
  <c r="AB62" i="252"/>
  <c r="AA63" i="252"/>
  <c r="M99" i="252"/>
  <c r="M98" i="252"/>
  <c r="M97" i="252"/>
  <c r="O195" i="252"/>
  <c r="O196" i="252"/>
  <c r="L50" i="252"/>
  <c r="L26" i="252"/>
  <c r="L29" i="252" s="1"/>
  <c r="L53" i="252" s="1"/>
  <c r="H195" i="252"/>
  <c r="H196" i="252"/>
  <c r="K195" i="252"/>
  <c r="K196" i="252"/>
  <c r="J242" i="252"/>
  <c r="J202" i="252"/>
  <c r="J175" i="252"/>
  <c r="J223" i="252"/>
  <c r="J177" i="252"/>
  <c r="J81" i="252"/>
  <c r="J85" i="252" s="1"/>
  <c r="J174" i="252"/>
  <c r="J173" i="252"/>
  <c r="T50" i="252"/>
  <c r="T26" i="252"/>
  <c r="T29" i="252" s="1"/>
  <c r="T53" i="252" s="1"/>
  <c r="U469" i="252"/>
  <c r="U94" i="252"/>
  <c r="U470" i="252"/>
  <c r="U471" i="252"/>
  <c r="U472" i="252"/>
  <c r="S94" i="252"/>
  <c r="S472" i="252"/>
  <c r="S469" i="252"/>
  <c r="S471" i="252"/>
  <c r="S470" i="252"/>
  <c r="G99" i="252"/>
  <c r="G98" i="252"/>
  <c r="G97" i="252"/>
  <c r="Z108" i="252"/>
  <c r="AA106" i="252"/>
  <c r="T470" i="252"/>
  <c r="T94" i="252"/>
  <c r="T472" i="252"/>
  <c r="T469" i="252"/>
  <c r="T471" i="252"/>
  <c r="N242" i="252"/>
  <c r="N202" i="252"/>
  <c r="N175" i="252"/>
  <c r="N223" i="252"/>
  <c r="N177" i="252"/>
  <c r="N174" i="252"/>
  <c r="N231" i="252"/>
  <c r="N81" i="252"/>
  <c r="N85" i="252" s="1"/>
  <c r="N173" i="252"/>
  <c r="H50" i="252"/>
  <c r="H26" i="252"/>
  <c r="H29" i="252" s="1"/>
  <c r="H53" i="252" s="1"/>
  <c r="Q99" i="252"/>
  <c r="Q98" i="252"/>
  <c r="Q97" i="252"/>
  <c r="L195" i="252"/>
  <c r="L196" i="252"/>
  <c r="G50" i="252"/>
  <c r="G26" i="252"/>
  <c r="G29" i="252" s="1"/>
  <c r="G53" i="252" s="1"/>
  <c r="S50" i="252"/>
  <c r="S26" i="252"/>
  <c r="S29" i="252" s="1"/>
  <c r="S53" i="252" s="1"/>
  <c r="P472" i="252"/>
  <c r="P470" i="252"/>
  <c r="P94" i="252"/>
  <c r="P469" i="252"/>
  <c r="P471" i="252"/>
  <c r="V252" i="252"/>
  <c r="V19" i="252"/>
  <c r="V86" i="252" s="1"/>
  <c r="V115" i="252" s="1"/>
  <c r="V250" i="252"/>
  <c r="V251" i="252"/>
  <c r="O50" i="252"/>
  <c r="O26" i="252"/>
  <c r="O29" i="252" s="1"/>
  <c r="O53" i="252" s="1"/>
  <c r="Y116" i="252"/>
  <c r="Z87" i="252"/>
  <c r="R49" i="252"/>
  <c r="R46" i="252"/>
  <c r="R23" i="252"/>
  <c r="O94" i="252"/>
  <c r="O471" i="252"/>
  <c r="O470" i="252"/>
  <c r="O469" i="252"/>
  <c r="O472" i="252"/>
  <c r="V249" i="252"/>
  <c r="J45" i="252"/>
  <c r="J21" i="252"/>
  <c r="P26" i="252"/>
  <c r="P29" i="252" s="1"/>
  <c r="P53" i="252" s="1"/>
  <c r="P50" i="252"/>
  <c r="U195" i="252"/>
  <c r="U196" i="252"/>
  <c r="S195" i="252"/>
  <c r="S196" i="252"/>
  <c r="G195" i="252"/>
  <c r="G196" i="252"/>
  <c r="T195" i="252"/>
  <c r="T196" i="252"/>
  <c r="I194" i="252"/>
  <c r="I91" i="252"/>
  <c r="I23" i="252"/>
  <c r="I49" i="252"/>
  <c r="I46" i="252"/>
  <c r="X343" i="43"/>
  <c r="X293" i="252"/>
  <c r="X296" i="252" s="1"/>
  <c r="X412" i="43"/>
  <c r="V274" i="252"/>
  <c r="V267" i="252" s="1"/>
  <c r="V296" i="252"/>
  <c r="V297" i="252" s="1"/>
  <c r="R36" i="252"/>
  <c r="AB97" i="252"/>
  <c r="J36" i="252"/>
  <c r="V36" i="252"/>
  <c r="V278" i="252"/>
  <c r="V268" i="252"/>
  <c r="Q36" i="252"/>
  <c r="P36" i="252"/>
  <c r="U36" i="252"/>
  <c r="T36" i="252"/>
  <c r="S36" i="252"/>
  <c r="X290" i="252"/>
  <c r="W274" i="252"/>
  <c r="M36" i="252"/>
  <c r="L36" i="252"/>
  <c r="K36" i="252"/>
  <c r="O36" i="252"/>
  <c r="N36" i="252"/>
  <c r="AC283" i="252"/>
  <c r="AB43" i="252"/>
  <c r="AB286" i="252"/>
  <c r="AA282" i="252"/>
  <c r="AL31" i="43"/>
  <c r="AL192" i="43"/>
  <c r="AK19" i="43"/>
  <c r="O3" i="43"/>
  <c r="Y44" i="43"/>
  <c r="Y20" i="43"/>
  <c r="Y23" i="43" s="1"/>
  <c r="Y47" i="43" s="1"/>
  <c r="AK187" i="43"/>
  <c r="AL173" i="43"/>
  <c r="AJ186" i="43"/>
  <c r="AK212" i="43"/>
  <c r="Y302" i="43"/>
  <c r="Y301" i="43"/>
  <c r="Y76" i="43"/>
  <c r="V266" i="252" l="1"/>
  <c r="V256" i="252" s="1"/>
  <c r="V258" i="252" s="1"/>
  <c r="V198" i="252" s="1"/>
  <c r="V38" i="252" s="1"/>
  <c r="V273" i="252"/>
  <c r="V151" i="252" s="1"/>
  <c r="Y293" i="252"/>
  <c r="Z293" i="252" s="1"/>
  <c r="Q103" i="252"/>
  <c r="Q109" i="252" s="1"/>
  <c r="Q114" i="252"/>
  <c r="Q121" i="252" s="1"/>
  <c r="Q123" i="252" s="1"/>
  <c r="N194" i="252"/>
  <c r="N91" i="252"/>
  <c r="J194" i="252"/>
  <c r="J91" i="252"/>
  <c r="M103" i="252"/>
  <c r="M109" i="252" s="1"/>
  <c r="M114" i="252"/>
  <c r="M121" i="252" s="1"/>
  <c r="M123" i="252" s="1"/>
  <c r="H114" i="252"/>
  <c r="H121" i="252" s="1"/>
  <c r="H123" i="252" s="1"/>
  <c r="H103" i="252"/>
  <c r="H109" i="252" s="1"/>
  <c r="I195" i="252"/>
  <c r="I196" i="252"/>
  <c r="K99" i="252"/>
  <c r="K98" i="252"/>
  <c r="K97" i="252"/>
  <c r="AB190" i="252"/>
  <c r="AA205" i="252"/>
  <c r="V265" i="252"/>
  <c r="V275" i="252" s="1"/>
  <c r="S99" i="252"/>
  <c r="S98" i="252"/>
  <c r="S97" i="252"/>
  <c r="U99" i="252"/>
  <c r="U98" i="252"/>
  <c r="U97" i="252"/>
  <c r="AB63" i="252"/>
  <c r="AC62" i="252"/>
  <c r="L99" i="252"/>
  <c r="L98" i="252"/>
  <c r="L97" i="252"/>
  <c r="R94" i="252"/>
  <c r="R469" i="252"/>
  <c r="R471" i="252"/>
  <c r="R470" i="252"/>
  <c r="R472" i="252"/>
  <c r="I469" i="252"/>
  <c r="I94" i="252"/>
  <c r="I470" i="252"/>
  <c r="I471" i="252"/>
  <c r="J49" i="252"/>
  <c r="J46" i="252"/>
  <c r="J23" i="252"/>
  <c r="R50" i="252"/>
  <c r="R26" i="252"/>
  <c r="R29" i="252" s="1"/>
  <c r="R53" i="252" s="1"/>
  <c r="P99" i="252"/>
  <c r="P98" i="252"/>
  <c r="P97" i="252"/>
  <c r="AA108" i="252"/>
  <c r="AB106" i="252"/>
  <c r="G114" i="252"/>
  <c r="G121" i="252" s="1"/>
  <c r="G123" i="252" s="1"/>
  <c r="G103" i="252"/>
  <c r="G109" i="252" s="1"/>
  <c r="N49" i="252"/>
  <c r="N46" i="252"/>
  <c r="N23" i="252"/>
  <c r="N3" i="252"/>
  <c r="M4" i="252"/>
  <c r="V270" i="252"/>
  <c r="V237" i="252" s="1"/>
  <c r="V239" i="252" s="1"/>
  <c r="V150" i="252" s="1"/>
  <c r="V276" i="252"/>
  <c r="I50" i="252"/>
  <c r="I26" i="252"/>
  <c r="I29" i="252" s="1"/>
  <c r="I53" i="252" s="1"/>
  <c r="O99" i="252"/>
  <c r="O98" i="252"/>
  <c r="O97" i="252"/>
  <c r="Z116" i="252"/>
  <c r="AA87" i="252"/>
  <c r="T99" i="252"/>
  <c r="T98" i="252"/>
  <c r="T97" i="252"/>
  <c r="M441" i="252"/>
  <c r="M436" i="252"/>
  <c r="M435" i="252"/>
  <c r="M431" i="252"/>
  <c r="M439" i="252"/>
  <c r="M434" i="252"/>
  <c r="M430" i="252"/>
  <c r="M428" i="252"/>
  <c r="M438" i="252"/>
  <c r="M433" i="252"/>
  <c r="M442" i="252"/>
  <c r="M440" i="252"/>
  <c r="M422" i="252"/>
  <c r="M437" i="252"/>
  <c r="M432" i="252"/>
  <c r="M429" i="252"/>
  <c r="M424" i="252"/>
  <c r="M423" i="252"/>
  <c r="N5" i="252"/>
  <c r="M6" i="252"/>
  <c r="M425" i="252"/>
  <c r="M426" i="252"/>
  <c r="M427" i="252"/>
  <c r="R195" i="252"/>
  <c r="R196" i="252"/>
  <c r="V272" i="252"/>
  <c r="V271" i="252"/>
  <c r="V269" i="252"/>
  <c r="V228" i="252" s="1"/>
  <c r="AC97" i="252"/>
  <c r="AD97" i="252"/>
  <c r="Y296" i="252"/>
  <c r="Y290" i="252"/>
  <c r="X274" i="252"/>
  <c r="V280" i="252"/>
  <c r="V279" i="252"/>
  <c r="V37" i="252"/>
  <c r="V127" i="252"/>
  <c r="V130" i="252" s="1"/>
  <c r="W292" i="252"/>
  <c r="V218" i="252"/>
  <c r="V220" i="252" s="1"/>
  <c r="W272" i="252"/>
  <c r="W265" i="252"/>
  <c r="W267" i="252"/>
  <c r="W269" i="252"/>
  <c r="W228" i="252" s="1"/>
  <c r="W278" i="252"/>
  <c r="W270" i="252"/>
  <c r="W237" i="252" s="1"/>
  <c r="W271" i="252"/>
  <c r="W266" i="252"/>
  <c r="W256" i="252" s="1"/>
  <c r="W279" i="252"/>
  <c r="W276" i="252"/>
  <c r="AD283" i="252"/>
  <c r="AD43" i="252"/>
  <c r="AC43" i="252"/>
  <c r="AB282" i="252"/>
  <c r="AC286" i="252"/>
  <c r="AM192" i="43"/>
  <c r="AL19" i="43"/>
  <c r="AN31" i="43"/>
  <c r="AM31" i="43"/>
  <c r="Y81" i="43"/>
  <c r="Y80" i="43"/>
  <c r="Y79" i="43"/>
  <c r="AL212" i="43"/>
  <c r="AK186" i="43"/>
  <c r="AM173" i="43"/>
  <c r="AL187" i="43"/>
  <c r="P3" i="43"/>
  <c r="W254" i="252" l="1"/>
  <c r="W255" i="252" s="1"/>
  <c r="W128" i="252" s="1"/>
  <c r="W234" i="252"/>
  <c r="W236" i="252" s="1"/>
  <c r="W235" i="252" s="1"/>
  <c r="AD62" i="252"/>
  <c r="AD63" i="252" s="1"/>
  <c r="AC63" i="252"/>
  <c r="U103" i="252"/>
  <c r="U109" i="252" s="1"/>
  <c r="U463" i="252" s="1"/>
  <c r="U114" i="252"/>
  <c r="U121" i="252" s="1"/>
  <c r="U123" i="252" s="1"/>
  <c r="J94" i="252"/>
  <c r="J469" i="252"/>
  <c r="J471" i="252"/>
  <c r="J470" i="252"/>
  <c r="T114" i="252"/>
  <c r="T121" i="252" s="1"/>
  <c r="T123" i="252" s="1"/>
  <c r="T103" i="252"/>
  <c r="T109" i="252" s="1"/>
  <c r="T463" i="252" s="1"/>
  <c r="N50" i="252"/>
  <c r="N26" i="252"/>
  <c r="N29" i="252" s="1"/>
  <c r="N53" i="252" s="1"/>
  <c r="G124" i="252"/>
  <c r="G140" i="252"/>
  <c r="J50" i="252"/>
  <c r="J26" i="252"/>
  <c r="J29" i="252" s="1"/>
  <c r="J53" i="252" s="1"/>
  <c r="K114" i="252"/>
  <c r="K121" i="252" s="1"/>
  <c r="K123" i="252" s="1"/>
  <c r="K103" i="252"/>
  <c r="K109" i="252" s="1"/>
  <c r="H124" i="252"/>
  <c r="H140" i="252"/>
  <c r="J195" i="252"/>
  <c r="J196" i="252"/>
  <c r="Q463" i="252"/>
  <c r="Q464" i="252" s="1"/>
  <c r="N442" i="252"/>
  <c r="N441" i="252"/>
  <c r="N439" i="252"/>
  <c r="N434" i="252"/>
  <c r="N438" i="252"/>
  <c r="N433" i="252"/>
  <c r="N440" i="252"/>
  <c r="N437" i="252"/>
  <c r="N432" i="252"/>
  <c r="N435" i="252"/>
  <c r="N423" i="252"/>
  <c r="N431" i="252"/>
  <c r="N436" i="252"/>
  <c r="N424" i="252"/>
  <c r="N422" i="252"/>
  <c r="O5" i="252"/>
  <c r="N6" i="252"/>
  <c r="N427" i="252"/>
  <c r="N425" i="252"/>
  <c r="N429" i="252"/>
  <c r="N430" i="252"/>
  <c r="N426" i="252"/>
  <c r="N428" i="252"/>
  <c r="G463" i="252"/>
  <c r="K110" i="252"/>
  <c r="G110" i="252"/>
  <c r="R99" i="252"/>
  <c r="R98" i="252"/>
  <c r="R97" i="252"/>
  <c r="H463" i="252"/>
  <c r="L110" i="252"/>
  <c r="H110" i="252"/>
  <c r="AA116" i="252"/>
  <c r="AB87" i="252"/>
  <c r="O114" i="252"/>
  <c r="O121" i="252" s="1"/>
  <c r="O123" i="252" s="1"/>
  <c r="O103" i="252"/>
  <c r="O109" i="252" s="1"/>
  <c r="AC106" i="252"/>
  <c r="AB108" i="252"/>
  <c r="P114" i="252"/>
  <c r="P121" i="252" s="1"/>
  <c r="P123" i="252" s="1"/>
  <c r="P103" i="252"/>
  <c r="P109" i="252" s="1"/>
  <c r="I99" i="252"/>
  <c r="I98" i="252"/>
  <c r="I97" i="252"/>
  <c r="AB205" i="252"/>
  <c r="AC190" i="252"/>
  <c r="M124" i="252"/>
  <c r="M140" i="252"/>
  <c r="N94" i="252"/>
  <c r="N471" i="252"/>
  <c r="N470" i="252"/>
  <c r="N472" i="252"/>
  <c r="N469" i="252"/>
  <c r="N4" i="252"/>
  <c r="O3" i="252"/>
  <c r="Q124" i="252"/>
  <c r="Q140" i="252"/>
  <c r="L114" i="252"/>
  <c r="L121" i="252" s="1"/>
  <c r="L123" i="252" s="1"/>
  <c r="L103" i="252"/>
  <c r="L109" i="252" s="1"/>
  <c r="S114" i="252"/>
  <c r="S121" i="252" s="1"/>
  <c r="S123" i="252" s="1"/>
  <c r="S103" i="252"/>
  <c r="S109" i="252" s="1"/>
  <c r="S463" i="252" s="1"/>
  <c r="M463" i="252"/>
  <c r="Q110" i="252"/>
  <c r="N195" i="252"/>
  <c r="N196" i="252"/>
  <c r="W246" i="252"/>
  <c r="W275" i="252"/>
  <c r="W258" i="252"/>
  <c r="X254" i="252" s="1"/>
  <c r="W215" i="252"/>
  <c r="W217" i="252" s="1"/>
  <c r="W216" i="252" s="1"/>
  <c r="X266" i="252"/>
  <c r="X256" i="252" s="1"/>
  <c r="X278" i="252"/>
  <c r="X272" i="252"/>
  <c r="X269" i="252"/>
  <c r="X228" i="252" s="1"/>
  <c r="X267" i="252"/>
  <c r="X271" i="252"/>
  <c r="X265" i="252"/>
  <c r="X270" i="252"/>
  <c r="X237" i="252" s="1"/>
  <c r="X276" i="252"/>
  <c r="W127" i="252"/>
  <c r="W37" i="252"/>
  <c r="W72" i="252" s="1"/>
  <c r="W73" i="252" s="1"/>
  <c r="W22" i="252" s="1"/>
  <c r="W280" i="252"/>
  <c r="W297" i="252"/>
  <c r="W273" i="252" s="1"/>
  <c r="W151" i="252" s="1"/>
  <c r="X292" i="252"/>
  <c r="X268" i="252" s="1"/>
  <c r="X218" i="252" s="1"/>
  <c r="W268" i="252"/>
  <c r="W218" i="252" s="1"/>
  <c r="Z290" i="252"/>
  <c r="Y274" i="252"/>
  <c r="W239" i="252"/>
  <c r="X234" i="252" s="1"/>
  <c r="AA293" i="252"/>
  <c r="Z296" i="252"/>
  <c r="V72" i="252"/>
  <c r="V73" i="252" s="1"/>
  <c r="V22" i="252" s="1"/>
  <c r="AC282" i="252"/>
  <c r="AD286" i="252"/>
  <c r="AN192" i="43"/>
  <c r="AN19" i="43" s="1"/>
  <c r="AM19" i="43"/>
  <c r="Q3" i="43"/>
  <c r="AM212" i="43"/>
  <c r="AL186" i="43"/>
  <c r="AM187" i="43"/>
  <c r="AN173" i="43"/>
  <c r="AN187" i="43" s="1"/>
  <c r="Y303" i="43"/>
  <c r="Y97" i="43"/>
  <c r="Y103" i="43" s="1"/>
  <c r="Y105" i="43" s="1"/>
  <c r="Y85" i="43"/>
  <c r="Y92" i="43" s="1"/>
  <c r="Y93" i="43" s="1"/>
  <c r="L463" i="252" l="1"/>
  <c r="P110" i="252"/>
  <c r="AB116" i="252"/>
  <c r="AC87" i="252"/>
  <c r="H465" i="252"/>
  <c r="H464" i="252"/>
  <c r="L124" i="252"/>
  <c r="L140" i="252"/>
  <c r="AC205" i="252"/>
  <c r="AD190" i="252"/>
  <c r="AD205" i="252" s="1"/>
  <c r="I103" i="252"/>
  <c r="I109" i="252" s="1"/>
  <c r="I114" i="252"/>
  <c r="I121" i="252" s="1"/>
  <c r="I123" i="252" s="1"/>
  <c r="AD106" i="252"/>
  <c r="AD108" i="252" s="1"/>
  <c r="AC108" i="252"/>
  <c r="K463" i="252"/>
  <c r="O110" i="252"/>
  <c r="T464" i="252"/>
  <c r="T465" i="252"/>
  <c r="P3" i="252"/>
  <c r="O4" i="252"/>
  <c r="U465" i="252"/>
  <c r="U464" i="252"/>
  <c r="S464" i="252"/>
  <c r="S465" i="252"/>
  <c r="N99" i="252"/>
  <c r="N98" i="252"/>
  <c r="N97" i="252"/>
  <c r="P463" i="252"/>
  <c r="T110" i="252"/>
  <c r="O463" i="252"/>
  <c r="S110" i="252"/>
  <c r="G464" i="252"/>
  <c r="G465" i="252"/>
  <c r="O442" i="252"/>
  <c r="O441" i="252"/>
  <c r="O438" i="252"/>
  <c r="O433" i="252"/>
  <c r="O430" i="252"/>
  <c r="O427" i="252"/>
  <c r="O440" i="252"/>
  <c r="O437" i="252"/>
  <c r="O432" i="252"/>
  <c r="O436" i="252"/>
  <c r="O435" i="252"/>
  <c r="O424" i="252"/>
  <c r="O439" i="252"/>
  <c r="O425" i="252"/>
  <c r="O422" i="252"/>
  <c r="O434" i="252"/>
  <c r="O423" i="252"/>
  <c r="O6" i="252"/>
  <c r="P5" i="252"/>
  <c r="O428" i="252"/>
  <c r="O426" i="252"/>
  <c r="O429" i="252"/>
  <c r="O431" i="252"/>
  <c r="K124" i="252"/>
  <c r="K140" i="252"/>
  <c r="T124" i="252"/>
  <c r="T140" i="252"/>
  <c r="J99" i="252"/>
  <c r="J98" i="252"/>
  <c r="J97" i="252"/>
  <c r="S124" i="252"/>
  <c r="S140" i="252"/>
  <c r="P124" i="252"/>
  <c r="P140" i="252"/>
  <c r="O124" i="252"/>
  <c r="O140" i="252"/>
  <c r="R103" i="252"/>
  <c r="R109" i="252" s="1"/>
  <c r="R463" i="252" s="1"/>
  <c r="R114" i="252"/>
  <c r="R121" i="252" s="1"/>
  <c r="R123" i="252" s="1"/>
  <c r="U110" i="252"/>
  <c r="U124" i="252"/>
  <c r="U140" i="252"/>
  <c r="X275" i="252"/>
  <c r="W198" i="252"/>
  <c r="W38" i="252" s="1"/>
  <c r="W244" i="252"/>
  <c r="Y292" i="252"/>
  <c r="X297" i="252"/>
  <c r="X273" i="252" s="1"/>
  <c r="X151" i="252" s="1"/>
  <c r="Y276" i="252"/>
  <c r="Y269" i="252"/>
  <c r="Y228" i="252" s="1"/>
  <c r="Y270" i="252"/>
  <c r="Y237" i="252" s="1"/>
  <c r="Y278" i="252"/>
  <c r="Y265" i="252"/>
  <c r="Y267" i="252"/>
  <c r="Y272" i="252"/>
  <c r="Y266" i="252"/>
  <c r="Y256" i="252" s="1"/>
  <c r="Y271" i="252"/>
  <c r="W89" i="252"/>
  <c r="W51" i="252"/>
  <c r="X279" i="252"/>
  <c r="X37" i="252"/>
  <c r="X127" i="252"/>
  <c r="X280" i="252"/>
  <c r="W150" i="252"/>
  <c r="V52" i="252"/>
  <c r="V51" i="252"/>
  <c r="V89" i="252"/>
  <c r="AB293" i="252"/>
  <c r="AA296" i="252"/>
  <c r="AA290" i="252"/>
  <c r="Z274" i="252"/>
  <c r="AD282" i="252"/>
  <c r="X236" i="252"/>
  <c r="X255" i="252"/>
  <c r="X128" i="252" s="1"/>
  <c r="W126" i="252"/>
  <c r="W130" i="252" s="1"/>
  <c r="W220" i="252"/>
  <c r="R3" i="43"/>
  <c r="Y106" i="43"/>
  <c r="Y122" i="43"/>
  <c r="AN212" i="43"/>
  <c r="AN186" i="43" s="1"/>
  <c r="AM186" i="43"/>
  <c r="Y275" i="252" l="1"/>
  <c r="I124" i="252"/>
  <c r="I140" i="252"/>
  <c r="Q3" i="252"/>
  <c r="P4" i="252"/>
  <c r="I463" i="252"/>
  <c r="I110" i="252"/>
  <c r="M110" i="252"/>
  <c r="J114" i="252"/>
  <c r="J121" i="252" s="1"/>
  <c r="J123" i="252" s="1"/>
  <c r="J103" i="252"/>
  <c r="J109" i="252" s="1"/>
  <c r="N103" i="252"/>
  <c r="N109" i="252" s="1"/>
  <c r="N114" i="252"/>
  <c r="N121" i="252" s="1"/>
  <c r="N123" i="252" s="1"/>
  <c r="R464" i="252"/>
  <c r="R465" i="252"/>
  <c r="AC116" i="252"/>
  <c r="AD87" i="252"/>
  <c r="AD116" i="252" s="1"/>
  <c r="R124" i="252"/>
  <c r="R140" i="252"/>
  <c r="P442" i="252"/>
  <c r="P441" i="252"/>
  <c r="P440" i="252"/>
  <c r="P437" i="252"/>
  <c r="P432" i="252"/>
  <c r="P436" i="252"/>
  <c r="P435" i="252"/>
  <c r="P439" i="252"/>
  <c r="P434" i="252"/>
  <c r="P426" i="252"/>
  <c r="P423" i="252"/>
  <c r="P433" i="252"/>
  <c r="P438" i="252"/>
  <c r="P424" i="252"/>
  <c r="P422" i="252"/>
  <c r="Q5" i="252"/>
  <c r="P425" i="252"/>
  <c r="P6" i="252"/>
  <c r="P427" i="252"/>
  <c r="P430" i="252"/>
  <c r="P431" i="252"/>
  <c r="P429" i="252"/>
  <c r="P428" i="252"/>
  <c r="Y280" i="252"/>
  <c r="Y37" i="252"/>
  <c r="Y72" i="252" s="1"/>
  <c r="Y73" i="252" s="1"/>
  <c r="Y22" i="252" s="1"/>
  <c r="Y127" i="252"/>
  <c r="AB296" i="252"/>
  <c r="AC293" i="252"/>
  <c r="X72" i="252"/>
  <c r="X73" i="252" s="1"/>
  <c r="X22" i="252" s="1"/>
  <c r="Y279" i="252"/>
  <c r="Z276" i="252"/>
  <c r="Z271" i="252"/>
  <c r="Z272" i="252"/>
  <c r="Z266" i="252"/>
  <c r="Z256" i="252" s="1"/>
  <c r="Z267" i="252"/>
  <c r="Z265" i="252"/>
  <c r="Z269" i="252"/>
  <c r="Z228" i="252" s="1"/>
  <c r="Z270" i="252"/>
  <c r="Z237" i="252" s="1"/>
  <c r="Z278" i="252"/>
  <c r="Y297" i="252"/>
  <c r="Y273" i="252" s="1"/>
  <c r="Y151" i="252" s="1"/>
  <c r="Y268" i="252"/>
  <c r="Y218" i="252" s="1"/>
  <c r="Z292" i="252"/>
  <c r="AB290" i="252"/>
  <c r="AA274" i="252"/>
  <c r="AA276" i="252" s="1"/>
  <c r="X235" i="252"/>
  <c r="X239" i="252" s="1"/>
  <c r="X246" i="252"/>
  <c r="W52" i="252"/>
  <c r="X215" i="252"/>
  <c r="X258" i="252"/>
  <c r="S3" i="43"/>
  <c r="N463" i="252" l="1"/>
  <c r="R110" i="252"/>
  <c r="J463" i="252"/>
  <c r="N110" i="252"/>
  <c r="J110" i="252"/>
  <c r="Q441" i="252"/>
  <c r="Q440" i="252"/>
  <c r="Q436" i="252"/>
  <c r="Q435" i="252"/>
  <c r="Q439" i="252"/>
  <c r="Q434" i="252"/>
  <c r="Q442" i="252"/>
  <c r="Q438" i="252"/>
  <c r="Q433" i="252"/>
  <c r="Q426" i="252"/>
  <c r="Q425" i="252"/>
  <c r="Q422" i="252"/>
  <c r="Q427" i="252"/>
  <c r="Q424" i="252"/>
  <c r="Q432" i="252"/>
  <c r="Q437" i="252"/>
  <c r="Q423" i="252"/>
  <c r="Q6" i="252"/>
  <c r="R5" i="252"/>
  <c r="Q428" i="252"/>
  <c r="Q429" i="252"/>
  <c r="Q430" i="252"/>
  <c r="Q431" i="252"/>
  <c r="J124" i="252"/>
  <c r="J140" i="252"/>
  <c r="R3" i="252"/>
  <c r="Q4" i="252"/>
  <c r="N124" i="252"/>
  <c r="N140" i="252"/>
  <c r="AC290" i="252"/>
  <c r="AB274" i="252"/>
  <c r="Y51" i="252"/>
  <c r="Y89" i="252"/>
  <c r="AA271" i="252"/>
  <c r="AA278" i="252"/>
  <c r="AA279" i="252" s="1"/>
  <c r="AA267" i="252"/>
  <c r="AA269" i="252"/>
  <c r="AA228" i="252" s="1"/>
  <c r="AA266" i="252"/>
  <c r="AA256" i="252" s="1"/>
  <c r="AA272" i="252"/>
  <c r="AA270" i="252"/>
  <c r="AA237" i="252" s="1"/>
  <c r="AA265" i="252"/>
  <c r="AA292" i="252"/>
  <c r="Z268" i="252"/>
  <c r="Z218" i="252" s="1"/>
  <c r="Z297" i="252"/>
  <c r="Z273" i="252" s="1"/>
  <c r="Z151" i="252" s="1"/>
  <c r="Z279" i="252"/>
  <c r="Z280" i="252"/>
  <c r="Z37" i="252"/>
  <c r="Z72" i="252" s="1"/>
  <c r="Z73" i="252" s="1"/>
  <c r="Z22" i="252" s="1"/>
  <c r="Z127" i="252"/>
  <c r="Z275" i="252"/>
  <c r="X89" i="252"/>
  <c r="X51" i="252"/>
  <c r="AC296" i="252"/>
  <c r="AD293" i="252"/>
  <c r="AD296" i="252" s="1"/>
  <c r="Y234" i="252"/>
  <c r="X150" i="252"/>
  <c r="Y254" i="252"/>
  <c r="X198" i="252"/>
  <c r="X217" i="252"/>
  <c r="T3" i="43"/>
  <c r="AA275" i="252" l="1"/>
  <c r="R4" i="252"/>
  <c r="S3" i="252"/>
  <c r="R442" i="252"/>
  <c r="R439" i="252"/>
  <c r="R428" i="252"/>
  <c r="R438" i="252"/>
  <c r="R426" i="252"/>
  <c r="R437" i="252"/>
  <c r="R429" i="252"/>
  <c r="R427" i="252"/>
  <c r="R423" i="252"/>
  <c r="R436" i="252"/>
  <c r="R441" i="252"/>
  <c r="R424" i="252"/>
  <c r="R422" i="252"/>
  <c r="R425" i="252"/>
  <c r="S5" i="252"/>
  <c r="R6" i="252"/>
  <c r="R440" i="252"/>
  <c r="R430" i="252"/>
  <c r="R432" i="252"/>
  <c r="R434" i="252"/>
  <c r="R431" i="252"/>
  <c r="R433" i="252"/>
  <c r="R435" i="252"/>
  <c r="Z51" i="252"/>
  <c r="Z89" i="252"/>
  <c r="AA127" i="252"/>
  <c r="AA37" i="252"/>
  <c r="AA72" i="252" s="1"/>
  <c r="AA73" i="252" s="1"/>
  <c r="AA22" i="252" s="1"/>
  <c r="AA280" i="252"/>
  <c r="AB276" i="252"/>
  <c r="AB265" i="252"/>
  <c r="AB278" i="252"/>
  <c r="AB271" i="252"/>
  <c r="AB269" i="252"/>
  <c r="AB228" i="252" s="1"/>
  <c r="AB266" i="252"/>
  <c r="AB256" i="252" s="1"/>
  <c r="AB272" i="252"/>
  <c r="AB270" i="252"/>
  <c r="AB237" i="252" s="1"/>
  <c r="AB267" i="252"/>
  <c r="AB292" i="252"/>
  <c r="AA297" i="252"/>
  <c r="AA273" i="252" s="1"/>
  <c r="AA151" i="252" s="1"/>
  <c r="AA268" i="252"/>
  <c r="AA218" i="252" s="1"/>
  <c r="AD290" i="252"/>
  <c r="AD274" i="252" s="1"/>
  <c r="AC274" i="252"/>
  <c r="X244" i="252"/>
  <c r="X216" i="252"/>
  <c r="X38" i="252"/>
  <c r="Y255" i="252"/>
  <c r="Y128" i="252" s="1"/>
  <c r="Y236" i="252"/>
  <c r="U3" i="43"/>
  <c r="AB275" i="252" l="1"/>
  <c r="S442" i="252"/>
  <c r="S441" i="252"/>
  <c r="S438" i="252"/>
  <c r="S426" i="252"/>
  <c r="S429" i="252"/>
  <c r="S427" i="252"/>
  <c r="S440" i="252"/>
  <c r="S439" i="252"/>
  <c r="S424" i="252"/>
  <c r="S425" i="252"/>
  <c r="S422" i="252"/>
  <c r="S423" i="252"/>
  <c r="S428" i="252"/>
  <c r="S6" i="252"/>
  <c r="S430" i="252"/>
  <c r="T5" i="252"/>
  <c r="S437" i="252"/>
  <c r="S431" i="252"/>
  <c r="S432" i="252"/>
  <c r="S436" i="252"/>
  <c r="S433" i="252"/>
  <c r="S435" i="252"/>
  <c r="S434" i="252"/>
  <c r="T3" i="252"/>
  <c r="S4" i="252"/>
  <c r="AB37" i="252"/>
  <c r="AB280" i="252"/>
  <c r="AB127" i="252"/>
  <c r="AA51" i="252"/>
  <c r="AA89" i="252"/>
  <c r="AC276" i="252"/>
  <c r="AC272" i="252"/>
  <c r="AC267" i="252"/>
  <c r="AC265" i="252"/>
  <c r="AC271" i="252"/>
  <c r="AC278" i="252"/>
  <c r="AC270" i="252"/>
  <c r="AC237" i="252" s="1"/>
  <c r="AC269" i="252"/>
  <c r="AC228" i="252" s="1"/>
  <c r="AC266" i="252"/>
  <c r="AC256" i="252" s="1"/>
  <c r="AD276" i="252"/>
  <c r="AB297" i="252"/>
  <c r="AB273" i="252" s="1"/>
  <c r="AB151" i="252" s="1"/>
  <c r="AB268" i="252"/>
  <c r="AB218" i="252" s="1"/>
  <c r="AC292" i="252"/>
  <c r="AD278" i="252"/>
  <c r="AD270" i="252"/>
  <c r="AD237" i="252" s="1"/>
  <c r="AD266" i="252"/>
  <c r="AD256" i="252" s="1"/>
  <c r="AD269" i="252"/>
  <c r="AD228" i="252" s="1"/>
  <c r="AD272" i="252"/>
  <c r="AD265" i="252"/>
  <c r="AD267" i="252"/>
  <c r="AD271" i="252"/>
  <c r="AB279" i="252"/>
  <c r="Y235" i="252"/>
  <c r="Y239" i="252" s="1"/>
  <c r="Y246" i="252"/>
  <c r="X52" i="252"/>
  <c r="Y258" i="252"/>
  <c r="X126" i="252"/>
  <c r="X130" i="252" s="1"/>
  <c r="X220" i="252"/>
  <c r="V3" i="43"/>
  <c r="T442" i="252" l="1"/>
  <c r="T441" i="252"/>
  <c r="T429" i="252"/>
  <c r="T427" i="252"/>
  <c r="T440" i="252"/>
  <c r="T439" i="252"/>
  <c r="T431" i="252"/>
  <c r="T430" i="252"/>
  <c r="T428" i="252"/>
  <c r="T423" i="252"/>
  <c r="T425" i="252"/>
  <c r="T422" i="252"/>
  <c r="T426" i="252"/>
  <c r="U5" i="252"/>
  <c r="T424" i="252"/>
  <c r="T6" i="252"/>
  <c r="T434" i="252"/>
  <c r="T432" i="252"/>
  <c r="T437" i="252"/>
  <c r="T433" i="252"/>
  <c r="T438" i="252"/>
  <c r="T435" i="252"/>
  <c r="T436" i="252"/>
  <c r="U3" i="252"/>
  <c r="T4" i="252"/>
  <c r="AC275" i="252"/>
  <c r="AD275" i="252"/>
  <c r="AC280" i="252"/>
  <c r="AC37" i="252"/>
  <c r="AC72" i="252" s="1"/>
  <c r="AC73" i="252" s="1"/>
  <c r="AC22" i="252" s="1"/>
  <c r="AC127" i="252"/>
  <c r="AD279" i="252"/>
  <c r="AD127" i="252"/>
  <c r="AD280" i="252"/>
  <c r="AD37" i="252"/>
  <c r="AC268" i="252"/>
  <c r="AC218" i="252" s="1"/>
  <c r="AC297" i="252"/>
  <c r="AC273" i="252" s="1"/>
  <c r="AC151" i="252" s="1"/>
  <c r="AD292" i="252"/>
  <c r="AC279" i="252"/>
  <c r="AB72" i="252"/>
  <c r="AB73" i="252" s="1"/>
  <c r="AB22" i="252" s="1"/>
  <c r="Y215" i="252"/>
  <c r="Z254" i="252"/>
  <c r="Y198" i="252"/>
  <c r="Z234" i="252"/>
  <c r="Y150" i="252"/>
  <c r="W3" i="43"/>
  <c r="V3" i="252" l="1"/>
  <c r="U4" i="252"/>
  <c r="U431" i="252"/>
  <c r="U430" i="252"/>
  <c r="U428" i="252"/>
  <c r="U426" i="252"/>
  <c r="U425" i="252"/>
  <c r="U422" i="252"/>
  <c r="U424" i="252"/>
  <c r="U423" i="252"/>
  <c r="U427" i="252"/>
  <c r="U429" i="252"/>
  <c r="V5" i="252"/>
  <c r="U6" i="252"/>
  <c r="U432" i="252"/>
  <c r="U441" i="252"/>
  <c r="U440" i="252"/>
  <c r="U433" i="252"/>
  <c r="U437" i="252"/>
  <c r="U435" i="252"/>
  <c r="U439" i="252"/>
  <c r="U442" i="252"/>
  <c r="U436" i="252"/>
  <c r="U438" i="252"/>
  <c r="U434" i="252"/>
  <c r="AD72" i="252"/>
  <c r="AD73" i="252" s="1"/>
  <c r="AD22" i="252" s="1"/>
  <c r="AD51" i="252" s="1"/>
  <c r="AD297" i="252"/>
  <c r="AD273" i="252" s="1"/>
  <c r="AD151" i="252" s="1"/>
  <c r="AD268" i="252"/>
  <c r="AD218" i="252" s="1"/>
  <c r="AC89" i="252"/>
  <c r="AC51" i="252"/>
  <c r="AB89" i="252"/>
  <c r="AB51" i="252"/>
  <c r="Z236" i="252"/>
  <c r="Y217" i="252"/>
  <c r="Y38" i="252"/>
  <c r="Z255" i="252"/>
  <c r="Z128" i="252" s="1"/>
  <c r="X3" i="43"/>
  <c r="F444" i="252" l="1"/>
  <c r="V431" i="252"/>
  <c r="V430" i="252"/>
  <c r="V428" i="252"/>
  <c r="V426" i="252"/>
  <c r="V429" i="252"/>
  <c r="V427" i="252"/>
  <c r="V423" i="252"/>
  <c r="V425" i="252"/>
  <c r="V424" i="252"/>
  <c r="V422" i="252"/>
  <c r="W5" i="252"/>
  <c r="V6" i="252"/>
  <c r="V442" i="252"/>
  <c r="V441" i="252"/>
  <c r="V435" i="252"/>
  <c r="V438" i="252"/>
  <c r="V439" i="252"/>
  <c r="V433" i="252"/>
  <c r="V434" i="252"/>
  <c r="V436" i="252"/>
  <c r="V432" i="252"/>
  <c r="V440" i="252"/>
  <c r="V437" i="252"/>
  <c r="D444" i="252"/>
  <c r="V4" i="252"/>
  <c r="W3" i="252"/>
  <c r="AD89" i="252"/>
  <c r="Z246" i="252"/>
  <c r="Z235" i="252"/>
  <c r="Z239" i="252" s="1"/>
  <c r="Z258" i="252"/>
  <c r="Y52" i="252"/>
  <c r="Y244" i="252"/>
  <c r="Y216" i="252"/>
  <c r="Y3" i="43"/>
  <c r="W434" i="252" l="1"/>
  <c r="W426" i="252"/>
  <c r="W433" i="252"/>
  <c r="W429" i="252"/>
  <c r="W427" i="252"/>
  <c r="W425" i="252"/>
  <c r="W432" i="252"/>
  <c r="W424" i="252"/>
  <c r="F445" i="252"/>
  <c r="W431" i="252"/>
  <c r="W430" i="252"/>
  <c r="W428" i="252"/>
  <c r="W422" i="252"/>
  <c r="W423" i="252"/>
  <c r="W6" i="252"/>
  <c r="X5" i="252"/>
  <c r="W435" i="252"/>
  <c r="W436" i="252"/>
  <c r="W442" i="252"/>
  <c r="W440" i="252"/>
  <c r="W438" i="252"/>
  <c r="W437" i="252"/>
  <c r="W439" i="252"/>
  <c r="W441" i="252"/>
  <c r="D445" i="252"/>
  <c r="X3" i="252"/>
  <c r="W4" i="252"/>
  <c r="I444" i="252"/>
  <c r="H444" i="252"/>
  <c r="V444" i="252" s="1"/>
  <c r="G444" i="252"/>
  <c r="R444" i="252"/>
  <c r="N444" i="252"/>
  <c r="U444" i="252"/>
  <c r="Q444" i="252"/>
  <c r="M444" i="252"/>
  <c r="T444" i="252"/>
  <c r="P444" i="252"/>
  <c r="L444" i="252"/>
  <c r="S444" i="252"/>
  <c r="O444" i="252"/>
  <c r="K444" i="252"/>
  <c r="W444" i="252"/>
  <c r="Y126" i="252"/>
  <c r="Y130" i="252" s="1"/>
  <c r="Y220" i="252"/>
  <c r="AA234" i="252"/>
  <c r="Z150" i="252"/>
  <c r="AA254" i="252"/>
  <c r="Z198" i="252"/>
  <c r="Z3" i="43"/>
  <c r="F446" i="252" l="1"/>
  <c r="X433" i="252"/>
  <c r="X429" i="252"/>
  <c r="X427" i="252"/>
  <c r="X437" i="252"/>
  <c r="X432" i="252"/>
  <c r="X436" i="252"/>
  <c r="X431" i="252"/>
  <c r="X430" i="252"/>
  <c r="X428" i="252"/>
  <c r="X434" i="252"/>
  <c r="X426" i="252"/>
  <c r="X425" i="252"/>
  <c r="X423" i="252"/>
  <c r="X435" i="252"/>
  <c r="X424" i="252"/>
  <c r="X422" i="252"/>
  <c r="Y5" i="252"/>
  <c r="X6" i="252"/>
  <c r="X439" i="252"/>
  <c r="X440" i="252"/>
  <c r="X442" i="252"/>
  <c r="X441" i="252"/>
  <c r="X438" i="252"/>
  <c r="D446" i="252"/>
  <c r="Y3" i="252"/>
  <c r="X4" i="252"/>
  <c r="X444" i="252"/>
  <c r="I445" i="252"/>
  <c r="H445" i="252"/>
  <c r="X445" i="252" s="1"/>
  <c r="G445" i="252"/>
  <c r="T445" i="252"/>
  <c r="P445" i="252"/>
  <c r="L445" i="252"/>
  <c r="S445" i="252"/>
  <c r="O445" i="252"/>
  <c r="K445" i="252"/>
  <c r="V445" i="252"/>
  <c r="R445" i="252"/>
  <c r="N445" i="252"/>
  <c r="U445" i="252"/>
  <c r="Q445" i="252"/>
  <c r="M445" i="252"/>
  <c r="W445" i="252"/>
  <c r="Z38" i="252"/>
  <c r="AA255" i="252"/>
  <c r="AA128" i="252" s="1"/>
  <c r="Z215" i="252"/>
  <c r="AA236" i="252"/>
  <c r="Z262" i="43" a="1"/>
  <c r="Z262" i="43" s="1"/>
  <c r="Z251" i="43" a="1"/>
  <c r="Z251" i="43" s="1"/>
  <c r="Z247" i="43" a="1"/>
  <c r="Z247" i="43" s="1"/>
  <c r="Z264" i="43" a="1"/>
  <c r="Z264" i="43" s="1"/>
  <c r="Z29" i="43" s="1"/>
  <c r="Z254" i="43" a="1"/>
  <c r="Z254" i="43" s="1"/>
  <c r="Z250" i="43" a="1"/>
  <c r="Z250" i="43" s="1"/>
  <c r="Z253" i="43" a="1"/>
  <c r="Z253" i="43" s="1"/>
  <c r="Z249" i="43" a="1"/>
  <c r="Z249" i="43" s="1"/>
  <c r="Z252" i="43" a="1"/>
  <c r="Z252" i="43" s="1"/>
  <c r="Z246" i="43" a="1"/>
  <c r="Z246" i="43" s="1"/>
  <c r="Z248" i="43" a="1"/>
  <c r="Z248" i="43" s="1"/>
  <c r="Z217" i="43" a="1"/>
  <c r="Z217" i="43" s="1"/>
  <c r="Z223" i="43" s="1"/>
  <c r="Z190" i="43" a="1"/>
  <c r="Z190" i="43" s="1"/>
  <c r="Z180" i="43" a="1"/>
  <c r="Z180" i="43" s="1"/>
  <c r="Z150" i="43" a="1"/>
  <c r="Z150" i="43" s="1"/>
  <c r="Z198" i="43" a="1"/>
  <c r="Z198" i="43" s="1"/>
  <c r="Z204" i="43" s="1"/>
  <c r="Z191" i="43" a="1"/>
  <c r="Z191" i="43" s="1"/>
  <c r="Z181" i="43" a="1"/>
  <c r="Z181" i="43" s="1"/>
  <c r="Z144" i="43" a="1"/>
  <c r="Z144" i="43" s="1"/>
  <c r="Z128" i="43" a="1"/>
  <c r="Z128" i="43" s="1"/>
  <c r="Z115" i="43" a="1"/>
  <c r="Z115" i="43" s="1"/>
  <c r="Z51" i="43" a="1"/>
  <c r="Z51" i="43" s="1"/>
  <c r="Z49" i="43" a="1"/>
  <c r="Z49" i="43" s="1"/>
  <c r="Z151" i="43" a="1"/>
  <c r="Z151" i="43" s="1"/>
  <c r="Z146" i="43" a="1"/>
  <c r="Z146" i="43" s="1"/>
  <c r="Z141" i="43" a="1"/>
  <c r="Z141" i="43" s="1"/>
  <c r="Z138" i="43" a="1"/>
  <c r="Z138" i="43" s="1"/>
  <c r="Z135" i="43" a="1"/>
  <c r="Z135" i="43" s="1"/>
  <c r="Z133" i="43" a="1"/>
  <c r="Z133" i="43" s="1"/>
  <c r="Z221" i="43" s="1"/>
  <c r="Z117" i="43" a="1"/>
  <c r="Z117" i="43" s="1"/>
  <c r="Z110" i="43" a="1"/>
  <c r="Z110" i="43" s="1"/>
  <c r="Z104" i="43" a="1"/>
  <c r="Z104" i="43" s="1"/>
  <c r="Z163" i="43" s="1"/>
  <c r="Z102" i="43" a="1"/>
  <c r="Z102" i="43" s="1"/>
  <c r="Z101" i="43" a="1"/>
  <c r="Z101" i="43" s="1"/>
  <c r="Z140" i="43" a="1"/>
  <c r="Z140" i="43" s="1"/>
  <c r="Z188" i="43" s="1"/>
  <c r="Z139" i="43" a="1"/>
  <c r="Z139" i="43" s="1"/>
  <c r="Z127" i="43" a="1"/>
  <c r="Z127" i="43" s="1"/>
  <c r="Z19" i="43" a="1"/>
  <c r="Z19" i="43" s="1"/>
  <c r="Z12" i="43" a="1"/>
  <c r="Z12" i="43" s="1"/>
  <c r="Z8" i="43" a="1"/>
  <c r="Z8" i="43" s="1"/>
  <c r="Z34" i="43" s="1"/>
  <c r="Z149" i="43" a="1"/>
  <c r="Z149" i="43" s="1"/>
  <c r="Z131" i="43" a="1"/>
  <c r="Z131" i="43" s="1"/>
  <c r="Z202" i="43" s="1"/>
  <c r="Z121" i="43" a="1"/>
  <c r="Z121" i="43" s="1"/>
  <c r="Z118" i="43" a="1"/>
  <c r="Z118" i="43" s="1"/>
  <c r="Z108" i="43" a="1"/>
  <c r="Z108" i="43" s="1"/>
  <c r="Z10" i="43" a="1"/>
  <c r="Z10" i="43" s="1"/>
  <c r="Z62" i="43" s="1"/>
  <c r="Z7" i="43" a="1"/>
  <c r="Z7" i="43" s="1"/>
  <c r="Z18" i="43" a="1"/>
  <c r="Z18" i="43" s="1"/>
  <c r="Z148" i="43" a="1"/>
  <c r="Z148" i="43" s="1"/>
  <c r="Z145" i="43" a="1"/>
  <c r="Z145" i="43" s="1"/>
  <c r="Z126" i="43" a="1"/>
  <c r="Z126" i="43" s="1"/>
  <c r="Z116" i="43" a="1"/>
  <c r="Z116" i="43" s="1"/>
  <c r="Z111" i="43" a="1"/>
  <c r="Z111" i="43" s="1"/>
  <c r="Z55" i="43"/>
  <c r="Z16" i="43" a="1"/>
  <c r="Z16" i="43" s="1"/>
  <c r="Z142" i="43" a="1"/>
  <c r="Z142" i="43" s="1"/>
  <c r="Z129" i="43" a="1"/>
  <c r="Z129" i="43" s="1"/>
  <c r="Z109" i="43" a="1"/>
  <c r="Z109" i="43" s="1"/>
  <c r="Z257" i="43" s="1"/>
  <c r="Z22" i="43" a="1"/>
  <c r="Z22" i="43" s="1"/>
  <c r="Z78" i="43" s="1"/>
  <c r="Z114" i="43" a="1"/>
  <c r="Z114" i="43" s="1"/>
  <c r="Z50" i="43" a="1"/>
  <c r="Z50" i="43" s="1"/>
  <c r="Z13" i="43" a="1"/>
  <c r="Z13" i="43" s="1"/>
  <c r="Z132" i="43" a="1"/>
  <c r="Z132" i="43" s="1"/>
  <c r="AA3" i="43"/>
  <c r="Z21" i="43" a="1"/>
  <c r="Z21" i="43" s="1"/>
  <c r="Z77" i="43" s="1"/>
  <c r="Z14" i="43" a="1"/>
  <c r="Z14" i="43" s="1"/>
  <c r="Y437" i="252" l="1"/>
  <c r="Y432" i="252"/>
  <c r="Y439" i="252"/>
  <c r="Y436" i="252"/>
  <c r="Y431" i="252"/>
  <c r="Y430" i="252"/>
  <c r="Y428" i="252"/>
  <c r="F447" i="252"/>
  <c r="Y435" i="252"/>
  <c r="Y434" i="252"/>
  <c r="Y426" i="252"/>
  <c r="Y429" i="252"/>
  <c r="Y427" i="252"/>
  <c r="Y422" i="252"/>
  <c r="Y438" i="252"/>
  <c r="Y433" i="252"/>
  <c r="Y424" i="252"/>
  <c r="Y423" i="252"/>
  <c r="Y425" i="252"/>
  <c r="Z5" i="252"/>
  <c r="Y6" i="252"/>
  <c r="Y441" i="252"/>
  <c r="Y440" i="252"/>
  <c r="Y442" i="252"/>
  <c r="Y444" i="252"/>
  <c r="D447" i="252"/>
  <c r="Z3" i="252"/>
  <c r="Y4" i="252"/>
  <c r="V446" i="252"/>
  <c r="R446" i="252"/>
  <c r="N446" i="252"/>
  <c r="U446" i="252"/>
  <c r="Q446" i="252"/>
  <c r="M446" i="252"/>
  <c r="T446" i="252"/>
  <c r="P446" i="252"/>
  <c r="L446" i="252"/>
  <c r="S446" i="252"/>
  <c r="O446" i="252"/>
  <c r="K446" i="252"/>
  <c r="W446" i="252"/>
  <c r="I446" i="252"/>
  <c r="H446" i="252"/>
  <c r="G446" i="252"/>
  <c r="Y445" i="252"/>
  <c r="AA258" i="252"/>
  <c r="AA198" i="252" s="1"/>
  <c r="Z217" i="252"/>
  <c r="AA246" i="252"/>
  <c r="AA235" i="252"/>
  <c r="AA239" i="252" s="1"/>
  <c r="Z52" i="252"/>
  <c r="Z130" i="43"/>
  <c r="Z136" i="43" s="1"/>
  <c r="Z295" i="43" s="1"/>
  <c r="Z119" i="43"/>
  <c r="Z265" i="43"/>
  <c r="Z65" i="43"/>
  <c r="Z52" i="43"/>
  <c r="Z53" i="43" s="1"/>
  <c r="AA197" i="43"/>
  <c r="Z203" i="43"/>
  <c r="Z186" i="43"/>
  <c r="Z185" i="43"/>
  <c r="Z240" i="43"/>
  <c r="AA236" i="43" s="1"/>
  <c r="Z32" i="43"/>
  <c r="Z46" i="43" s="1"/>
  <c r="Z255" i="43"/>
  <c r="Z268" i="43" s="1"/>
  <c r="Z219" i="43"/>
  <c r="Z220" i="43" s="1"/>
  <c r="Z100" i="43"/>
  <c r="Z170" i="43"/>
  <c r="Z143" i="43"/>
  <c r="Z147" i="43" s="1"/>
  <c r="Z153" i="43" s="1"/>
  <c r="Z281" i="43"/>
  <c r="Z288" i="43"/>
  <c r="Z289" i="43" s="1"/>
  <c r="Z112" i="43"/>
  <c r="Z156" i="43"/>
  <c r="AA216" i="43"/>
  <c r="Z222" i="43"/>
  <c r="Z187" i="43"/>
  <c r="Z172" i="43"/>
  <c r="Z71" i="43"/>
  <c r="Z9" i="43"/>
  <c r="Z41" i="43" s="1"/>
  <c r="Z35" i="43"/>
  <c r="Z182" i="43"/>
  <c r="Z183" i="43" s="1"/>
  <c r="Z165" i="43"/>
  <c r="Z66" i="43"/>
  <c r="Z230" i="43"/>
  <c r="Z68" i="43"/>
  <c r="Z98" i="43" s="1"/>
  <c r="AA253" i="43" a="1"/>
  <c r="AA253" i="43" s="1"/>
  <c r="AA249" i="43" a="1"/>
  <c r="AA249" i="43" s="1"/>
  <c r="AA252" i="43" a="1"/>
  <c r="AA252" i="43" s="1"/>
  <c r="AA248" i="43" a="1"/>
  <c r="AA248" i="43" s="1"/>
  <c r="AA262" i="43" a="1"/>
  <c r="AA262" i="43" s="1"/>
  <c r="AA251" i="43" a="1"/>
  <c r="AA251" i="43" s="1"/>
  <c r="AA247" i="43" a="1"/>
  <c r="AA247" i="43" s="1"/>
  <c r="AA246" i="43" a="1"/>
  <c r="AA246" i="43" s="1"/>
  <c r="AA198" i="43" a="1"/>
  <c r="AA198" i="43" s="1"/>
  <c r="AA204" i="43" s="1"/>
  <c r="AA254" i="43" a="1"/>
  <c r="AA254" i="43" s="1"/>
  <c r="AA211" i="43" a="1"/>
  <c r="AA211" i="43" s="1"/>
  <c r="AA264" i="43" a="1"/>
  <c r="AA264" i="43" s="1"/>
  <c r="AA29" i="43" s="1"/>
  <c r="AA191" i="43" a="1"/>
  <c r="AA191" i="43" s="1"/>
  <c r="AA190" i="43" a="1"/>
  <c r="AA190" i="43" s="1"/>
  <c r="AA181" i="43" a="1"/>
  <c r="AA181" i="43" s="1"/>
  <c r="AA217" i="43" a="1"/>
  <c r="AA217" i="43" s="1"/>
  <c r="AA223" i="43" s="1"/>
  <c r="AA180" i="43" a="1"/>
  <c r="AA180" i="43" s="1"/>
  <c r="AA250" i="43" a="1"/>
  <c r="AA250" i="43" s="1"/>
  <c r="AA151" i="43" a="1"/>
  <c r="AA151" i="43" s="1"/>
  <c r="AA150" i="43" a="1"/>
  <c r="AA150" i="43" s="1"/>
  <c r="AA149" i="43" a="1"/>
  <c r="AA149" i="43" s="1"/>
  <c r="AA146" i="43" a="1"/>
  <c r="AA146" i="43" s="1"/>
  <c r="AA141" i="43" a="1"/>
  <c r="AA141" i="43" s="1"/>
  <c r="AA138" i="43" a="1"/>
  <c r="AA138" i="43" s="1"/>
  <c r="AA135" i="43" a="1"/>
  <c r="AA135" i="43" s="1"/>
  <c r="AA133" i="43" a="1"/>
  <c r="AA133" i="43" s="1"/>
  <c r="AA221" i="43" s="1"/>
  <c r="AA222" i="43" s="1"/>
  <c r="AA117" i="43" a="1"/>
  <c r="AA117" i="43" s="1"/>
  <c r="AA110" i="43" a="1"/>
  <c r="AA110" i="43" s="1"/>
  <c r="AA237" i="43" s="1"/>
  <c r="AA104" i="43" a="1"/>
  <c r="AA104" i="43" s="1"/>
  <c r="AA163" i="43" s="1"/>
  <c r="AA102" i="43" a="1"/>
  <c r="AA102" i="43" s="1"/>
  <c r="AA101" i="43" a="1"/>
  <c r="AA101" i="43" s="1"/>
  <c r="AA50" i="43" a="1"/>
  <c r="AA50" i="43" s="1"/>
  <c r="AA144" i="43" a="1"/>
  <c r="AA144" i="43" s="1"/>
  <c r="AA128" i="43" a="1"/>
  <c r="AA128" i="43" s="1"/>
  <c r="AA115" i="43" a="1"/>
  <c r="AA115" i="43" s="1"/>
  <c r="AA87" i="43"/>
  <c r="AA55" i="43"/>
  <c r="AA56" i="43" s="1"/>
  <c r="AA131" i="43" a="1"/>
  <c r="AA131" i="43" s="1"/>
  <c r="AA121" i="43" a="1"/>
  <c r="AA121" i="43" s="1"/>
  <c r="AA118" i="43" a="1"/>
  <c r="AA118" i="43" s="1"/>
  <c r="AA108" i="43" a="1"/>
  <c r="AA108" i="43" s="1"/>
  <c r="AA18" i="43" a="1"/>
  <c r="AA18" i="43" s="1"/>
  <c r="AA16" i="43" a="1"/>
  <c r="AA16" i="43" s="1"/>
  <c r="AA148" i="43" a="1"/>
  <c r="AA148" i="43" s="1"/>
  <c r="AA145" i="43" a="1"/>
  <c r="AA145" i="43" s="1"/>
  <c r="AA126" i="43" a="1"/>
  <c r="AA126" i="43" s="1"/>
  <c r="AA116" i="43" a="1"/>
  <c r="AA116" i="43" s="1"/>
  <c r="AA111" i="43" a="1"/>
  <c r="AA111" i="43" s="1"/>
  <c r="AA51" i="43" a="1"/>
  <c r="AA51" i="43" s="1"/>
  <c r="AA22" i="43" a="1"/>
  <c r="AA22" i="43" s="1"/>
  <c r="AA78" i="43" s="1"/>
  <c r="AA21" i="43" a="1"/>
  <c r="AA21" i="43" s="1"/>
  <c r="AA77" i="43" s="1"/>
  <c r="AA14" i="43" a="1"/>
  <c r="AA14" i="43" s="1"/>
  <c r="AA13" i="43" a="1"/>
  <c r="AA13" i="43" s="1"/>
  <c r="AA19" i="43" a="1"/>
  <c r="AA19" i="43" s="1"/>
  <c r="AA8" i="43" a="1"/>
  <c r="AA8" i="43" s="1"/>
  <c r="AA34" i="43" s="1"/>
  <c r="AA142" i="43" a="1"/>
  <c r="AA142" i="43" s="1"/>
  <c r="AA132" i="43" a="1"/>
  <c r="AA132" i="43" s="1"/>
  <c r="AA129" i="43" a="1"/>
  <c r="AA129" i="43" s="1"/>
  <c r="AA114" i="43" a="1"/>
  <c r="AA114" i="43" s="1"/>
  <c r="AA109" i="43" a="1"/>
  <c r="AA109" i="43" s="1"/>
  <c r="AA257" i="43" s="1"/>
  <c r="AA49" i="43" a="1"/>
  <c r="AA49" i="43" s="1"/>
  <c r="AA12" i="43" a="1"/>
  <c r="AA12" i="43" s="1"/>
  <c r="AB3" i="43"/>
  <c r="AA88" i="43"/>
  <c r="AA91" i="43" s="1"/>
  <c r="AA10" i="43" a="1"/>
  <c r="AA10" i="43" s="1"/>
  <c r="AA62" i="43" s="1"/>
  <c r="AA7" i="43" a="1"/>
  <c r="AA7" i="43" s="1"/>
  <c r="AA140" i="43" a="1"/>
  <c r="AA140" i="43" s="1"/>
  <c r="AA139" i="43" a="1"/>
  <c r="AA139" i="43" s="1"/>
  <c r="AA127" i="43" a="1"/>
  <c r="AA127" i="43" s="1"/>
  <c r="Z192" i="43"/>
  <c r="Z193" i="43" s="1"/>
  <c r="Z75" i="43"/>
  <c r="Z159" i="43"/>
  <c r="Z200" i="43"/>
  <c r="Z201" i="43" s="1"/>
  <c r="AA27" i="43" l="1"/>
  <c r="Z446" i="252"/>
  <c r="AB254" i="252"/>
  <c r="AB255" i="252" s="1"/>
  <c r="AB128" i="252" s="1"/>
  <c r="I447" i="252"/>
  <c r="H447" i="252"/>
  <c r="G447" i="252"/>
  <c r="X446" i="252"/>
  <c r="Y446" i="252"/>
  <c r="D448" i="252"/>
  <c r="Z4" i="252"/>
  <c r="AA3" i="252"/>
  <c r="Z441" i="252"/>
  <c r="Z440" i="252"/>
  <c r="F448" i="252"/>
  <c r="Z439" i="252"/>
  <c r="Z436" i="252"/>
  <c r="Z431" i="252"/>
  <c r="Z430" i="252"/>
  <c r="Z428" i="252"/>
  <c r="Z442" i="252"/>
  <c r="Z435" i="252"/>
  <c r="Z434" i="252"/>
  <c r="Z426" i="252"/>
  <c r="Z438" i="252"/>
  <c r="Z433" i="252"/>
  <c r="Z429" i="252"/>
  <c r="Z427" i="252"/>
  <c r="Z425" i="252"/>
  <c r="Z437" i="252"/>
  <c r="Z432" i="252"/>
  <c r="Z423" i="252"/>
  <c r="Z424" i="252"/>
  <c r="Z422" i="252"/>
  <c r="AA5" i="252"/>
  <c r="Z6" i="252"/>
  <c r="Z444" i="252"/>
  <c r="Z445" i="252"/>
  <c r="U447" i="252"/>
  <c r="Q447" i="252"/>
  <c r="M447" i="252"/>
  <c r="X447" i="252"/>
  <c r="T447" i="252"/>
  <c r="P447" i="252"/>
  <c r="L447" i="252"/>
  <c r="W447" i="252"/>
  <c r="S447" i="252"/>
  <c r="O447" i="252"/>
  <c r="K447" i="252"/>
  <c r="R447" i="252"/>
  <c r="N447" i="252"/>
  <c r="V447" i="252"/>
  <c r="Z447" i="252"/>
  <c r="AA447" i="252"/>
  <c r="Y447" i="252"/>
  <c r="AA38" i="252"/>
  <c r="Z244" i="252"/>
  <c r="Z216" i="252"/>
  <c r="AB234" i="252"/>
  <c r="AA150" i="252"/>
  <c r="AA202" i="43"/>
  <c r="AA214" i="43" s="1"/>
  <c r="Z270" i="43"/>
  <c r="AA241" i="43"/>
  <c r="AA242" i="43" s="1"/>
  <c r="Z154" i="43"/>
  <c r="Z275" i="43"/>
  <c r="Z273" i="43"/>
  <c r="Z267" i="43"/>
  <c r="Z269" i="43"/>
  <c r="Z259" i="43"/>
  <c r="Z272" i="43"/>
  <c r="AA112" i="43"/>
  <c r="AA182" i="43"/>
  <c r="AA183" i="43" s="1"/>
  <c r="AA187" i="43"/>
  <c r="AA265" i="43"/>
  <c r="AA66" i="43"/>
  <c r="AA170" i="43"/>
  <c r="AA143" i="43"/>
  <c r="AA147" i="43" s="1"/>
  <c r="AA153" i="43" s="1"/>
  <c r="AA255" i="43"/>
  <c r="AA269" i="43" s="1"/>
  <c r="AA165" i="43"/>
  <c r="Z162" i="43"/>
  <c r="Z164" i="43" s="1"/>
  <c r="Z283" i="43"/>
  <c r="Z282" i="43"/>
  <c r="Z284" i="43" s="1"/>
  <c r="AA240" i="43"/>
  <c r="AA32" i="43"/>
  <c r="AA46" i="43" s="1"/>
  <c r="Z231" i="43"/>
  <c r="J249" i="252" s="1"/>
  <c r="J244" i="252" s="1"/>
  <c r="J217" i="252" s="1"/>
  <c r="Z233" i="43"/>
  <c r="J251" i="252" s="1"/>
  <c r="J246" i="252" s="1"/>
  <c r="J236" i="252" s="1"/>
  <c r="Z232" i="43"/>
  <c r="J250" i="252" s="1"/>
  <c r="J245" i="252" s="1"/>
  <c r="Z229" i="43"/>
  <c r="Z234" i="43" s="1"/>
  <c r="J252" i="252" s="1"/>
  <c r="J247" i="252" s="1"/>
  <c r="Z317" i="43"/>
  <c r="Z205" i="43"/>
  <c r="Z28" i="43"/>
  <c r="Z61" i="43"/>
  <c r="Z11" i="43"/>
  <c r="Z175" i="43"/>
  <c r="Z171" i="43"/>
  <c r="Z173" i="43" s="1"/>
  <c r="AA188" i="43"/>
  <c r="AB262" i="43" a="1"/>
  <c r="AB262" i="43" s="1"/>
  <c r="AB251" i="43" a="1"/>
  <c r="AB251" i="43" s="1"/>
  <c r="AB247" i="43" a="1"/>
  <c r="AB247" i="43" s="1"/>
  <c r="AB264" i="43" a="1"/>
  <c r="AB264" i="43" s="1"/>
  <c r="AB29" i="43" s="1"/>
  <c r="AB254" i="43" a="1"/>
  <c r="AB254" i="43" s="1"/>
  <c r="AB250" i="43" a="1"/>
  <c r="AB250" i="43" s="1"/>
  <c r="AB253" i="43" a="1"/>
  <c r="AB253" i="43" s="1"/>
  <c r="AB249" i="43" a="1"/>
  <c r="AB249" i="43" s="1"/>
  <c r="AB252" i="43" a="1"/>
  <c r="AB252" i="43" s="1"/>
  <c r="AB248" i="43" a="1"/>
  <c r="AB248" i="43" s="1"/>
  <c r="AB246" i="43" a="1"/>
  <c r="AB246" i="43" s="1"/>
  <c r="AB217" i="43" a="1"/>
  <c r="AB217" i="43" s="1"/>
  <c r="AB223" i="43" s="1"/>
  <c r="AB190" i="43" a="1"/>
  <c r="AB190" i="43" s="1"/>
  <c r="AB198" i="43" a="1"/>
  <c r="AB198" i="43" s="1"/>
  <c r="AB204" i="43" s="1"/>
  <c r="AB180" i="43" a="1"/>
  <c r="AB180" i="43" s="1"/>
  <c r="AB211" i="43" a="1"/>
  <c r="AB211" i="43" s="1"/>
  <c r="AB212" i="43" s="1"/>
  <c r="AB150" i="43" a="1"/>
  <c r="AB150" i="43" s="1"/>
  <c r="AB144" i="43" a="1"/>
  <c r="AB144" i="43" s="1"/>
  <c r="AB128" i="43" a="1"/>
  <c r="AB128" i="43" s="1"/>
  <c r="AB115" i="43" a="1"/>
  <c r="AB115" i="43" s="1"/>
  <c r="AB51" i="43" a="1"/>
  <c r="AB51" i="43" s="1"/>
  <c r="AB49" i="43" a="1"/>
  <c r="AB49" i="43" s="1"/>
  <c r="AB149" i="43" a="1"/>
  <c r="AB149" i="43" s="1"/>
  <c r="AB146" i="43" a="1"/>
  <c r="AB146" i="43" s="1"/>
  <c r="AB141" i="43" a="1"/>
  <c r="AB141" i="43" s="1"/>
  <c r="AB138" i="43" a="1"/>
  <c r="AB138" i="43" s="1"/>
  <c r="AB135" i="43" a="1"/>
  <c r="AB135" i="43" s="1"/>
  <c r="AB133" i="43" a="1"/>
  <c r="AB133" i="43" s="1"/>
  <c r="AB221" i="43" s="1"/>
  <c r="AB222" i="43" s="1"/>
  <c r="AB117" i="43" a="1"/>
  <c r="AB117" i="43" s="1"/>
  <c r="AB110" i="43" a="1"/>
  <c r="AB110" i="43" s="1"/>
  <c r="AB237" i="43" s="1"/>
  <c r="AB104" i="43" a="1"/>
  <c r="AB104" i="43" s="1"/>
  <c r="AB163" i="43" s="1"/>
  <c r="AB102" i="43" a="1"/>
  <c r="AB102" i="43" s="1"/>
  <c r="AB101" i="43" a="1"/>
  <c r="AB101" i="43" s="1"/>
  <c r="AB88" i="43"/>
  <c r="AB91" i="43" s="1"/>
  <c r="AB151" i="43" a="1"/>
  <c r="AB151" i="43" s="1"/>
  <c r="AB148" i="43" a="1"/>
  <c r="AB148" i="43" s="1"/>
  <c r="AB145" i="43" a="1"/>
  <c r="AB145" i="43" s="1"/>
  <c r="AB126" i="43" a="1"/>
  <c r="AB126" i="43" s="1"/>
  <c r="AB116" i="43" a="1"/>
  <c r="AB116" i="43" s="1"/>
  <c r="AB111" i="43" a="1"/>
  <c r="AB111" i="43" s="1"/>
  <c r="AB50" i="43" a="1"/>
  <c r="AB50" i="43" s="1"/>
  <c r="AB19" i="43" a="1"/>
  <c r="AB19" i="43" s="1"/>
  <c r="AB12" i="43" a="1"/>
  <c r="AB12" i="43" s="1"/>
  <c r="AB8" i="43" a="1"/>
  <c r="AB8" i="43" s="1"/>
  <c r="AB34" i="43" s="1"/>
  <c r="AB18" i="43" a="1"/>
  <c r="AB18" i="43" s="1"/>
  <c r="AB142" i="43" a="1"/>
  <c r="AB142" i="43" s="1"/>
  <c r="AB132" i="43" a="1"/>
  <c r="AB132" i="43" s="1"/>
  <c r="AB129" i="43" a="1"/>
  <c r="AB129" i="43" s="1"/>
  <c r="AB114" i="43" a="1"/>
  <c r="AB114" i="43" s="1"/>
  <c r="AB109" i="43" a="1"/>
  <c r="AB109" i="43" s="1"/>
  <c r="AB257" i="43" s="1"/>
  <c r="AB55" i="43"/>
  <c r="AB56" i="43" s="1"/>
  <c r="AB10" i="43" a="1"/>
  <c r="AB10" i="43" s="1"/>
  <c r="AB62" i="43" s="1"/>
  <c r="AB7" i="43" a="1"/>
  <c r="AB7" i="43" s="1"/>
  <c r="AC3" i="43"/>
  <c r="AB16" i="43" a="1"/>
  <c r="AB16" i="43" s="1"/>
  <c r="AB140" i="43" a="1"/>
  <c r="AB140" i="43" s="1"/>
  <c r="AB139" i="43" a="1"/>
  <c r="AB139" i="43" s="1"/>
  <c r="AB127" i="43" a="1"/>
  <c r="AB127" i="43" s="1"/>
  <c r="AB131" i="43" a="1"/>
  <c r="AB131" i="43" s="1"/>
  <c r="AB108" i="43" a="1"/>
  <c r="AB108" i="43" s="1"/>
  <c r="AB13" i="43" a="1"/>
  <c r="AB13" i="43" s="1"/>
  <c r="AB21" i="43" a="1"/>
  <c r="AB21" i="43" s="1"/>
  <c r="AB77" i="43" s="1"/>
  <c r="AB14" i="43" a="1"/>
  <c r="AB14" i="43" s="1"/>
  <c r="AB191" i="43" a="1"/>
  <c r="AB191" i="43" s="1"/>
  <c r="AB181" i="43" a="1"/>
  <c r="AB181" i="43" s="1"/>
  <c r="AB121" i="43" a="1"/>
  <c r="AB121" i="43" s="1"/>
  <c r="AB118" i="43" a="1"/>
  <c r="AB118" i="43" s="1"/>
  <c r="AB87" i="43"/>
  <c r="AB22" i="43" a="1"/>
  <c r="AB22" i="43" s="1"/>
  <c r="AB78" i="43" s="1"/>
  <c r="AA281" i="43"/>
  <c r="AA288" i="43"/>
  <c r="AA289" i="43" s="1"/>
  <c r="AA35" i="43"/>
  <c r="AA9" i="43"/>
  <c r="AA41" i="43" s="1"/>
  <c r="AA65" i="43"/>
  <c r="AA119" i="43"/>
  <c r="AA71" i="43"/>
  <c r="AA186" i="43"/>
  <c r="AA185" i="43"/>
  <c r="AB207" i="43"/>
  <c r="AA238" i="43"/>
  <c r="Z274" i="43"/>
  <c r="Z271" i="43"/>
  <c r="Z40" i="43"/>
  <c r="Z340" i="43" s="1"/>
  <c r="AA52" i="43"/>
  <c r="AA53" i="43" s="1"/>
  <c r="AA230" i="43"/>
  <c r="AA68" i="43"/>
  <c r="AA98" i="43" s="1"/>
  <c r="AA156" i="43"/>
  <c r="AA100" i="43"/>
  <c r="AA130" i="43"/>
  <c r="AA136" i="43" s="1"/>
  <c r="AA295" i="43" s="1"/>
  <c r="AA192" i="43"/>
  <c r="AA193" i="43" s="1"/>
  <c r="AA75" i="43"/>
  <c r="AA159" i="43"/>
  <c r="AB216" i="43"/>
  <c r="AA172" i="43"/>
  <c r="AA219" i="43"/>
  <c r="AA220" i="43" s="1"/>
  <c r="AA200" i="43"/>
  <c r="Z36" i="43"/>
  <c r="Z333" i="43" s="1"/>
  <c r="Z256" i="43"/>
  <c r="Z260" i="43" s="1"/>
  <c r="Z258" i="43"/>
  <c r="Z263" i="43"/>
  <c r="Z31" i="43" s="1"/>
  <c r="Z30" i="43"/>
  <c r="Z45" i="43" s="1"/>
  <c r="F449" i="252" l="1"/>
  <c r="AA442" i="252"/>
  <c r="AA440" i="252"/>
  <c r="AA435" i="252"/>
  <c r="AA434" i="252"/>
  <c r="AA426" i="252"/>
  <c r="AA438" i="252"/>
  <c r="AA433" i="252"/>
  <c r="AA429" i="252"/>
  <c r="AA427" i="252"/>
  <c r="AA425" i="252"/>
  <c r="AA441" i="252"/>
  <c r="AA437" i="252"/>
  <c r="AA432" i="252"/>
  <c r="AA424" i="252"/>
  <c r="AA422" i="252"/>
  <c r="AA436" i="252"/>
  <c r="AA423" i="252"/>
  <c r="AA439" i="252"/>
  <c r="AA430" i="252"/>
  <c r="AA428" i="252"/>
  <c r="AA431" i="252"/>
  <c r="AA6" i="252"/>
  <c r="AB5" i="252"/>
  <c r="AA444" i="252"/>
  <c r="AA445" i="252"/>
  <c r="AA446" i="252"/>
  <c r="X448" i="252"/>
  <c r="T448" i="252"/>
  <c r="P448" i="252"/>
  <c r="L448" i="252"/>
  <c r="W448" i="252"/>
  <c r="S448" i="252"/>
  <c r="O448" i="252"/>
  <c r="K448" i="252"/>
  <c r="V448" i="252"/>
  <c r="R448" i="252"/>
  <c r="N448" i="252"/>
  <c r="Q448" i="252"/>
  <c r="M448" i="252"/>
  <c r="Y448" i="252"/>
  <c r="U448" i="252"/>
  <c r="I448" i="252"/>
  <c r="H448" i="252"/>
  <c r="AA448" i="252" s="1"/>
  <c r="G448" i="252"/>
  <c r="D449" i="252"/>
  <c r="AB3" i="252"/>
  <c r="AA4" i="252"/>
  <c r="AB197" i="43"/>
  <c r="AB236" i="252"/>
  <c r="AA52" i="252"/>
  <c r="Z126" i="252"/>
  <c r="Z130" i="252" s="1"/>
  <c r="Z220" i="252"/>
  <c r="AB258" i="252"/>
  <c r="AA203" i="43"/>
  <c r="AA201" i="43"/>
  <c r="AA274" i="43"/>
  <c r="AB202" i="43"/>
  <c r="AB265" i="43"/>
  <c r="AA272" i="43"/>
  <c r="AA271" i="43"/>
  <c r="AA273" i="43"/>
  <c r="AB188" i="43"/>
  <c r="AA275" i="43"/>
  <c r="AA270" i="43"/>
  <c r="AA268" i="43"/>
  <c r="AB159" i="43"/>
  <c r="AB255" i="43"/>
  <c r="AB267" i="43" s="1"/>
  <c r="AB130" i="43"/>
  <c r="AB136" i="43" s="1"/>
  <c r="AB295" i="43" s="1"/>
  <c r="AB170" i="43"/>
  <c r="AB171" i="43" s="1"/>
  <c r="AB143" i="43"/>
  <c r="AB147" i="43" s="1"/>
  <c r="AB153" i="43" s="1"/>
  <c r="AB52" i="43"/>
  <c r="AB53" i="43" s="1"/>
  <c r="AB182" i="43"/>
  <c r="AB183" i="43" s="1"/>
  <c r="AB165" i="43"/>
  <c r="AB210" i="43"/>
  <c r="AB208" i="43" s="1"/>
  <c r="AB219" i="43"/>
  <c r="AB220" i="43" s="1"/>
  <c r="Z38" i="43"/>
  <c r="Z325" i="43" s="1"/>
  <c r="Z15" i="43"/>
  <c r="J241" i="252"/>
  <c r="J238" i="252"/>
  <c r="J240" i="252"/>
  <c r="AA239" i="43"/>
  <c r="AB236" i="43"/>
  <c r="AB241" i="43" s="1"/>
  <c r="AB242" i="43" s="1"/>
  <c r="AA256" i="43"/>
  <c r="AA260" i="43" s="1"/>
  <c r="AA258" i="43"/>
  <c r="AA263" i="43"/>
  <c r="AA31" i="43" s="1"/>
  <c r="AA30" i="43"/>
  <c r="AA45" i="43" s="1"/>
  <c r="AB156" i="43"/>
  <c r="AC253" i="43" a="1"/>
  <c r="AC253" i="43" s="1"/>
  <c r="AC249" i="43" a="1"/>
  <c r="AC249" i="43" s="1"/>
  <c r="AC252" i="43" a="1"/>
  <c r="AC252" i="43" s="1"/>
  <c r="AC248" i="43" a="1"/>
  <c r="AC248" i="43" s="1"/>
  <c r="AC262" i="43" a="1"/>
  <c r="AC262" i="43" s="1"/>
  <c r="AC251" i="43" a="1"/>
  <c r="AC251" i="43" s="1"/>
  <c r="AC254" i="43" a="1"/>
  <c r="AC254" i="43" s="1"/>
  <c r="AC246" i="43" a="1"/>
  <c r="AC246" i="43" s="1"/>
  <c r="AC198" i="43" a="1"/>
  <c r="AC198" i="43" s="1"/>
  <c r="AC264" i="43" a="1"/>
  <c r="AC264" i="43" s="1"/>
  <c r="AC29" i="43" s="1"/>
  <c r="AC250" i="43" a="1"/>
  <c r="AC250" i="43" s="1"/>
  <c r="AC247" i="43" a="1"/>
  <c r="AC247" i="43" s="1"/>
  <c r="AC217" i="43" a="1"/>
  <c r="AC217" i="43" s="1"/>
  <c r="AC180" i="43" a="1"/>
  <c r="AC180" i="43" s="1"/>
  <c r="AC141" i="43" a="1"/>
  <c r="AC141" i="43" s="1"/>
  <c r="AC138" i="43" a="1"/>
  <c r="AC138" i="43" s="1"/>
  <c r="AC135" i="43" a="1"/>
  <c r="AC135" i="43" s="1"/>
  <c r="AC133" i="43" a="1"/>
  <c r="AC133" i="43" s="1"/>
  <c r="AC221" i="43" s="1"/>
  <c r="AD216" i="43" s="1"/>
  <c r="AC117" i="43" a="1"/>
  <c r="AC117" i="43" s="1"/>
  <c r="AC110" i="43" a="1"/>
  <c r="AC110" i="43" s="1"/>
  <c r="AC237" i="43" s="1"/>
  <c r="AC102" i="43" a="1"/>
  <c r="AC102" i="43" s="1"/>
  <c r="AC101" i="43" a="1"/>
  <c r="AC101" i="43" s="1"/>
  <c r="AC87" i="43"/>
  <c r="AC55" i="43"/>
  <c r="AC56" i="43" s="1"/>
  <c r="AC115" i="43" a="1"/>
  <c r="AC115" i="43" s="1"/>
  <c r="AC142" i="43" a="1"/>
  <c r="AC142" i="43" s="1"/>
  <c r="AC132" i="43" a="1"/>
  <c r="AC132" i="43" s="1"/>
  <c r="AC109" i="43" a="1"/>
  <c r="AC109" i="43" s="1"/>
  <c r="AC257" i="43" s="1"/>
  <c r="AC16" i="43" a="1"/>
  <c r="AC16" i="43" s="1"/>
  <c r="AD3" i="43"/>
  <c r="AC139" i="43" a="1"/>
  <c r="AC139" i="43" s="1"/>
  <c r="AC13" i="43" a="1"/>
  <c r="AC13" i="43" s="1"/>
  <c r="AC121" i="43" a="1"/>
  <c r="AC121" i="43" s="1"/>
  <c r="AC118" i="43" a="1"/>
  <c r="AC118" i="43" s="1"/>
  <c r="AC108" i="43" a="1"/>
  <c r="AC108" i="43" s="1"/>
  <c r="AC88" i="43"/>
  <c r="AC91" i="43" s="1"/>
  <c r="AC19" i="43" a="1"/>
  <c r="AC19" i="43" s="1"/>
  <c r="AC150" i="43" a="1"/>
  <c r="AC150" i="43" s="1"/>
  <c r="AC149" i="43" a="1"/>
  <c r="AC149" i="43" s="1"/>
  <c r="AC111" i="43" a="1"/>
  <c r="AC111" i="43" s="1"/>
  <c r="AC148" i="43" a="1"/>
  <c r="AC148" i="43" s="1"/>
  <c r="AC116" i="43" a="1"/>
  <c r="AC116" i="43" s="1"/>
  <c r="AA175" i="43"/>
  <c r="AA162" i="43"/>
  <c r="AA164" i="43" s="1"/>
  <c r="AA229" i="43"/>
  <c r="AA234" i="43" s="1"/>
  <c r="M252" i="252" s="1"/>
  <c r="M247" i="252" s="1"/>
  <c r="AA233" i="43"/>
  <c r="M251" i="252" s="1"/>
  <c r="M246" i="252" s="1"/>
  <c r="M236" i="252" s="1"/>
  <c r="AA232" i="43"/>
  <c r="M250" i="252" s="1"/>
  <c r="M245" i="252" s="1"/>
  <c r="M227" i="252" s="1"/>
  <c r="AA231" i="43"/>
  <c r="M249" i="252" s="1"/>
  <c r="M244" i="252" s="1"/>
  <c r="M217" i="252" s="1"/>
  <c r="AB185" i="43"/>
  <c r="AB186" i="43"/>
  <c r="AB9" i="43"/>
  <c r="AB35" i="43"/>
  <c r="AB192" i="43"/>
  <c r="AB193" i="43" s="1"/>
  <c r="AB75" i="43"/>
  <c r="AB187" i="43"/>
  <c r="AB112" i="43"/>
  <c r="AB172" i="43"/>
  <c r="AA171" i="43"/>
  <c r="AA173" i="43" s="1"/>
  <c r="Z364" i="43"/>
  <c r="Z294" i="43"/>
  <c r="Z224" i="43"/>
  <c r="Z63" i="43"/>
  <c r="Z158" i="43"/>
  <c r="Z160" i="43"/>
  <c r="Z184" i="43"/>
  <c r="J221" i="252"/>
  <c r="J222" i="252"/>
  <c r="J219" i="252"/>
  <c r="Z157" i="43"/>
  <c r="AA267" i="43"/>
  <c r="AA317" i="43"/>
  <c r="AA205" i="43"/>
  <c r="AA61" i="43"/>
  <c r="AA28" i="43"/>
  <c r="AA11" i="43"/>
  <c r="AA283" i="43"/>
  <c r="AA282" i="43"/>
  <c r="AA284" i="43" s="1"/>
  <c r="AB240" i="43"/>
  <c r="AB32" i="43"/>
  <c r="AB46" i="43" s="1"/>
  <c r="AB238" i="43"/>
  <c r="AB100" i="43"/>
  <c r="AB230" i="43"/>
  <c r="AB68" i="43"/>
  <c r="AB98" i="43" s="1"/>
  <c r="AB119" i="43"/>
  <c r="AB27" i="43"/>
  <c r="AA40" i="43"/>
  <c r="AA340" i="43" s="1"/>
  <c r="AA36" i="43"/>
  <c r="AA333" i="43" s="1"/>
  <c r="AB66" i="43"/>
  <c r="AB71" i="43"/>
  <c r="AB65" i="43"/>
  <c r="AB288" i="43"/>
  <c r="AB289" i="43" s="1"/>
  <c r="AB281" i="43"/>
  <c r="AC216" i="43"/>
  <c r="AC207" i="43"/>
  <c r="AB200" i="43"/>
  <c r="AA154" i="43"/>
  <c r="AA259" i="43"/>
  <c r="AB448" i="252" l="1"/>
  <c r="W449" i="252"/>
  <c r="S449" i="252"/>
  <c r="O449" i="252"/>
  <c r="K449" i="252"/>
  <c r="Z449" i="252"/>
  <c r="V449" i="252"/>
  <c r="R449" i="252"/>
  <c r="N449" i="252"/>
  <c r="Y449" i="252"/>
  <c r="U449" i="252"/>
  <c r="Q449" i="252"/>
  <c r="M449" i="252"/>
  <c r="P449" i="252"/>
  <c r="L449" i="252"/>
  <c r="X449" i="252"/>
  <c r="T449" i="252"/>
  <c r="D450" i="252"/>
  <c r="AC3" i="252"/>
  <c r="AB4" i="252"/>
  <c r="Z448" i="252"/>
  <c r="AB442" i="252"/>
  <c r="AB441" i="252"/>
  <c r="AB438" i="252"/>
  <c r="AB433" i="252"/>
  <c r="AB429" i="252"/>
  <c r="AB427" i="252"/>
  <c r="F450" i="252"/>
  <c r="AB437" i="252"/>
  <c r="AB432" i="252"/>
  <c r="AB439" i="252"/>
  <c r="AB436" i="252"/>
  <c r="AB431" i="252"/>
  <c r="AB430" i="252"/>
  <c r="AB428" i="252"/>
  <c r="AB425" i="252"/>
  <c r="AB440" i="252"/>
  <c r="AB435" i="252"/>
  <c r="AB423" i="252"/>
  <c r="AB426" i="252"/>
  <c r="AB434" i="252"/>
  <c r="AB422" i="252"/>
  <c r="AB424" i="252"/>
  <c r="AC5" i="252"/>
  <c r="AB6" i="252"/>
  <c r="AB444" i="252"/>
  <c r="AB445" i="252"/>
  <c r="AB446" i="252"/>
  <c r="AB447" i="252"/>
  <c r="I449" i="252"/>
  <c r="H449" i="252"/>
  <c r="AA449" i="252" s="1"/>
  <c r="G449" i="252"/>
  <c r="AB203" i="43"/>
  <c r="AC254" i="252"/>
  <c r="AB198" i="252"/>
  <c r="AA215" i="252"/>
  <c r="AB235" i="252"/>
  <c r="AB239" i="252" s="1"/>
  <c r="AB246" i="252"/>
  <c r="AB271" i="43"/>
  <c r="AB275" i="43"/>
  <c r="AB270" i="43"/>
  <c r="AB268" i="43"/>
  <c r="AB273" i="43"/>
  <c r="AB274" i="43"/>
  <c r="AB259" i="43"/>
  <c r="AB201" i="43"/>
  <c r="AC197" i="43"/>
  <c r="AB214" i="43"/>
  <c r="AB272" i="43"/>
  <c r="AB269" i="43"/>
  <c r="AC265" i="43"/>
  <c r="AB40" i="43"/>
  <c r="AB340" i="43" s="1"/>
  <c r="AB154" i="43"/>
  <c r="AC112" i="43"/>
  <c r="AC27" i="43"/>
  <c r="AA364" i="43"/>
  <c r="AA294" i="43"/>
  <c r="AA224" i="43"/>
  <c r="AA213" i="43"/>
  <c r="AA63" i="43"/>
  <c r="AA160" i="43"/>
  <c r="AA158" i="43"/>
  <c r="AA184" i="43"/>
  <c r="M221" i="252"/>
  <c r="M222" i="252"/>
  <c r="M219" i="252"/>
  <c r="AA157" i="43"/>
  <c r="AB282" i="43"/>
  <c r="AB284" i="43" s="1"/>
  <c r="AB283" i="43"/>
  <c r="M230" i="252"/>
  <c r="M226" i="252"/>
  <c r="AC230" i="43"/>
  <c r="AC68" i="43"/>
  <c r="AC98" i="43" s="1"/>
  <c r="AB41" i="43"/>
  <c r="AB239" i="43"/>
  <c r="AC236" i="43"/>
  <c r="AC241" i="43" s="1"/>
  <c r="AC242" i="43" s="1"/>
  <c r="AA38" i="43"/>
  <c r="AA325" i="43" s="1"/>
  <c r="AA15" i="43"/>
  <c r="AB36" i="43"/>
  <c r="M240" i="252"/>
  <c r="M238" i="252"/>
  <c r="M241" i="252"/>
  <c r="AC71" i="43"/>
  <c r="AC238" i="43"/>
  <c r="AC255" i="43"/>
  <c r="AC274" i="43" s="1"/>
  <c r="AC165" i="43"/>
  <c r="AB162" i="43"/>
  <c r="AB164" i="43" s="1"/>
  <c r="AD264" i="43" a="1"/>
  <c r="AD264" i="43" s="1"/>
  <c r="AD29" i="43" s="1"/>
  <c r="AD262" i="43" a="1"/>
  <c r="AD262" i="43" s="1"/>
  <c r="AD251" i="43" a="1"/>
  <c r="AD251" i="43" s="1"/>
  <c r="AD247" i="43" a="1"/>
  <c r="AD247" i="43" s="1"/>
  <c r="AD254" i="43" a="1"/>
  <c r="AD254" i="43" s="1"/>
  <c r="AD250" i="43" a="1"/>
  <c r="AD250" i="43" s="1"/>
  <c r="AD246" i="43" a="1"/>
  <c r="AD246" i="43" s="1"/>
  <c r="AD253" i="43" a="1"/>
  <c r="AD253" i="43" s="1"/>
  <c r="AD249" i="43" a="1"/>
  <c r="AD249" i="43" s="1"/>
  <c r="AD248" i="43" a="1"/>
  <c r="AD248" i="43" s="1"/>
  <c r="AD229" i="43" a="1"/>
  <c r="AD229" i="43" s="1"/>
  <c r="AD228" i="43" a="1"/>
  <c r="AD228" i="43" s="1"/>
  <c r="AD217" i="43" a="1"/>
  <c r="AD217" i="43" s="1"/>
  <c r="AD252" i="43" a="1"/>
  <c r="AD252" i="43" s="1"/>
  <c r="AD180" i="43" a="1"/>
  <c r="AD180" i="43" s="1"/>
  <c r="AD201" i="43" a="1"/>
  <c r="AD201" i="43" s="1"/>
  <c r="AD150" i="43" a="1"/>
  <c r="AD150" i="43" s="1"/>
  <c r="AD226" i="43" a="1"/>
  <c r="AD226" i="43" s="1"/>
  <c r="AD198" i="43" a="1"/>
  <c r="AD198" i="43" s="1"/>
  <c r="AD88" i="43"/>
  <c r="AD141" i="43" a="1"/>
  <c r="AD141" i="43" s="1"/>
  <c r="AD138" i="43" a="1"/>
  <c r="AD138" i="43" s="1"/>
  <c r="AD135" i="43" a="1"/>
  <c r="AD135" i="43" s="1"/>
  <c r="AD133" i="43" a="1"/>
  <c r="AD133" i="43" s="1"/>
  <c r="AD221" i="43" s="1"/>
  <c r="AD117" i="43" a="1"/>
  <c r="AD117" i="43" s="1"/>
  <c r="AD110" i="43" a="1"/>
  <c r="AD110" i="43" s="1"/>
  <c r="AD237" i="43" s="1"/>
  <c r="AD102" i="43" a="1"/>
  <c r="AD102" i="43" s="1"/>
  <c r="AD101" i="43" a="1"/>
  <c r="AD101" i="43" s="1"/>
  <c r="AD139" i="43" a="1"/>
  <c r="AD139" i="43" s="1"/>
  <c r="AD55" i="43"/>
  <c r="AD56" i="43" s="1"/>
  <c r="AD19" i="43" a="1"/>
  <c r="AD19" i="43" s="1"/>
  <c r="AD16" i="43" a="1"/>
  <c r="AD16" i="43" s="1"/>
  <c r="AD121" i="43" a="1"/>
  <c r="AD121" i="43" s="1"/>
  <c r="AD118" i="43" a="1"/>
  <c r="AD118" i="43" s="1"/>
  <c r="AD108" i="43" a="1"/>
  <c r="AD108" i="43" s="1"/>
  <c r="AD149" i="43" a="1"/>
  <c r="AD149" i="43" s="1"/>
  <c r="AD148" i="43" a="1"/>
  <c r="AD148" i="43" s="1"/>
  <c r="AD116" i="43" a="1"/>
  <c r="AD116" i="43" s="1"/>
  <c r="AD111" i="43" a="1"/>
  <c r="AD111" i="43" s="1"/>
  <c r="AD87" i="43"/>
  <c r="AD142" i="43" a="1"/>
  <c r="AD142" i="43" s="1"/>
  <c r="AD132" i="43" a="1"/>
  <c r="AD132" i="43" s="1"/>
  <c r="AD109" i="43" a="1"/>
  <c r="AD109" i="43" s="1"/>
  <c r="AE3" i="43"/>
  <c r="AB229" i="43"/>
  <c r="AB234" i="43" s="1"/>
  <c r="Q252" i="252" s="1"/>
  <c r="Q247" i="252" s="1"/>
  <c r="AB233" i="43"/>
  <c r="Q251" i="252" s="1"/>
  <c r="Q246" i="252" s="1"/>
  <c r="Q236" i="252" s="1"/>
  <c r="AB232" i="43"/>
  <c r="Q250" i="252" s="1"/>
  <c r="Q245" i="252" s="1"/>
  <c r="Q227" i="252" s="1"/>
  <c r="AB231" i="43"/>
  <c r="Q249" i="252" s="1"/>
  <c r="Q244" i="252" s="1"/>
  <c r="Q217" i="252" s="1"/>
  <c r="Z300" i="43"/>
  <c r="Z67" i="43"/>
  <c r="AB173" i="43"/>
  <c r="AB317" i="43"/>
  <c r="AB205" i="43"/>
  <c r="AB11" i="43"/>
  <c r="AB61" i="43"/>
  <c r="AB157" i="43" s="1"/>
  <c r="AB28" i="43"/>
  <c r="AC210" i="43"/>
  <c r="Z17" i="43"/>
  <c r="Z43" i="43" s="1"/>
  <c r="Z42" i="43"/>
  <c r="Z356" i="43" s="1"/>
  <c r="Z39" i="43"/>
  <c r="Z348" i="43" s="1"/>
  <c r="AC240" i="43"/>
  <c r="AC32" i="43"/>
  <c r="AC46" i="43" s="1"/>
  <c r="AC219" i="43"/>
  <c r="AC200" i="43"/>
  <c r="AB175" i="43"/>
  <c r="AB258" i="43"/>
  <c r="AB263" i="43"/>
  <c r="AB31" i="43" s="1"/>
  <c r="AB256" i="43"/>
  <c r="AB260" i="43" s="1"/>
  <c r="AB30" i="43"/>
  <c r="AB45" i="43" s="1"/>
  <c r="AB449" i="252" l="1"/>
  <c r="AC449" i="252"/>
  <c r="I450" i="252"/>
  <c r="H450" i="252"/>
  <c r="AC450" i="252" s="1"/>
  <c r="G450" i="252"/>
  <c r="F451" i="252"/>
  <c r="AC442" i="252"/>
  <c r="AC441" i="252"/>
  <c r="AC440" i="252"/>
  <c r="AC437" i="252"/>
  <c r="AC432" i="252"/>
  <c r="AC439" i="252"/>
  <c r="AC436" i="252"/>
  <c r="AC431" i="252"/>
  <c r="AC430" i="252"/>
  <c r="AC428" i="252"/>
  <c r="AC435" i="252"/>
  <c r="AC434" i="252"/>
  <c r="AC426" i="252"/>
  <c r="AC422" i="252"/>
  <c r="AC438" i="252"/>
  <c r="AC424" i="252"/>
  <c r="AC423" i="252"/>
  <c r="AC429" i="252"/>
  <c r="AC427" i="252"/>
  <c r="AC425" i="252"/>
  <c r="AC433" i="252"/>
  <c r="AD5" i="252"/>
  <c r="AC6" i="252"/>
  <c r="AC444" i="252"/>
  <c r="AC445" i="252"/>
  <c r="AC446" i="252"/>
  <c r="AC447" i="252"/>
  <c r="AC448" i="252"/>
  <c r="Y450" i="252"/>
  <c r="U450" i="252"/>
  <c r="Q450" i="252"/>
  <c r="M450" i="252"/>
  <c r="X450" i="252"/>
  <c r="T450" i="252"/>
  <c r="P450" i="252"/>
  <c r="L450" i="252"/>
  <c r="AA450" i="252"/>
  <c r="W450" i="252"/>
  <c r="S450" i="252"/>
  <c r="O450" i="252"/>
  <c r="K450" i="252"/>
  <c r="N450" i="252"/>
  <c r="Z450" i="252"/>
  <c r="V450" i="252"/>
  <c r="R450" i="252"/>
  <c r="AB450" i="252"/>
  <c r="D451" i="252"/>
  <c r="AD3" i="252"/>
  <c r="AC4" i="252"/>
  <c r="AB333" i="43"/>
  <c r="AC273" i="43"/>
  <c r="AD257" i="43"/>
  <c r="AC255" i="252"/>
  <c r="AC128" i="252" s="1"/>
  <c r="AA217" i="252"/>
  <c r="AC234" i="252"/>
  <c r="AB150" i="252"/>
  <c r="AB38" i="252"/>
  <c r="AD265" i="43"/>
  <c r="AC270" i="43"/>
  <c r="AC275" i="43"/>
  <c r="AC259" i="43"/>
  <c r="AC267" i="43"/>
  <c r="AC272" i="43"/>
  <c r="AC271" i="43"/>
  <c r="Q222" i="252"/>
  <c r="Q219" i="252"/>
  <c r="Q221" i="252"/>
  <c r="AD199" i="43"/>
  <c r="AD204" i="43" s="1"/>
  <c r="AD200" i="43"/>
  <c r="AE216" i="43"/>
  <c r="AD218" i="43"/>
  <c r="AD222" i="43" s="1"/>
  <c r="AA39" i="43"/>
  <c r="AA348" i="43" s="1"/>
  <c r="AA42" i="43"/>
  <c r="AA356" i="43" s="1"/>
  <c r="AA17" i="43"/>
  <c r="AA43" i="43" s="1"/>
  <c r="Z44" i="43"/>
  <c r="Z20" i="43"/>
  <c r="Z23" i="43" s="1"/>
  <c r="Z47" i="43" s="1"/>
  <c r="AB294" i="43"/>
  <c r="AB364" i="43"/>
  <c r="AB224" i="43"/>
  <c r="AB213" i="43"/>
  <c r="AB63" i="43"/>
  <c r="AB158" i="43"/>
  <c r="AB184" i="43"/>
  <c r="AB160" i="43"/>
  <c r="Q226" i="252"/>
  <c r="Q230" i="252"/>
  <c r="AD236" i="43"/>
  <c r="AD241" i="43" s="1"/>
  <c r="AD242" i="43" s="1"/>
  <c r="AC239" i="43"/>
  <c r="AB38" i="43"/>
  <c r="AB325" i="43" s="1"/>
  <c r="AB15" i="43"/>
  <c r="Z73" i="43"/>
  <c r="Z176" i="43"/>
  <c r="Q240" i="252"/>
  <c r="Q241" i="252"/>
  <c r="Q238" i="252"/>
  <c r="AE264" i="43" a="1"/>
  <c r="AE264" i="43" s="1"/>
  <c r="AE253" i="43" a="1"/>
  <c r="AE253" i="43" s="1"/>
  <c r="AE249" i="43" a="1"/>
  <c r="AE249" i="43" s="1"/>
  <c r="AE229" i="43" a="1"/>
  <c r="AE229" i="43" s="1"/>
  <c r="AE252" i="43" a="1"/>
  <c r="AE252" i="43" s="1"/>
  <c r="AE248" i="43" a="1"/>
  <c r="AE248" i="43" s="1"/>
  <c r="AE262" i="43" a="1"/>
  <c r="AE262" i="43" s="1"/>
  <c r="AE251" i="43" a="1"/>
  <c r="AE251" i="43" s="1"/>
  <c r="AE247" i="43" a="1"/>
  <c r="AE247" i="43" s="1"/>
  <c r="AE254" i="43" a="1"/>
  <c r="AE254" i="43" s="1"/>
  <c r="AE250" i="43" a="1"/>
  <c r="AE250" i="43" s="1"/>
  <c r="AE201" i="43" a="1"/>
  <c r="AE201" i="43" s="1"/>
  <c r="AE246" i="43" a="1"/>
  <c r="AE246" i="43" s="1"/>
  <c r="AE148" i="43" a="1"/>
  <c r="AE148" i="43" s="1"/>
  <c r="AE141" i="43" a="1"/>
  <c r="AE141" i="43" s="1"/>
  <c r="AF141" i="43" s="1"/>
  <c r="AG141" i="43" s="1"/>
  <c r="AH141" i="43" s="1"/>
  <c r="AI141" i="43" s="1"/>
  <c r="AJ141" i="43" s="1"/>
  <c r="AK141" i="43" s="1"/>
  <c r="AL141" i="43" s="1"/>
  <c r="AM141" i="43" s="1"/>
  <c r="AN141" i="43" s="1"/>
  <c r="AE138" i="43" a="1"/>
  <c r="AE138" i="43" s="1"/>
  <c r="AE135" i="43" a="1"/>
  <c r="AE135" i="43" s="1"/>
  <c r="AF135" i="43" s="1"/>
  <c r="AG135" i="43" s="1"/>
  <c r="AH135" i="43" s="1"/>
  <c r="AI135" i="43" s="1"/>
  <c r="AJ135" i="43" s="1"/>
  <c r="AK135" i="43" s="1"/>
  <c r="AL135" i="43" s="1"/>
  <c r="AM135" i="43" s="1"/>
  <c r="AN135" i="43" s="1"/>
  <c r="AE117" i="43" a="1"/>
  <c r="AE117" i="43" s="1"/>
  <c r="AF117" i="43" s="1"/>
  <c r="AG117" i="43" s="1"/>
  <c r="AH117" i="43" s="1"/>
  <c r="AI117" i="43" s="1"/>
  <c r="AJ117" i="43" s="1"/>
  <c r="AK117" i="43" s="1"/>
  <c r="AL117" i="43" s="1"/>
  <c r="AM117" i="43" s="1"/>
  <c r="AN117" i="43" s="1"/>
  <c r="AE102" i="43" a="1"/>
  <c r="AE102" i="43" s="1"/>
  <c r="AE101" i="43" a="1"/>
  <c r="AE101" i="43" s="1"/>
  <c r="AE150" i="43" a="1"/>
  <c r="AE150" i="43" s="1"/>
  <c r="AF150" i="43" s="1"/>
  <c r="AG150" i="43" s="1"/>
  <c r="AH150" i="43" s="1"/>
  <c r="AI150" i="43" s="1"/>
  <c r="AJ150" i="43" s="1"/>
  <c r="AK150" i="43" s="1"/>
  <c r="AL150" i="43" s="1"/>
  <c r="AM150" i="43" s="1"/>
  <c r="AN150" i="43" s="1"/>
  <c r="AE149" i="43" a="1"/>
  <c r="AE149" i="43" s="1"/>
  <c r="AF149" i="43" s="1"/>
  <c r="AG149" i="43" s="1"/>
  <c r="AH149" i="43" s="1"/>
  <c r="AI149" i="43" s="1"/>
  <c r="AJ149" i="43" s="1"/>
  <c r="AK149" i="43" s="1"/>
  <c r="AL149" i="43" s="1"/>
  <c r="AM149" i="43" s="1"/>
  <c r="AN149" i="43" s="1"/>
  <c r="AE87" i="43"/>
  <c r="AF87" i="43" s="1"/>
  <c r="AG87" i="43" s="1"/>
  <c r="AH87" i="43" s="1"/>
  <c r="AI87" i="43" s="1"/>
  <c r="AJ87" i="43" s="1"/>
  <c r="AK87" i="43" s="1"/>
  <c r="AL87" i="43" s="1"/>
  <c r="AM87" i="43" s="1"/>
  <c r="AN87" i="43" s="1"/>
  <c r="AE55" i="43"/>
  <c r="AE121" i="43" a="1"/>
  <c r="AE121" i="43" s="1"/>
  <c r="AE118" i="43" a="1"/>
  <c r="AE118" i="43" s="1"/>
  <c r="AE16" i="43" a="1"/>
  <c r="AE16" i="43" s="1"/>
  <c r="AE19" i="43" a="1"/>
  <c r="AE19" i="43" s="1"/>
  <c r="AE116" i="43" a="1"/>
  <c r="AE116" i="43" s="1"/>
  <c r="AF116" i="43" s="1"/>
  <c r="AG116" i="43" s="1"/>
  <c r="AH116" i="43" s="1"/>
  <c r="AI116" i="43" s="1"/>
  <c r="AJ116" i="43" s="1"/>
  <c r="AK116" i="43" s="1"/>
  <c r="AL116" i="43" s="1"/>
  <c r="AM116" i="43" s="1"/>
  <c r="AN116" i="43" s="1"/>
  <c r="AE111" i="43" a="1"/>
  <c r="AE111" i="43" s="1"/>
  <c r="AE88" i="43"/>
  <c r="AF3" i="43"/>
  <c r="AE142" i="43" a="1"/>
  <c r="AE142" i="43" s="1"/>
  <c r="AF142" i="43" s="1"/>
  <c r="AG142" i="43" s="1"/>
  <c r="AH142" i="43" s="1"/>
  <c r="AI142" i="43" s="1"/>
  <c r="AJ142" i="43" s="1"/>
  <c r="AK142" i="43" s="1"/>
  <c r="AL142" i="43" s="1"/>
  <c r="AM142" i="43" s="1"/>
  <c r="AN142" i="43" s="1"/>
  <c r="AE132" i="43" a="1"/>
  <c r="AE132" i="43" s="1"/>
  <c r="AE109" i="43" a="1"/>
  <c r="AE109" i="43" s="1"/>
  <c r="AE139" i="43" a="1"/>
  <c r="AE139" i="43" s="1"/>
  <c r="AF139" i="43" s="1"/>
  <c r="AG139" i="43" s="1"/>
  <c r="AH139" i="43" s="1"/>
  <c r="AI139" i="43" s="1"/>
  <c r="AJ139" i="43" s="1"/>
  <c r="AK139" i="43" s="1"/>
  <c r="AL139" i="43" s="1"/>
  <c r="AM139" i="43" s="1"/>
  <c r="AN139" i="43" s="1"/>
  <c r="AD91" i="43"/>
  <c r="C34" i="22"/>
  <c r="AD255" i="43"/>
  <c r="AD270" i="43" s="1"/>
  <c r="AD238" i="43"/>
  <c r="AC269" i="43"/>
  <c r="AC268" i="43"/>
  <c r="AA300" i="43"/>
  <c r="AA67" i="43"/>
  <c r="AD112" i="43"/>
  <c r="AD71" i="43"/>
  <c r="AD240" i="43"/>
  <c r="AD32" i="43"/>
  <c r="AD46" i="43" s="1"/>
  <c r="AD165" i="43"/>
  <c r="AD210" i="43"/>
  <c r="AD219" i="43"/>
  <c r="AC263" i="43"/>
  <c r="AC31" i="43" s="1"/>
  <c r="AC256" i="43"/>
  <c r="AC258" i="43"/>
  <c r="AC30" i="43"/>
  <c r="AC45" i="43" s="1"/>
  <c r="D452" i="252" l="1"/>
  <c r="AD4" i="252"/>
  <c r="Z451" i="252"/>
  <c r="V451" i="252"/>
  <c r="R451" i="252"/>
  <c r="N451" i="252"/>
  <c r="Y451" i="252"/>
  <c r="U451" i="252"/>
  <c r="Q451" i="252"/>
  <c r="M451" i="252"/>
  <c r="AB451" i="252"/>
  <c r="X451" i="252"/>
  <c r="T451" i="252"/>
  <c r="P451" i="252"/>
  <c r="L451" i="252"/>
  <c r="AA451" i="252"/>
  <c r="K451" i="252"/>
  <c r="W451" i="252"/>
  <c r="S451" i="252"/>
  <c r="O451" i="252"/>
  <c r="I451" i="252"/>
  <c r="H451" i="252"/>
  <c r="AC451" i="252" s="1"/>
  <c r="G451" i="252"/>
  <c r="AD450" i="252"/>
  <c r="F452" i="252"/>
  <c r="AD441" i="252"/>
  <c r="AD440" i="252"/>
  <c r="AD442" i="252"/>
  <c r="AD439" i="252"/>
  <c r="AD436" i="252"/>
  <c r="AD431" i="252"/>
  <c r="AD430" i="252"/>
  <c r="AD428" i="252"/>
  <c r="AD435" i="252"/>
  <c r="AD434" i="252"/>
  <c r="AD426" i="252"/>
  <c r="AD438" i="252"/>
  <c r="AD433" i="252"/>
  <c r="AD429" i="252"/>
  <c r="AD427" i="252"/>
  <c r="AD425" i="252"/>
  <c r="AD423" i="252"/>
  <c r="AD437" i="252"/>
  <c r="AD424" i="252"/>
  <c r="AD422" i="252"/>
  <c r="AD432" i="252"/>
  <c r="AD6" i="252"/>
  <c r="AD444" i="252"/>
  <c r="AD445" i="252"/>
  <c r="AD446" i="252"/>
  <c r="AD447" i="252"/>
  <c r="AD448" i="252"/>
  <c r="AD449" i="252"/>
  <c r="AG3" i="43"/>
  <c r="AE257" i="43"/>
  <c r="AA244" i="252"/>
  <c r="AA216" i="252"/>
  <c r="AB52" i="252"/>
  <c r="AC236" i="252"/>
  <c r="AC258" i="252"/>
  <c r="AD223" i="43"/>
  <c r="AD271" i="43"/>
  <c r="AE265" i="43"/>
  <c r="AF265" i="43" s="1"/>
  <c r="AG265" i="43" s="1"/>
  <c r="AH265" i="43" s="1"/>
  <c r="AI265" i="43" s="1"/>
  <c r="AJ265" i="43" s="1"/>
  <c r="AK265" i="43" s="1"/>
  <c r="AL265" i="43" s="1"/>
  <c r="AM265" i="43" s="1"/>
  <c r="AN265" i="43" s="1"/>
  <c r="AD268" i="43"/>
  <c r="AD220" i="43"/>
  <c r="AD275" i="43"/>
  <c r="AE236" i="43"/>
  <c r="AD239" i="43"/>
  <c r="AF88" i="43"/>
  <c r="AE91" i="43"/>
  <c r="AF138" i="43"/>
  <c r="AE210" i="43"/>
  <c r="AE200" i="43"/>
  <c r="AB300" i="43"/>
  <c r="AB67" i="43"/>
  <c r="AA44" i="43"/>
  <c r="AA20" i="43"/>
  <c r="AA23" i="43" s="1"/>
  <c r="AA47" i="43" s="1"/>
  <c r="AD273" i="43"/>
  <c r="AD267" i="43"/>
  <c r="AE56" i="43"/>
  <c r="AF55" i="43"/>
  <c r="AF148" i="43"/>
  <c r="AG148" i="43" s="1"/>
  <c r="AH148" i="43" s="1"/>
  <c r="AI148" i="43" s="1"/>
  <c r="AJ148" i="43" s="1"/>
  <c r="AK148" i="43" s="1"/>
  <c r="AL148" i="43" s="1"/>
  <c r="AM148" i="43" s="1"/>
  <c r="AN148" i="43" s="1"/>
  <c r="AE238" i="43"/>
  <c r="AD274" i="43"/>
  <c r="AE71" i="43"/>
  <c r="Z301" i="43"/>
  <c r="Z302" i="43"/>
  <c r="Z76" i="43"/>
  <c r="AA176" i="43"/>
  <c r="AA73" i="43"/>
  <c r="AD256" i="43"/>
  <c r="AD258" i="43"/>
  <c r="AD263" i="43"/>
  <c r="AD31" i="43" s="1"/>
  <c r="AD30" i="43"/>
  <c r="AD45" i="43" s="1"/>
  <c r="AE165" i="43"/>
  <c r="AB42" i="43"/>
  <c r="AB356" i="43" s="1"/>
  <c r="AB17" i="43"/>
  <c r="AB43" i="43" s="1"/>
  <c r="AB39" i="43"/>
  <c r="AB348" i="43" s="1"/>
  <c r="AD272" i="43"/>
  <c r="AD269" i="43"/>
  <c r="C81" i="22"/>
  <c r="C36" i="22"/>
  <c r="AE255" i="43"/>
  <c r="AE273" i="43" s="1"/>
  <c r="AF273" i="43" s="1"/>
  <c r="AG273" i="43" s="1"/>
  <c r="AH273" i="43" s="1"/>
  <c r="AI273" i="43" s="1"/>
  <c r="AJ273" i="43" s="1"/>
  <c r="AK273" i="43" s="1"/>
  <c r="AL273" i="43" s="1"/>
  <c r="AM273" i="43" s="1"/>
  <c r="AN273" i="43" s="1"/>
  <c r="AE219" i="43"/>
  <c r="AF264" i="43"/>
  <c r="AG264" i="43" s="1"/>
  <c r="AH264" i="43" s="1"/>
  <c r="AI264" i="43" s="1"/>
  <c r="AJ264" i="43" s="1"/>
  <c r="AK264" i="43" s="1"/>
  <c r="AL264" i="43" s="1"/>
  <c r="AM264" i="43" s="1"/>
  <c r="AN264" i="43" s="1"/>
  <c r="AE29" i="43"/>
  <c r="Z177" i="43"/>
  <c r="Z178" i="43"/>
  <c r="AD259" i="43"/>
  <c r="AD451" i="252" l="1"/>
  <c r="I452" i="252"/>
  <c r="H452" i="252"/>
  <c r="AD452" i="252" s="1"/>
  <c r="G452" i="252"/>
  <c r="Z452" i="252"/>
  <c r="Z454" i="252" s="1"/>
  <c r="V452" i="252"/>
  <c r="V454" i="252" s="1"/>
  <c r="V32" i="252" s="1"/>
  <c r="V34" i="252" s="1"/>
  <c r="V15" i="252" s="1"/>
  <c r="R452" i="252"/>
  <c r="R454" i="252" s="1"/>
  <c r="R32" i="252" s="1"/>
  <c r="R31" i="252" s="1"/>
  <c r="N452" i="252"/>
  <c r="N454" i="252" s="1"/>
  <c r="N32" i="252" s="1"/>
  <c r="N31" i="252" s="1"/>
  <c r="AC452" i="252"/>
  <c r="AC454" i="252" s="1"/>
  <c r="Y452" i="252"/>
  <c r="Y454" i="252" s="1"/>
  <c r="Y32" i="252" s="1"/>
  <c r="Y34" i="252" s="1"/>
  <c r="Y15" i="252" s="1"/>
  <c r="U452" i="252"/>
  <c r="U454" i="252" s="1"/>
  <c r="U32" i="252" s="1"/>
  <c r="U31" i="252" s="1"/>
  <c r="Q452" i="252"/>
  <c r="Q454" i="252" s="1"/>
  <c r="Q32" i="252" s="1"/>
  <c r="Q31" i="252" s="1"/>
  <c r="M452" i="252"/>
  <c r="M454" i="252" s="1"/>
  <c r="M32" i="252" s="1"/>
  <c r="M31" i="252" s="1"/>
  <c r="AB452" i="252"/>
  <c r="AB454" i="252" s="1"/>
  <c r="X452" i="252"/>
  <c r="X454" i="252" s="1"/>
  <c r="X32" i="252" s="1"/>
  <c r="X34" i="252" s="1"/>
  <c r="X15" i="252" s="1"/>
  <c r="T452" i="252"/>
  <c r="T454" i="252" s="1"/>
  <c r="T32" i="252" s="1"/>
  <c r="T31" i="252" s="1"/>
  <c r="P452" i="252"/>
  <c r="P454" i="252" s="1"/>
  <c r="P32" i="252" s="1"/>
  <c r="P31" i="252" s="1"/>
  <c r="L452" i="252"/>
  <c r="L454" i="252" s="1"/>
  <c r="L32" i="252" s="1"/>
  <c r="L31" i="252" s="1"/>
  <c r="W452" i="252"/>
  <c r="W454" i="252" s="1"/>
  <c r="W32" i="252" s="1"/>
  <c r="W34" i="252" s="1"/>
  <c r="W15" i="252" s="1"/>
  <c r="S452" i="252"/>
  <c r="S454" i="252" s="1"/>
  <c r="O452" i="252"/>
  <c r="O454" i="252" s="1"/>
  <c r="AA452" i="252"/>
  <c r="AA454" i="252" s="1"/>
  <c r="K452" i="252"/>
  <c r="K454" i="252" s="1"/>
  <c r="AH3" i="43"/>
  <c r="AG29" i="43"/>
  <c r="AG262" i="43"/>
  <c r="AD254" i="252"/>
  <c r="AC198" i="252"/>
  <c r="AC235" i="252"/>
  <c r="AC246" i="252"/>
  <c r="AA126" i="252"/>
  <c r="AA220" i="252"/>
  <c r="AE274" i="43"/>
  <c r="AF274" i="43" s="1"/>
  <c r="AG274" i="43" s="1"/>
  <c r="AH274" i="43" s="1"/>
  <c r="AI274" i="43" s="1"/>
  <c r="AJ274" i="43" s="1"/>
  <c r="AK274" i="43" s="1"/>
  <c r="AL274" i="43" s="1"/>
  <c r="AM274" i="43" s="1"/>
  <c r="AN274" i="43" s="1"/>
  <c r="AE270" i="43"/>
  <c r="AF270" i="43" s="1"/>
  <c r="AG270" i="43" s="1"/>
  <c r="AH270" i="43" s="1"/>
  <c r="AI270" i="43" s="1"/>
  <c r="AJ270" i="43" s="1"/>
  <c r="AK270" i="43" s="1"/>
  <c r="AL270" i="43" s="1"/>
  <c r="AM270" i="43" s="1"/>
  <c r="AN270" i="43" s="1"/>
  <c r="AE268" i="43"/>
  <c r="AF268" i="43" s="1"/>
  <c r="AG268" i="43" s="1"/>
  <c r="AH268" i="43" s="1"/>
  <c r="AI268" i="43" s="1"/>
  <c r="AJ268" i="43" s="1"/>
  <c r="AK268" i="43" s="1"/>
  <c r="AL268" i="43" s="1"/>
  <c r="AM268" i="43" s="1"/>
  <c r="AN268" i="43" s="1"/>
  <c r="AE259" i="43"/>
  <c r="AE271" i="43"/>
  <c r="AF271" i="43" s="1"/>
  <c r="AG271" i="43" s="1"/>
  <c r="AH271" i="43" s="1"/>
  <c r="AI271" i="43" s="1"/>
  <c r="AJ271" i="43" s="1"/>
  <c r="AK271" i="43" s="1"/>
  <c r="AL271" i="43" s="1"/>
  <c r="AM271" i="43" s="1"/>
  <c r="AN271" i="43" s="1"/>
  <c r="AB20" i="43"/>
  <c r="AB23" i="43" s="1"/>
  <c r="AB47" i="43" s="1"/>
  <c r="AB44" i="43"/>
  <c r="Z81" i="43"/>
  <c r="Z80" i="43"/>
  <c r="Z79" i="43"/>
  <c r="AG55" i="43"/>
  <c r="AF56" i="43"/>
  <c r="AG138" i="43"/>
  <c r="AA177" i="43"/>
  <c r="AA178" i="43"/>
  <c r="AF91" i="43"/>
  <c r="AG88" i="43"/>
  <c r="AE256" i="43"/>
  <c r="AE258" i="43"/>
  <c r="AE263" i="43"/>
  <c r="AE31" i="43" s="1"/>
  <c r="AE30" i="43"/>
  <c r="AE45" i="43" s="1"/>
  <c r="AF262" i="43"/>
  <c r="AF29" i="43"/>
  <c r="AE272" i="43"/>
  <c r="AF272" i="43" s="1"/>
  <c r="AG272" i="43" s="1"/>
  <c r="AH272" i="43" s="1"/>
  <c r="AI272" i="43" s="1"/>
  <c r="AJ272" i="43" s="1"/>
  <c r="AK272" i="43" s="1"/>
  <c r="AL272" i="43" s="1"/>
  <c r="AM272" i="43" s="1"/>
  <c r="AN272" i="43" s="1"/>
  <c r="AE267" i="43"/>
  <c r="AF267" i="43" s="1"/>
  <c r="AE269" i="43"/>
  <c r="AF269" i="43" s="1"/>
  <c r="AG269" i="43" s="1"/>
  <c r="AH269" i="43" s="1"/>
  <c r="AI269" i="43" s="1"/>
  <c r="AJ269" i="43" s="1"/>
  <c r="AK269" i="43" s="1"/>
  <c r="AL269" i="43" s="1"/>
  <c r="AM269" i="43" s="1"/>
  <c r="AN269" i="43" s="1"/>
  <c r="AA301" i="43"/>
  <c r="AA302" i="43"/>
  <c r="AA76" i="43"/>
  <c r="AA290" i="43"/>
  <c r="AA291" i="43"/>
  <c r="AB176" i="43"/>
  <c r="AB73" i="43"/>
  <c r="AE275" i="43"/>
  <c r="AD454" i="252" l="1"/>
  <c r="AB32" i="252"/>
  <c r="AB34" i="252" s="1"/>
  <c r="AB15" i="252" s="1"/>
  <c r="AC32" i="252"/>
  <c r="AC34" i="252" s="1"/>
  <c r="AC15" i="252" s="1"/>
  <c r="AC18" i="252" s="1"/>
  <c r="AC83" i="252" s="1"/>
  <c r="Z32" i="252"/>
  <c r="Z34" i="252" s="1"/>
  <c r="Z15" i="252" s="1"/>
  <c r="Z14" i="252" s="1"/>
  <c r="AA32" i="252"/>
  <c r="AA34" i="252" s="1"/>
  <c r="AA15" i="252" s="1"/>
  <c r="S32" i="252"/>
  <c r="S31" i="252" s="1"/>
  <c r="AC26" i="43" a="1"/>
  <c r="AC26" i="43" s="1"/>
  <c r="K32" i="252"/>
  <c r="K31" i="252" s="1"/>
  <c r="AA26" i="43" a="1"/>
  <c r="AA26" i="43" s="1"/>
  <c r="AA25" i="43" s="1"/>
  <c r="W20" i="252"/>
  <c r="W79" i="252"/>
  <c r="W14" i="252"/>
  <c r="W13" i="252" s="1"/>
  <c r="W17" i="252"/>
  <c r="W18" i="252"/>
  <c r="AA33" i="252"/>
  <c r="X79" i="252"/>
  <c r="X14" i="252"/>
  <c r="X40" i="252" s="1"/>
  <c r="X18" i="252"/>
  <c r="X83" i="252" s="1"/>
  <c r="X17" i="252"/>
  <c r="AB33" i="252"/>
  <c r="X20" i="252"/>
  <c r="X84" i="252" s="1"/>
  <c r="AC33" i="252"/>
  <c r="Y79" i="252"/>
  <c r="Y18" i="252"/>
  <c r="Y83" i="252" s="1"/>
  <c r="Y14" i="252"/>
  <c r="Y40" i="252" s="1"/>
  <c r="Y17" i="252"/>
  <c r="Y20" i="252"/>
  <c r="Y84" i="252" s="1"/>
  <c r="AB14" i="252"/>
  <c r="AB13" i="252" s="1"/>
  <c r="AB17" i="252"/>
  <c r="AB16" i="252" s="1"/>
  <c r="AB80" i="252" s="1"/>
  <c r="AB18" i="252"/>
  <c r="AB83" i="252" s="1"/>
  <c r="AB20" i="252"/>
  <c r="AB84" i="252" s="1"/>
  <c r="AB79" i="252"/>
  <c r="V14" i="252"/>
  <c r="Z33" i="252"/>
  <c r="V20" i="252"/>
  <c r="V18" i="252"/>
  <c r="V17" i="252"/>
  <c r="V79" i="252"/>
  <c r="O32" i="252"/>
  <c r="O31" i="252" s="1"/>
  <c r="AB26" i="43" a="1"/>
  <c r="AB26" i="43" s="1"/>
  <c r="AB25" i="43" s="1"/>
  <c r="AI3" i="43"/>
  <c r="AH29" i="43"/>
  <c r="AH262" i="43"/>
  <c r="AC38" i="252"/>
  <c r="AA130" i="252"/>
  <c r="AC239" i="252"/>
  <c r="AB215" i="252"/>
  <c r="AD255" i="252"/>
  <c r="AD128" i="252" s="1"/>
  <c r="AE110" i="43" s="1" a="1"/>
  <c r="AE110" i="43" s="1"/>
  <c r="AE237" i="43" s="1"/>
  <c r="AE241" i="43" s="1"/>
  <c r="Z303" i="43"/>
  <c r="Z293" i="43" s="1"/>
  <c r="Z296" i="43" s="1"/>
  <c r="Z85" i="43"/>
  <c r="Z92" i="43" s="1"/>
  <c r="Z97" i="43"/>
  <c r="Z103" i="43" s="1"/>
  <c r="Z105" i="43" s="1"/>
  <c r="AB177" i="43"/>
  <c r="AB178" i="43"/>
  <c r="AF255" i="43"/>
  <c r="AH88" i="43"/>
  <c r="AG91" i="43"/>
  <c r="AG267" i="43"/>
  <c r="AF275" i="43"/>
  <c r="Z290" i="43"/>
  <c r="Z291" i="43"/>
  <c r="AB301" i="43"/>
  <c r="AB302" i="43"/>
  <c r="AB76" i="43"/>
  <c r="AA81" i="43"/>
  <c r="AA79" i="43"/>
  <c r="AA80" i="43"/>
  <c r="AG56" i="43"/>
  <c r="AH55" i="43"/>
  <c r="AH138" i="43"/>
  <c r="AC20" i="252" l="1"/>
  <c r="AC84" i="252" s="1"/>
  <c r="AC79" i="252"/>
  <c r="AC17" i="252"/>
  <c r="AC16" i="252" s="1"/>
  <c r="AC80" i="252" s="1"/>
  <c r="AD33" i="252"/>
  <c r="AC14" i="252"/>
  <c r="AC40" i="252" s="1"/>
  <c r="Z79" i="252"/>
  <c r="Z242" i="252" s="1"/>
  <c r="AB81" i="252"/>
  <c r="AB85" i="252" s="1"/>
  <c r="AB194" i="252" s="1"/>
  <c r="AB187" i="252" s="1"/>
  <c r="Z20" i="252"/>
  <c r="Z84" i="252" s="1"/>
  <c r="Z18" i="252"/>
  <c r="Z83" i="252" s="1"/>
  <c r="AD32" i="252"/>
  <c r="AD34" i="252" s="1"/>
  <c r="AD15" i="252" s="1"/>
  <c r="AD18" i="252" s="1"/>
  <c r="AD83" i="252" s="1"/>
  <c r="Z17" i="252"/>
  <c r="Z16" i="252" s="1"/>
  <c r="Z80" i="252" s="1"/>
  <c r="Y13" i="252"/>
  <c r="Y41" i="252" s="1"/>
  <c r="Z13" i="252"/>
  <c r="W41" i="252"/>
  <c r="V13" i="252"/>
  <c r="V40" i="252"/>
  <c r="AC8" i="43" a="1"/>
  <c r="AC8" i="43" s="1"/>
  <c r="AC34" i="43" s="1"/>
  <c r="Y16" i="252"/>
  <c r="Y80" i="252" s="1"/>
  <c r="Z40" i="252"/>
  <c r="V83" i="252"/>
  <c r="AC12" i="43" a="1"/>
  <c r="AC12" i="43" s="1"/>
  <c r="AD79" i="252"/>
  <c r="AD14" i="252"/>
  <c r="AD40" i="252" s="1"/>
  <c r="X13" i="252"/>
  <c r="X41" i="252" s="1"/>
  <c r="W172" i="252"/>
  <c r="W229" i="252"/>
  <c r="W242" i="252"/>
  <c r="W223" i="252"/>
  <c r="Z229" i="252"/>
  <c r="Z172" i="252"/>
  <c r="V16" i="252"/>
  <c r="V21" i="252"/>
  <c r="W40" i="252"/>
  <c r="AD8" i="43" a="1"/>
  <c r="AD8" i="43" s="1"/>
  <c r="V84" i="252"/>
  <c r="AC14" i="43" a="1"/>
  <c r="AC14" i="43" s="1"/>
  <c r="AB41" i="252"/>
  <c r="W83" i="252"/>
  <c r="AD12" i="43" a="1"/>
  <c r="AD12" i="43" s="1"/>
  <c r="W84" i="252"/>
  <c r="AD14" i="43" a="1"/>
  <c r="AD14" i="43" s="1"/>
  <c r="V172" i="252"/>
  <c r="V229" i="252"/>
  <c r="V242" i="252"/>
  <c r="V223" i="252"/>
  <c r="AB172" i="252"/>
  <c r="AB229" i="252"/>
  <c r="AB242" i="252"/>
  <c r="AB40" i="252"/>
  <c r="Y229" i="252"/>
  <c r="Y81" i="252"/>
  <c r="Y85" i="252" s="1"/>
  <c r="Y172" i="252"/>
  <c r="Y242" i="252"/>
  <c r="Y223" i="252"/>
  <c r="X16" i="252"/>
  <c r="X80" i="252" s="1"/>
  <c r="X81" i="252" s="1"/>
  <c r="X85" i="252" s="1"/>
  <c r="X172" i="252"/>
  <c r="X229" i="252"/>
  <c r="X242" i="252"/>
  <c r="X223" i="252"/>
  <c r="W16" i="252"/>
  <c r="AC13" i="252"/>
  <c r="AC172" i="252"/>
  <c r="AC229" i="252"/>
  <c r="AA79" i="252"/>
  <c r="AA14" i="252"/>
  <c r="AA13" i="252" s="1"/>
  <c r="AA18" i="252"/>
  <c r="AA20" i="252"/>
  <c r="AA17" i="252"/>
  <c r="AA16" i="252" s="1"/>
  <c r="AJ3" i="43"/>
  <c r="AI29" i="43"/>
  <c r="AI262" i="43"/>
  <c r="AD258" i="252"/>
  <c r="AD198" i="252" s="1"/>
  <c r="AD38" i="252" s="1"/>
  <c r="AD52" i="252" s="1"/>
  <c r="AC52" i="252"/>
  <c r="AF241" i="43"/>
  <c r="AE242" i="43"/>
  <c r="AD234" i="252"/>
  <c r="AC150" i="252"/>
  <c r="AC242" i="252"/>
  <c r="AB217" i="252"/>
  <c r="AI55" i="43"/>
  <c r="AH56" i="43"/>
  <c r="AF251" i="43"/>
  <c r="AF219" i="43" s="1"/>
  <c r="AF247" i="43"/>
  <c r="AF238" i="43" s="1"/>
  <c r="AF254" i="43"/>
  <c r="AF132" i="43" s="1"/>
  <c r="AF250" i="43"/>
  <c r="AF210" i="43" s="1"/>
  <c r="AF246" i="43"/>
  <c r="AF253" i="43"/>
  <c r="AF249" i="43"/>
  <c r="AF200" i="43" s="1"/>
  <c r="AF252" i="43"/>
  <c r="AF257" i="43"/>
  <c r="AF259" i="43" s="1"/>
  <c r="AF248" i="43"/>
  <c r="AF109" i="43"/>
  <c r="AF30" i="43"/>
  <c r="AF16" i="43" s="1"/>
  <c r="Z106" i="43"/>
  <c r="Z122" i="43"/>
  <c r="AI138" i="43"/>
  <c r="AA303" i="43"/>
  <c r="AA293" i="43" s="1"/>
  <c r="AA296" i="43" s="1"/>
  <c r="AA97" i="43"/>
  <c r="AA103" i="43" s="1"/>
  <c r="AA105" i="43" s="1"/>
  <c r="AA85" i="43"/>
  <c r="AA92" i="43" s="1"/>
  <c r="AB81" i="43"/>
  <c r="AB80" i="43"/>
  <c r="AB79" i="43"/>
  <c r="AH267" i="43"/>
  <c r="AG275" i="43"/>
  <c r="AG255" i="43"/>
  <c r="AH91" i="43"/>
  <c r="AI88" i="43"/>
  <c r="Z285" i="43"/>
  <c r="Z93" i="43"/>
  <c r="AC81" i="252" l="1"/>
  <c r="AC85" i="252" s="1"/>
  <c r="AC194" i="252" s="1"/>
  <c r="AC187" i="252" s="1"/>
  <c r="AC162" i="252" s="1"/>
  <c r="AC41" i="252"/>
  <c r="AB162" i="252"/>
  <c r="AC188" i="252"/>
  <c r="AC189" i="252" s="1"/>
  <c r="AC208" i="252" s="1"/>
  <c r="Z223" i="252"/>
  <c r="AD17" i="252"/>
  <c r="AD16" i="252" s="1"/>
  <c r="AD80" i="252" s="1"/>
  <c r="AD13" i="252"/>
  <c r="AD41" i="252" s="1"/>
  <c r="AD20" i="252"/>
  <c r="AD84" i="252" s="1"/>
  <c r="Z81" i="252"/>
  <c r="Z85" i="252" s="1"/>
  <c r="Z41" i="252"/>
  <c r="AD34" i="43"/>
  <c r="AD7" i="43" a="1"/>
  <c r="AD7" i="43" s="1"/>
  <c r="Z194" i="252"/>
  <c r="Z187" i="252" s="1"/>
  <c r="X194" i="252"/>
  <c r="X187" i="252" s="1"/>
  <c r="AA172" i="252"/>
  <c r="AA229" i="252"/>
  <c r="AA242" i="252"/>
  <c r="AA223" i="252"/>
  <c r="AC225" i="252"/>
  <c r="AC227" i="252" s="1"/>
  <c r="AA84" i="252"/>
  <c r="AE14" i="43" a="1"/>
  <c r="AE14" i="43" s="1"/>
  <c r="AD225" i="252"/>
  <c r="AD227" i="252" s="1"/>
  <c r="W80" i="252"/>
  <c r="W81" i="252" s="1"/>
  <c r="W85" i="252" s="1"/>
  <c r="AD10" i="43" a="1"/>
  <c r="AD10" i="43" s="1"/>
  <c r="AD62" i="43" s="1"/>
  <c r="Y225" i="252"/>
  <c r="Y227" i="252" s="1"/>
  <c r="X149" i="252"/>
  <c r="X232" i="252"/>
  <c r="Z225" i="252"/>
  <c r="Z227" i="252" s="1"/>
  <c r="Z226" i="252" s="1"/>
  <c r="Y149" i="252"/>
  <c r="Y232" i="252"/>
  <c r="AB179" i="252"/>
  <c r="AD66" i="43"/>
  <c r="AA225" i="252"/>
  <c r="AA227" i="252" s="1"/>
  <c r="Z149" i="252"/>
  <c r="AD211" i="43" a="1"/>
  <c r="AD211" i="43" s="1"/>
  <c r="Z232" i="252"/>
  <c r="AD172" i="252"/>
  <c r="AD179" i="252" s="1"/>
  <c r="AD81" i="252"/>
  <c r="AD85" i="252" s="1"/>
  <c r="AD194" i="252" s="1"/>
  <c r="AD187" i="252" s="1"/>
  <c r="AD229" i="252"/>
  <c r="AA80" i="252"/>
  <c r="AA81" i="252" s="1"/>
  <c r="AE10" i="43" a="1"/>
  <c r="AE10" i="43" s="1"/>
  <c r="AE62" i="43" s="1"/>
  <c r="AE180" i="43" a="1"/>
  <c r="AE180" i="43" s="1"/>
  <c r="AE32" i="43" s="1"/>
  <c r="AE46" i="43" s="1"/>
  <c r="AC66" i="43"/>
  <c r="W179" i="252"/>
  <c r="AC65" i="43"/>
  <c r="Y194" i="252"/>
  <c r="Y187" i="252" s="1"/>
  <c r="W225" i="252"/>
  <c r="W227" i="252" s="1"/>
  <c r="W226" i="252" s="1"/>
  <c r="V226" i="252"/>
  <c r="V199" i="252"/>
  <c r="W199" i="252" s="1"/>
  <c r="V232" i="252"/>
  <c r="V149" i="252"/>
  <c r="AC211" i="43" a="1"/>
  <c r="AC211" i="43" s="1"/>
  <c r="V80" i="252"/>
  <c r="V81" i="252" s="1"/>
  <c r="V85" i="252" s="1"/>
  <c r="AC10" i="43" a="1"/>
  <c r="AC10" i="43" s="1"/>
  <c r="AC62" i="43" s="1"/>
  <c r="X225" i="252"/>
  <c r="X227" i="252" s="1"/>
  <c r="W232" i="252"/>
  <c r="W149" i="252"/>
  <c r="V41" i="252"/>
  <c r="AC7" i="43" a="1"/>
  <c r="AC7" i="43" s="1"/>
  <c r="AA83" i="252"/>
  <c r="AE12" i="43" a="1"/>
  <c r="AE12" i="43" s="1"/>
  <c r="AC179" i="252"/>
  <c r="X179" i="252"/>
  <c r="V179" i="252"/>
  <c r="AA41" i="252"/>
  <c r="AE7" i="43" a="1"/>
  <c r="AE7" i="43" s="1"/>
  <c r="AA40" i="252"/>
  <c r="AE8" i="43" a="1"/>
  <c r="AE8" i="43" s="1"/>
  <c r="AE34" i="43" s="1"/>
  <c r="Y179" i="252"/>
  <c r="AD65" i="43"/>
  <c r="V46" i="252"/>
  <c r="V49" i="252"/>
  <c r="V23" i="252"/>
  <c r="Z179" i="252"/>
  <c r="AK3" i="43"/>
  <c r="AJ29" i="43"/>
  <c r="AJ262" i="43"/>
  <c r="AG241" i="43"/>
  <c r="AF242" i="43"/>
  <c r="AB244" i="252"/>
  <c r="AB216" i="252"/>
  <c r="AD236" i="252"/>
  <c r="AF256" i="43"/>
  <c r="AF258" i="43"/>
  <c r="AG254" i="43"/>
  <c r="AG132" i="43" s="1"/>
  <c r="AG250" i="43"/>
  <c r="AG210" i="43" s="1"/>
  <c r="AG246" i="43"/>
  <c r="AG253" i="43"/>
  <c r="AG249" i="43"/>
  <c r="AG200" i="43" s="1"/>
  <c r="AG257" i="43"/>
  <c r="AG259" i="43" s="1"/>
  <c r="AG252" i="43"/>
  <c r="AG248" i="43"/>
  <c r="AG247" i="43"/>
  <c r="AG238" i="43" s="1"/>
  <c r="AG251" i="43"/>
  <c r="AG219" i="43" s="1"/>
  <c r="AG109" i="43"/>
  <c r="AG30" i="43"/>
  <c r="AG16" i="43" s="1"/>
  <c r="AF71" i="43"/>
  <c r="AI56" i="43"/>
  <c r="AJ55" i="43"/>
  <c r="Z287" i="43"/>
  <c r="Z286" i="43"/>
  <c r="AB303" i="43"/>
  <c r="AB293" i="43" s="1"/>
  <c r="AB296" i="43" s="1"/>
  <c r="AB97" i="43"/>
  <c r="AB103" i="43" s="1"/>
  <c r="AB105" i="43" s="1"/>
  <c r="AB85" i="43"/>
  <c r="AB92" i="43" s="1"/>
  <c r="AJ138" i="43"/>
  <c r="AJ88" i="43"/>
  <c r="AI91" i="43"/>
  <c r="AH275" i="43"/>
  <c r="AI267" i="43"/>
  <c r="AH255" i="43"/>
  <c r="AA285" i="43"/>
  <c r="AA93" i="43"/>
  <c r="AB290" i="43"/>
  <c r="AB291" i="43"/>
  <c r="AA106" i="43"/>
  <c r="AA122" i="43"/>
  <c r="AE240" i="43" l="1"/>
  <c r="AC132" i="252"/>
  <c r="AD35" i="43"/>
  <c r="AD9" i="43"/>
  <c r="AD41" i="43" s="1"/>
  <c r="AA85" i="252"/>
  <c r="AA194" i="252" s="1"/>
  <c r="AA187" i="252" s="1"/>
  <c r="AA188" i="252" s="1"/>
  <c r="AA189" i="252" s="1"/>
  <c r="AA208" i="252" s="1"/>
  <c r="W202" i="252"/>
  <c r="W201" i="252"/>
  <c r="W157" i="252" s="1"/>
  <c r="W209" i="252"/>
  <c r="X199" i="252"/>
  <c r="AE207" i="43"/>
  <c r="Y133" i="252"/>
  <c r="Y245" i="252"/>
  <c r="AC133" i="252"/>
  <c r="AC137" i="252" s="1"/>
  <c r="AC245" i="252"/>
  <c r="AE65" i="43"/>
  <c r="AD207" i="43"/>
  <c r="AD162" i="252"/>
  <c r="AD188" i="252"/>
  <c r="AD189" i="252" s="1"/>
  <c r="AD208" i="252" s="1"/>
  <c r="AD131" i="43" a="1"/>
  <c r="AD131" i="43" s="1"/>
  <c r="Y226" i="252"/>
  <c r="X203" i="252"/>
  <c r="AD133" i="252"/>
  <c r="AD245" i="252"/>
  <c r="AB225" i="252"/>
  <c r="AB227" i="252" s="1"/>
  <c r="AA226" i="252"/>
  <c r="AA149" i="252"/>
  <c r="AA232" i="252"/>
  <c r="X162" i="252"/>
  <c r="AC9" i="43"/>
  <c r="AC36" i="43" s="1"/>
  <c r="AC333" i="43" s="1"/>
  <c r="AC35" i="43"/>
  <c r="V201" i="252"/>
  <c r="V202" i="252"/>
  <c r="V209" i="252"/>
  <c r="AC191" i="43" s="1" a="1"/>
  <c r="AC191" i="43" s="1"/>
  <c r="AC181" i="43" a="1"/>
  <c r="AC181" i="43" s="1"/>
  <c r="AA133" i="252"/>
  <c r="AA245" i="252"/>
  <c r="AE35" i="43"/>
  <c r="AE9" i="43"/>
  <c r="AE40" i="43" s="1"/>
  <c r="W203" i="252"/>
  <c r="X245" i="252"/>
  <c r="X133" i="252"/>
  <c r="V203" i="252"/>
  <c r="AC131" i="43" a="1"/>
  <c r="AC131" i="43" s="1"/>
  <c r="W133" i="252"/>
  <c r="W245" i="252"/>
  <c r="W122" i="252"/>
  <c r="W180" i="252"/>
  <c r="W181" i="252" s="1"/>
  <c r="AD317" i="43"/>
  <c r="AE27" i="43"/>
  <c r="AE26" i="43" a="1"/>
  <c r="AE26" i="43" s="1"/>
  <c r="AD122" i="252"/>
  <c r="AD180" i="252"/>
  <c r="AD181" i="252" s="1"/>
  <c r="AB122" i="252"/>
  <c r="AB180" i="252"/>
  <c r="AB181" i="252" s="1"/>
  <c r="W194" i="252"/>
  <c r="W187" i="252" s="1"/>
  <c r="AE66" i="43"/>
  <c r="AA179" i="252"/>
  <c r="AC180" i="252"/>
  <c r="AC181" i="252" s="1"/>
  <c r="AC122" i="252"/>
  <c r="V194" i="252"/>
  <c r="V187" i="252" s="1"/>
  <c r="V91" i="252"/>
  <c r="Y188" i="252"/>
  <c r="Y189" i="252" s="1"/>
  <c r="Y208" i="252" s="1"/>
  <c r="Y162" i="252"/>
  <c r="Z188" i="252"/>
  <c r="Z189" i="252" s="1"/>
  <c r="Z208" i="252" s="1"/>
  <c r="AD226" i="252"/>
  <c r="AE211" i="43" a="1"/>
  <c r="AE211" i="43" s="1"/>
  <c r="Z180" i="252"/>
  <c r="Z181" i="252" s="1"/>
  <c r="Z122" i="252"/>
  <c r="V50" i="252"/>
  <c r="Y180" i="252"/>
  <c r="Y181" i="252" s="1"/>
  <c r="Y122" i="252"/>
  <c r="V180" i="252"/>
  <c r="V181" i="252" s="1"/>
  <c r="V122" i="252"/>
  <c r="AC104" i="43" s="1" a="1"/>
  <c r="AC104" i="43" s="1"/>
  <c r="AC163" i="43" s="1"/>
  <c r="X180" i="252"/>
  <c r="X181" i="252" s="1"/>
  <c r="X122" i="252"/>
  <c r="Z133" i="252"/>
  <c r="Z245" i="252"/>
  <c r="X226" i="252"/>
  <c r="AC226" i="252"/>
  <c r="Z162" i="252"/>
  <c r="AL3" i="43"/>
  <c r="AK29" i="43"/>
  <c r="AK262" i="43"/>
  <c r="AE239" i="43"/>
  <c r="AF236" i="43"/>
  <c r="AD246" i="252"/>
  <c r="AD235" i="252"/>
  <c r="AB126" i="252"/>
  <c r="AB220" i="252"/>
  <c r="AH241" i="43"/>
  <c r="AG242" i="43"/>
  <c r="AG258" i="43"/>
  <c r="AG256" i="43"/>
  <c r="AA287" i="43"/>
  <c r="AA286" i="43"/>
  <c r="AB106" i="43"/>
  <c r="AB122" i="43"/>
  <c r="AJ267" i="43"/>
  <c r="AI275" i="43"/>
  <c r="AI255" i="43"/>
  <c r="AK55" i="43"/>
  <c r="AJ56" i="43"/>
  <c r="AH253" i="43"/>
  <c r="AH249" i="43"/>
  <c r="AH200" i="43" s="1"/>
  <c r="AH257" i="43"/>
  <c r="AH259" i="43" s="1"/>
  <c r="AH252" i="43"/>
  <c r="AH248" i="43"/>
  <c r="AH251" i="43"/>
  <c r="AH219" i="43" s="1"/>
  <c r="AH247" i="43"/>
  <c r="AH238" i="43" s="1"/>
  <c r="AH250" i="43"/>
  <c r="AH210" i="43" s="1"/>
  <c r="AH246" i="43"/>
  <c r="AH254" i="43"/>
  <c r="AH132" i="43" s="1"/>
  <c r="AH109" i="43"/>
  <c r="AH30" i="43"/>
  <c r="AH16" i="43" s="1"/>
  <c r="AJ91" i="43"/>
  <c r="AK88" i="43"/>
  <c r="AK138" i="43"/>
  <c r="AB285" i="43"/>
  <c r="AB93" i="43"/>
  <c r="AG71" i="43"/>
  <c r="AD61" i="43" l="1"/>
  <c r="AD260" i="43"/>
  <c r="AD11" i="43"/>
  <c r="AD40" i="43"/>
  <c r="AD340" i="43" s="1"/>
  <c r="Y132" i="252"/>
  <c r="Y137" i="252"/>
  <c r="AD36" i="43"/>
  <c r="AD333" i="43" s="1"/>
  <c r="AD28" i="43"/>
  <c r="AF40" i="43"/>
  <c r="AE340" i="43"/>
  <c r="W248" i="252"/>
  <c r="AD227" i="43" a="1"/>
  <c r="AD227" i="43" s="1"/>
  <c r="AD115" i="43" a="1"/>
  <c r="AD115" i="43" s="1"/>
  <c r="C65" i="22" s="1"/>
  <c r="X248" i="252"/>
  <c r="AC187" i="43"/>
  <c r="AD132" i="252"/>
  <c r="AD137" i="252" s="1"/>
  <c r="AE145" i="43" a="1"/>
  <c r="AE145" i="43" s="1"/>
  <c r="AE170" i="43" s="1"/>
  <c r="Y248" i="252"/>
  <c r="Y250" i="252"/>
  <c r="W161" i="252"/>
  <c r="W160" i="252"/>
  <c r="Z248" i="252"/>
  <c r="Z250" i="252"/>
  <c r="W188" i="252"/>
  <c r="W189" i="252" s="1"/>
  <c r="W208" i="252" s="1"/>
  <c r="W162" i="252"/>
  <c r="X132" i="252" s="1"/>
  <c r="X137" i="252" s="1"/>
  <c r="X188" i="252"/>
  <c r="X189" i="252" s="1"/>
  <c r="X208" i="252" s="1"/>
  <c r="AD224" i="43"/>
  <c r="C55" i="22"/>
  <c r="AD63" i="43"/>
  <c r="AA248" i="252"/>
  <c r="AA250" i="252" s="1"/>
  <c r="AD26" i="43" a="1"/>
  <c r="AD26" i="43" s="1"/>
  <c r="AC28" i="43"/>
  <c r="AC25" i="43" s="1"/>
  <c r="AD27" i="43"/>
  <c r="AC317" i="43"/>
  <c r="AC11" i="43"/>
  <c r="AC61" i="43"/>
  <c r="AC184" i="43" s="1"/>
  <c r="AC260" i="43"/>
  <c r="AC41" i="43"/>
  <c r="AC40" i="43"/>
  <c r="AC340" i="43" s="1"/>
  <c r="AD213" i="43"/>
  <c r="AE11" i="43"/>
  <c r="AE38" i="43" s="1"/>
  <c r="AE28" i="43"/>
  <c r="AE25" i="43" s="1"/>
  <c r="AE317" i="43"/>
  <c r="AE61" i="43"/>
  <c r="AE213" i="43" s="1"/>
  <c r="AE260" i="43"/>
  <c r="AF27" i="43"/>
  <c r="AF26" i="43"/>
  <c r="AA180" i="252"/>
  <c r="AA181" i="252" s="1"/>
  <c r="AA122" i="252"/>
  <c r="AE104" i="43" s="1" a="1"/>
  <c r="AE104" i="43" s="1"/>
  <c r="AD38" i="43"/>
  <c r="AD325" i="43" s="1"/>
  <c r="Z132" i="252"/>
  <c r="Z137" i="252" s="1"/>
  <c r="AD145" i="43" a="1"/>
  <c r="AD145" i="43" s="1"/>
  <c r="AD170" i="43" s="1"/>
  <c r="AF207" i="43"/>
  <c r="AF209" i="43" s="1"/>
  <c r="V162" i="252"/>
  <c r="V188" i="252"/>
  <c r="V189" i="252" s="1"/>
  <c r="V208" i="252" s="1"/>
  <c r="AE41" i="43"/>
  <c r="AD104" i="43" a="1"/>
  <c r="AD104" i="43" s="1"/>
  <c r="AE36" i="43"/>
  <c r="V157" i="252"/>
  <c r="V161" i="252" s="1"/>
  <c r="AC144" i="43" s="1" a="1"/>
  <c r="AC144" i="43" s="1"/>
  <c r="X202" i="252"/>
  <c r="X201" i="252"/>
  <c r="X209" i="252"/>
  <c r="Y199" i="252"/>
  <c r="AC186" i="43"/>
  <c r="AC185" i="43"/>
  <c r="AB133" i="252"/>
  <c r="AE115" i="43" s="1" a="1"/>
  <c r="AE115" i="43" s="1"/>
  <c r="AB245" i="252"/>
  <c r="AB248" i="252" s="1"/>
  <c r="AB249" i="252" s="1"/>
  <c r="AB226" i="252"/>
  <c r="AA162" i="252"/>
  <c r="AB188" i="252"/>
  <c r="AB189" i="252" s="1"/>
  <c r="AB208" i="252" s="1"/>
  <c r="AM3" i="43"/>
  <c r="AN3" i="43" s="1"/>
  <c r="AL29" i="43"/>
  <c r="AL262" i="43"/>
  <c r="AC215" i="252"/>
  <c r="AB149" i="252"/>
  <c r="AB232" i="252"/>
  <c r="AB223" i="252"/>
  <c r="AF237" i="43"/>
  <c r="AF110" i="43" s="1"/>
  <c r="AH242" i="43"/>
  <c r="AI241" i="43"/>
  <c r="AB130" i="252"/>
  <c r="AE217" i="43" a="1"/>
  <c r="AE217" i="43" s="1"/>
  <c r="AD239" i="252"/>
  <c r="AE228" i="43" a="1"/>
  <c r="AE228" i="43" s="1"/>
  <c r="AH258" i="43"/>
  <c r="AK267" i="43"/>
  <c r="AJ275" i="43"/>
  <c r="AJ255" i="43"/>
  <c r="AL88" i="43"/>
  <c r="AK91" i="43"/>
  <c r="AB286" i="43"/>
  <c r="AB287" i="43"/>
  <c r="AI257" i="43"/>
  <c r="AI259" i="43" s="1"/>
  <c r="AI252" i="43"/>
  <c r="AI248" i="43"/>
  <c r="AI251" i="43"/>
  <c r="AI219" i="43" s="1"/>
  <c r="AI247" i="43"/>
  <c r="AI238" i="43" s="1"/>
  <c r="AI254" i="43"/>
  <c r="AI132" i="43" s="1"/>
  <c r="AI250" i="43"/>
  <c r="AI210" i="43" s="1"/>
  <c r="AI253" i="43"/>
  <c r="AI246" i="43"/>
  <c r="AI249" i="43"/>
  <c r="AI200" i="43" s="1"/>
  <c r="AI109" i="43"/>
  <c r="AI30" i="43"/>
  <c r="AI16" i="43" s="1"/>
  <c r="AL138" i="43"/>
  <c r="AH256" i="43"/>
  <c r="AH71" i="43"/>
  <c r="AK56" i="43"/>
  <c r="AL55" i="43"/>
  <c r="AD25" i="43" l="1"/>
  <c r="AB19" i="252"/>
  <c r="AB252" i="252"/>
  <c r="AB250" i="252"/>
  <c r="AB251" i="252"/>
  <c r="AD163" i="43"/>
  <c r="C66" i="22"/>
  <c r="V211" i="252"/>
  <c r="V24" i="252"/>
  <c r="AC190" i="43" a="1"/>
  <c r="AC190" i="43" s="1"/>
  <c r="AC172" i="43" s="1"/>
  <c r="AF38" i="43"/>
  <c r="AE325" i="43"/>
  <c r="X211" i="252"/>
  <c r="X24" i="252"/>
  <c r="X93" i="252" s="1"/>
  <c r="Z249" i="252"/>
  <c r="Z252" i="252"/>
  <c r="Z19" i="252"/>
  <c r="Z251" i="252"/>
  <c r="AF36" i="43"/>
  <c r="AE333" i="43"/>
  <c r="AP25" i="43"/>
  <c r="AC38" i="43"/>
  <c r="AC325" i="43" s="1"/>
  <c r="AC15" i="43"/>
  <c r="X249" i="252"/>
  <c r="X19" i="252"/>
  <c r="X252" i="252"/>
  <c r="X251" i="252"/>
  <c r="AA132" i="252"/>
  <c r="AB132" i="252"/>
  <c r="AB137" i="252" s="1"/>
  <c r="Y202" i="252"/>
  <c r="Y209" i="252"/>
  <c r="Y201" i="252"/>
  <c r="Y157" i="252" s="1"/>
  <c r="Z199" i="252"/>
  <c r="Y203" i="252"/>
  <c r="V160" i="252"/>
  <c r="AC140" i="43" a="1"/>
  <c r="AC140" i="43" s="1"/>
  <c r="AC182" i="43" s="1"/>
  <c r="AC183" i="43" s="1"/>
  <c r="V145" i="252"/>
  <c r="V146" i="252"/>
  <c r="V147" i="252"/>
  <c r="V132" i="252"/>
  <c r="AC145" i="43" a="1"/>
  <c r="AC145" i="43" s="1"/>
  <c r="AC170" i="43" s="1"/>
  <c r="AD171" i="43" s="1"/>
  <c r="AF115" i="43"/>
  <c r="AF227" i="43"/>
  <c r="D55" i="22"/>
  <c r="D56" i="22" s="1"/>
  <c r="AE63" i="43"/>
  <c r="AA249" i="252"/>
  <c r="AA251" i="252"/>
  <c r="AA19" i="252"/>
  <c r="AA252" i="252"/>
  <c r="W132" i="252"/>
  <c r="AE190" i="43" a="1"/>
  <c r="AE190" i="43" s="1"/>
  <c r="AE172" i="43" s="1"/>
  <c r="AD209" i="43"/>
  <c r="AD300" i="43"/>
  <c r="AD67" i="43"/>
  <c r="W249" i="252"/>
  <c r="W252" i="252"/>
  <c r="W251" i="252"/>
  <c r="W19" i="252"/>
  <c r="X157" i="252"/>
  <c r="X161" i="252" s="1"/>
  <c r="AE171" i="43"/>
  <c r="AE163" i="43"/>
  <c r="D66" i="22"/>
  <c r="AF28" i="43"/>
  <c r="AF9" i="43" s="1"/>
  <c r="AC224" i="43"/>
  <c r="AC63" i="43"/>
  <c r="AC213" i="43"/>
  <c r="AE227" i="43" a="1"/>
  <c r="AE227" i="43" s="1"/>
  <c r="AE209" i="43" s="1"/>
  <c r="W211" i="252"/>
  <c r="W24" i="252"/>
  <c r="AD190" i="43" a="1"/>
  <c r="AD190" i="43" s="1"/>
  <c r="AD172" i="43" s="1"/>
  <c r="Y249" i="252"/>
  <c r="Y251" i="252"/>
  <c r="Y19" i="252"/>
  <c r="Y252" i="252"/>
  <c r="X250" i="252"/>
  <c r="W250" i="252"/>
  <c r="AG40" i="43"/>
  <c r="AF340" i="43"/>
  <c r="AM29" i="43"/>
  <c r="AM262" i="43"/>
  <c r="AF240" i="43"/>
  <c r="AG236" i="43" s="1"/>
  <c r="AI242" i="43"/>
  <c r="AJ241" i="43"/>
  <c r="AE218" i="43"/>
  <c r="AB86" i="252"/>
  <c r="AB21" i="252"/>
  <c r="AC217" i="252"/>
  <c r="AD150" i="252"/>
  <c r="AE133" i="43" s="1" a="1"/>
  <c r="AE133" i="43" s="1"/>
  <c r="AE221" i="43" s="1"/>
  <c r="AD242" i="252"/>
  <c r="AI256" i="43"/>
  <c r="AI258" i="43"/>
  <c r="AM138" i="43"/>
  <c r="AJ251" i="43"/>
  <c r="AJ219" i="43" s="1"/>
  <c r="AJ247" i="43"/>
  <c r="AJ238" i="43" s="1"/>
  <c r="AJ254" i="43"/>
  <c r="AJ132" i="43" s="1"/>
  <c r="AJ250" i="43"/>
  <c r="AJ210" i="43" s="1"/>
  <c r="AJ246" i="43"/>
  <c r="AJ253" i="43"/>
  <c r="AJ249" i="43"/>
  <c r="AJ200" i="43" s="1"/>
  <c r="AJ252" i="43"/>
  <c r="AJ257" i="43"/>
  <c r="AJ259" i="43" s="1"/>
  <c r="AJ248" i="43"/>
  <c r="AJ30" i="43"/>
  <c r="AJ16" i="43" s="1"/>
  <c r="AJ109" i="43"/>
  <c r="AL91" i="43"/>
  <c r="AM88" i="43"/>
  <c r="L81" i="22"/>
  <c r="AI71" i="43"/>
  <c r="AM55" i="43"/>
  <c r="AL56" i="43"/>
  <c r="AL267" i="43"/>
  <c r="AK275" i="43"/>
  <c r="AK255" i="43"/>
  <c r="V177" i="252" l="1"/>
  <c r="AC129" i="43" a="1"/>
  <c r="AC129" i="43" s="1"/>
  <c r="AC160" i="43" s="1"/>
  <c r="W147" i="252"/>
  <c r="W177" i="252" s="1"/>
  <c r="Y161" i="252"/>
  <c r="Y160" i="252"/>
  <c r="X86" i="252"/>
  <c r="X21" i="252"/>
  <c r="AG36" i="43"/>
  <c r="AF333" i="43"/>
  <c r="AG38" i="43"/>
  <c r="AF325" i="43"/>
  <c r="AE212" i="43"/>
  <c r="AE208" i="43"/>
  <c r="W137" i="252"/>
  <c r="AD114" i="43" a="1"/>
  <c r="AD114" i="43" s="1"/>
  <c r="AD119" i="43" s="1"/>
  <c r="V176" i="252"/>
  <c r="AC128" i="43" a="1"/>
  <c r="AC128" i="43" s="1"/>
  <c r="AC159" i="43" s="1"/>
  <c r="W146" i="252"/>
  <c r="W176" i="252" s="1"/>
  <c r="Y24" i="252"/>
  <c r="Y93" i="252" s="1"/>
  <c r="Y211" i="252"/>
  <c r="AA137" i="252"/>
  <c r="AE114" i="43" a="1"/>
  <c r="AE114" i="43" s="1"/>
  <c r="AE119" i="43" s="1"/>
  <c r="V93" i="252"/>
  <c r="V94" i="252" s="1"/>
  <c r="AC18" i="43" a="1"/>
  <c r="AC18" i="43" s="1"/>
  <c r="V26" i="252"/>
  <c r="W86" i="252"/>
  <c r="AD13" i="43" a="1"/>
  <c r="AD13" i="43" s="1"/>
  <c r="W21" i="252"/>
  <c r="AD176" i="43"/>
  <c r="AD177" i="43" s="1"/>
  <c r="C57" i="22"/>
  <c r="C59" i="22" s="1"/>
  <c r="AD173" i="43"/>
  <c r="X160" i="252"/>
  <c r="AE67" i="43"/>
  <c r="AE300" i="43"/>
  <c r="AC171" i="43"/>
  <c r="AC173" i="43" s="1"/>
  <c r="C76" i="22"/>
  <c r="C38" i="22"/>
  <c r="V175" i="252"/>
  <c r="AC127" i="43" a="1"/>
  <c r="AC127" i="43" s="1"/>
  <c r="W145" i="252"/>
  <c r="W175" i="252" s="1"/>
  <c r="Z86" i="252"/>
  <c r="Z21" i="252"/>
  <c r="AH40" i="43"/>
  <c r="AG340" i="43"/>
  <c r="Y86" i="252"/>
  <c r="Y21" i="252"/>
  <c r="W93" i="252"/>
  <c r="AC67" i="43"/>
  <c r="AC300" i="43"/>
  <c r="AF12" i="43"/>
  <c r="AF65" i="43" s="1"/>
  <c r="AG26" i="43"/>
  <c r="AG28" i="43" s="1"/>
  <c r="AG9" i="43" s="1"/>
  <c r="AF11" i="43"/>
  <c r="AF10" i="43" s="1"/>
  <c r="AF62" i="43" s="1"/>
  <c r="AF317" i="43"/>
  <c r="AF14" i="43"/>
  <c r="AF66" i="43" s="1"/>
  <c r="AF8" i="43"/>
  <c r="AF34" i="43" s="1"/>
  <c r="AF61" i="43"/>
  <c r="AG27" i="43"/>
  <c r="AF260" i="43"/>
  <c r="AF7" i="43"/>
  <c r="AF35" i="43" s="1"/>
  <c r="AE173" i="43"/>
  <c r="AD212" i="43"/>
  <c r="AD208" i="43"/>
  <c r="AA86" i="252"/>
  <c r="AA21" i="252"/>
  <c r="V137" i="252"/>
  <c r="AC114" i="43" a="1"/>
  <c r="AC114" i="43" s="1"/>
  <c r="AC119" i="43" s="1"/>
  <c r="AC143" i="43"/>
  <c r="AC188" i="43"/>
  <c r="Z202" i="252"/>
  <c r="Z209" i="252"/>
  <c r="AD191" i="43" s="1" a="1"/>
  <c r="AD191" i="43" s="1"/>
  <c r="Z201" i="252"/>
  <c r="AD181" i="43" a="1"/>
  <c r="AD181" i="43" s="1"/>
  <c r="Z203" i="252"/>
  <c r="AA199" i="252"/>
  <c r="AC42" i="43"/>
  <c r="AC356" i="43" s="1"/>
  <c r="AC17" i="43"/>
  <c r="AC39" i="43"/>
  <c r="AC348" i="43" s="1"/>
  <c r="AN29" i="43"/>
  <c r="AN262" i="43"/>
  <c r="AF180" i="43"/>
  <c r="AE222" i="43"/>
  <c r="AF222" i="43" s="1"/>
  <c r="AG222" i="43" s="1"/>
  <c r="AH222" i="43" s="1"/>
  <c r="AI222" i="43" s="1"/>
  <c r="AJ222" i="43" s="1"/>
  <c r="AK222" i="43" s="1"/>
  <c r="AL222" i="43" s="1"/>
  <c r="AM222" i="43" s="1"/>
  <c r="AN222" i="43" s="1"/>
  <c r="AB115" i="252"/>
  <c r="AB91" i="252"/>
  <c r="AF216" i="43"/>
  <c r="AE220" i="43"/>
  <c r="AE224" i="43"/>
  <c r="AE223" i="43"/>
  <c r="AF223" i="43" s="1"/>
  <c r="AG223" i="43" s="1"/>
  <c r="AH223" i="43" s="1"/>
  <c r="AI223" i="43" s="1"/>
  <c r="AJ223" i="43" s="1"/>
  <c r="AK223" i="43" s="1"/>
  <c r="AL223" i="43" s="1"/>
  <c r="AM223" i="43" s="1"/>
  <c r="AN223" i="43" s="1"/>
  <c r="AG237" i="43"/>
  <c r="AG110" i="43" s="1"/>
  <c r="AC216" i="252"/>
  <c r="AC244" i="252"/>
  <c r="AB49" i="252"/>
  <c r="AB23" i="252"/>
  <c r="AB46" i="252"/>
  <c r="AK241" i="43"/>
  <c r="AJ242" i="43"/>
  <c r="AJ256" i="43"/>
  <c r="AM56" i="43"/>
  <c r="AN55" i="43"/>
  <c r="AN56" i="43" s="1"/>
  <c r="AN138" i="43"/>
  <c r="AJ71" i="43"/>
  <c r="AJ258" i="43"/>
  <c r="AN88" i="43"/>
  <c r="AN91" i="43" s="1"/>
  <c r="AM91" i="43"/>
  <c r="AL275" i="43"/>
  <c r="AM267" i="43"/>
  <c r="AL255" i="43"/>
  <c r="AK254" i="43"/>
  <c r="AK132" i="43" s="1"/>
  <c r="AK250" i="43"/>
  <c r="AK210" i="43" s="1"/>
  <c r="AK246" i="43"/>
  <c r="AK253" i="43"/>
  <c r="AK249" i="43"/>
  <c r="AK200" i="43" s="1"/>
  <c r="AK257" i="43"/>
  <c r="AK259" i="43" s="1"/>
  <c r="AK252" i="43"/>
  <c r="AK248" i="43"/>
  <c r="AK251" i="43"/>
  <c r="AK219" i="43" s="1"/>
  <c r="AK247" i="43"/>
  <c r="AK238" i="43" s="1"/>
  <c r="AK109" i="43"/>
  <c r="AK30" i="43"/>
  <c r="AK16" i="43" s="1"/>
  <c r="AD187" i="43" l="1"/>
  <c r="X147" i="252"/>
  <c r="X177" i="252" s="1"/>
  <c r="AD185" i="43"/>
  <c r="AD186" i="43"/>
  <c r="AD184" i="43"/>
  <c r="AA49" i="252"/>
  <c r="AA46" i="252"/>
  <c r="AA23" i="252"/>
  <c r="Y115" i="252"/>
  <c r="Y91" i="252"/>
  <c r="V96" i="252"/>
  <c r="V95" i="252"/>
  <c r="V27" i="252" s="1"/>
  <c r="AC21" i="43" s="1" a="1"/>
  <c r="AC21" i="43" s="1"/>
  <c r="AC77" i="43" s="1"/>
  <c r="Z157" i="252"/>
  <c r="AA115" i="252"/>
  <c r="AA91" i="252"/>
  <c r="AG317" i="43"/>
  <c r="AG14" i="43"/>
  <c r="AG66" i="43" s="1"/>
  <c r="AG8" i="43"/>
  <c r="AG34" i="43" s="1"/>
  <c r="AG12" i="43"/>
  <c r="AG65" i="43" s="1"/>
  <c r="AG61" i="43"/>
  <c r="AG260" i="43"/>
  <c r="AG11" i="43"/>
  <c r="AG10" i="43" s="1"/>
  <c r="AG62" i="43" s="1"/>
  <c r="AH27" i="43"/>
  <c r="AH26" i="43"/>
  <c r="D36" i="22"/>
  <c r="D38" i="22"/>
  <c r="D37" i="22"/>
  <c r="X145" i="252"/>
  <c r="W115" i="252"/>
  <c r="W91" i="252"/>
  <c r="AH36" i="43"/>
  <c r="AG333" i="43"/>
  <c r="AC43" i="43"/>
  <c r="AC20" i="43"/>
  <c r="AC44" i="43"/>
  <c r="AF211" i="43"/>
  <c r="AF63" i="43"/>
  <c r="E55" i="22"/>
  <c r="E56" i="22" s="1"/>
  <c r="AC176" i="43"/>
  <c r="AC177" i="43" s="1"/>
  <c r="AC73" i="43"/>
  <c r="Z115" i="252"/>
  <c r="Z91" i="252"/>
  <c r="AA202" i="252"/>
  <c r="AA201" i="252"/>
  <c r="AA157" i="252" s="1"/>
  <c r="AA209" i="252"/>
  <c r="AB199" i="252"/>
  <c r="AA203" i="252"/>
  <c r="Z24" i="252"/>
  <c r="Z211" i="252"/>
  <c r="X49" i="252"/>
  <c r="X46" i="252"/>
  <c r="X23" i="252"/>
  <c r="AD230" i="43"/>
  <c r="AD68" i="43"/>
  <c r="AD15" i="43"/>
  <c r="AI40" i="43"/>
  <c r="AH340" i="43"/>
  <c r="AC156" i="43"/>
  <c r="AC158" i="43"/>
  <c r="AC364" i="43"/>
  <c r="AE176" i="43"/>
  <c r="AE177" i="43" s="1"/>
  <c r="D57" i="22"/>
  <c r="Y46" i="252"/>
  <c r="Y49" i="252"/>
  <c r="Y23" i="252"/>
  <c r="Z49" i="252"/>
  <c r="Z23" i="252"/>
  <c r="Z46" i="252"/>
  <c r="X146" i="252"/>
  <c r="W49" i="252"/>
  <c r="W23" i="252"/>
  <c r="W46" i="252"/>
  <c r="AC75" i="43"/>
  <c r="AC192" i="43"/>
  <c r="AC193" i="43" s="1"/>
  <c r="AH38" i="43"/>
  <c r="AG325" i="43"/>
  <c r="X115" i="252"/>
  <c r="X91" i="252"/>
  <c r="AF32" i="43"/>
  <c r="AF46" i="43" s="1"/>
  <c r="AG240" i="43"/>
  <c r="AH236" i="43" s="1"/>
  <c r="AK242" i="43"/>
  <c r="AL241" i="43"/>
  <c r="AF218" i="43"/>
  <c r="AC126" i="252"/>
  <c r="AC220" i="252"/>
  <c r="AB50" i="252"/>
  <c r="AC248" i="252"/>
  <c r="AC249" i="252" s="1"/>
  <c r="AK258" i="43"/>
  <c r="AK71" i="43"/>
  <c r="AL253" i="43"/>
  <c r="AL249" i="43"/>
  <c r="AL200" i="43" s="1"/>
  <c r="AL257" i="43"/>
  <c r="AL259" i="43" s="1"/>
  <c r="AL252" i="43"/>
  <c r="AL248" i="43"/>
  <c r="AL251" i="43"/>
  <c r="AL219" i="43" s="1"/>
  <c r="AL247" i="43"/>
  <c r="AL238" i="43" s="1"/>
  <c r="AL254" i="43"/>
  <c r="AL132" i="43" s="1"/>
  <c r="AL246" i="43"/>
  <c r="AL250" i="43"/>
  <c r="AL210" i="43" s="1"/>
  <c r="AL109" i="43"/>
  <c r="AL30" i="43"/>
  <c r="AL16" i="43" s="1"/>
  <c r="AN267" i="43"/>
  <c r="AM275" i="43"/>
  <c r="AM255" i="43"/>
  <c r="AK256" i="43"/>
  <c r="V99" i="252" l="1"/>
  <c r="AG7" i="43"/>
  <c r="AG35" i="43" s="1"/>
  <c r="Y147" i="252"/>
  <c r="Y177" i="252" s="1"/>
  <c r="D59" i="22"/>
  <c r="D58" i="22"/>
  <c r="AC162" i="43"/>
  <c r="AC164" i="43" s="1"/>
  <c r="AC157" i="43"/>
  <c r="AD39" i="43"/>
  <c r="AD348" i="43" s="1"/>
  <c r="AD17" i="43"/>
  <c r="AD42" i="43"/>
  <c r="AD356" i="43" s="1"/>
  <c r="Z93" i="252"/>
  <c r="Z94" i="252" s="1"/>
  <c r="AD18" i="43" a="1"/>
  <c r="AD18" i="43" s="1"/>
  <c r="AA161" i="252"/>
  <c r="AA160" i="252"/>
  <c r="AF67" i="43"/>
  <c r="AF300" i="43"/>
  <c r="W94" i="252"/>
  <c r="Z160" i="252"/>
  <c r="AD140" i="43" a="1"/>
  <c r="AD140" i="43" s="1"/>
  <c r="Y94" i="252"/>
  <c r="AD98" i="43"/>
  <c r="C64" i="22"/>
  <c r="AD73" i="43"/>
  <c r="AC302" i="43"/>
  <c r="AC301" i="43"/>
  <c r="AC76" i="43"/>
  <c r="AC79" i="43" s="1"/>
  <c r="AF208" i="43"/>
  <c r="AG207" i="43"/>
  <c r="AG209" i="43" s="1"/>
  <c r="C40" i="22"/>
  <c r="C42" i="22" s="1"/>
  <c r="V114" i="252"/>
  <c r="V103" i="252"/>
  <c r="Z26" i="252"/>
  <c r="Z50" i="252"/>
  <c r="Y26" i="252"/>
  <c r="Y50" i="252"/>
  <c r="AJ40" i="43"/>
  <c r="AI340" i="43"/>
  <c r="AB202" i="252"/>
  <c r="AB209" i="252"/>
  <c r="AB201" i="252"/>
  <c r="AB157" i="252" s="1"/>
  <c r="AC199" i="252"/>
  <c r="AB203" i="252"/>
  <c r="X175" i="252"/>
  <c r="Y145" i="252"/>
  <c r="Y175" i="252" s="1"/>
  <c r="AA50" i="252"/>
  <c r="X94" i="252"/>
  <c r="W50" i="252"/>
  <c r="W26" i="252"/>
  <c r="X176" i="252"/>
  <c r="Y146" i="252"/>
  <c r="Y176" i="252" s="1"/>
  <c r="AD231" i="43"/>
  <c r="AD233" i="43"/>
  <c r="AD234" i="43"/>
  <c r="AD232" i="43"/>
  <c r="AI38" i="43"/>
  <c r="AH325" i="43"/>
  <c r="X50" i="252"/>
  <c r="X26" i="252"/>
  <c r="AA211" i="252"/>
  <c r="AA24" i="252"/>
  <c r="AA26" i="252" s="1"/>
  <c r="AI36" i="43"/>
  <c r="AH333" i="43"/>
  <c r="AH28" i="43"/>
  <c r="AH9" i="43" s="1"/>
  <c r="AG211" i="43"/>
  <c r="F55" i="22"/>
  <c r="F56" i="22" s="1"/>
  <c r="AG63" i="43"/>
  <c r="Z161" i="252"/>
  <c r="AD144" i="43" s="1" a="1"/>
  <c r="AD144" i="43" s="1"/>
  <c r="V28" i="252"/>
  <c r="V117" i="252"/>
  <c r="V163" i="252" s="1"/>
  <c r="AG180" i="43"/>
  <c r="AC130" i="252"/>
  <c r="AH237" i="43"/>
  <c r="AH110" i="43" s="1"/>
  <c r="AC250" i="252"/>
  <c r="AC252" i="252"/>
  <c r="AC19" i="252"/>
  <c r="AC251" i="252"/>
  <c r="AL242" i="43"/>
  <c r="AM241" i="43"/>
  <c r="AD215" i="252"/>
  <c r="AC149" i="252"/>
  <c r="AC232" i="252"/>
  <c r="AC223" i="252"/>
  <c r="AF228" i="43"/>
  <c r="AF217" i="43"/>
  <c r="AF221" i="43" s="1"/>
  <c r="AL256" i="43"/>
  <c r="AL258" i="43"/>
  <c r="AL71" i="43"/>
  <c r="AN275" i="43"/>
  <c r="AN255" i="43"/>
  <c r="AM257" i="43"/>
  <c r="AM259" i="43" s="1"/>
  <c r="AM252" i="43"/>
  <c r="AM248" i="43"/>
  <c r="AM251" i="43"/>
  <c r="AM219" i="43" s="1"/>
  <c r="AM247" i="43"/>
  <c r="AM238" i="43" s="1"/>
  <c r="AM254" i="43"/>
  <c r="AM132" i="43" s="1"/>
  <c r="AM250" i="43"/>
  <c r="AM210" i="43" s="1"/>
  <c r="AM249" i="43"/>
  <c r="AM200" i="43" s="1"/>
  <c r="AM246" i="43"/>
  <c r="AM253" i="43"/>
  <c r="AM109" i="43"/>
  <c r="AM30" i="43"/>
  <c r="AM16" i="43" s="1"/>
  <c r="AD182" i="43" l="1"/>
  <c r="AD183" i="43" s="1"/>
  <c r="AC203" i="252"/>
  <c r="V164" i="252"/>
  <c r="AC146" i="43" a="1"/>
  <c r="AC146" i="43" s="1"/>
  <c r="AC147" i="43" s="1"/>
  <c r="AJ36" i="43"/>
  <c r="AI333" i="43"/>
  <c r="AJ38" i="43"/>
  <c r="AI325" i="43"/>
  <c r="AB211" i="252"/>
  <c r="AB24" i="252"/>
  <c r="V168" i="252"/>
  <c r="V109" i="252"/>
  <c r="Y96" i="252"/>
  <c r="Y95" i="252"/>
  <c r="Y27" i="252" s="1"/>
  <c r="AD188" i="43"/>
  <c r="AD143" i="43"/>
  <c r="AC22" i="43" a="1"/>
  <c r="AC22" i="43" s="1"/>
  <c r="V29" i="252"/>
  <c r="V53" i="252" s="1"/>
  <c r="AH207" i="43"/>
  <c r="AH209" i="43" s="1"/>
  <c r="AG208" i="43"/>
  <c r="X96" i="252"/>
  <c r="X95" i="252"/>
  <c r="X27" i="252" s="1"/>
  <c r="V121" i="252"/>
  <c r="V123" i="252" s="1"/>
  <c r="AD301" i="43"/>
  <c r="AD302" i="43"/>
  <c r="C61" i="22"/>
  <c r="Z147" i="252"/>
  <c r="E57" i="22"/>
  <c r="AF176" i="43"/>
  <c r="AF170" i="43" s="1"/>
  <c r="Z145" i="252"/>
  <c r="AD43" i="43"/>
  <c r="AD20" i="43"/>
  <c r="AD44" i="43"/>
  <c r="AH260" i="43"/>
  <c r="AH61" i="43"/>
  <c r="AH14" i="43"/>
  <c r="AH66" i="43" s="1"/>
  <c r="AI27" i="43"/>
  <c r="AI26" i="43"/>
  <c r="AH12" i="43"/>
  <c r="AH65" i="43" s="1"/>
  <c r="AH8" i="43"/>
  <c r="AH34" i="43" s="1"/>
  <c r="AH11" i="43"/>
  <c r="AH10" i="43" s="1"/>
  <c r="AH62" i="43" s="1"/>
  <c r="AH317" i="43"/>
  <c r="Z96" i="252"/>
  <c r="Z95" i="252"/>
  <c r="Z27" i="252" s="1"/>
  <c r="AD21" i="43" s="1" a="1"/>
  <c r="AD21" i="43" s="1"/>
  <c r="AD77" i="43" s="1"/>
  <c r="AC202" i="252"/>
  <c r="AC209" i="252"/>
  <c r="AC201" i="252"/>
  <c r="AC157" i="252" s="1"/>
  <c r="AD199" i="252"/>
  <c r="L38" i="22"/>
  <c r="L40" i="22" s="1"/>
  <c r="L37" i="22" s="1"/>
  <c r="J38" i="22"/>
  <c r="J40" i="22" s="1"/>
  <c r="J37" i="22" s="1"/>
  <c r="C46" i="22"/>
  <c r="C72" i="22" s="1"/>
  <c r="K38" i="22"/>
  <c r="K40" i="22" s="1"/>
  <c r="AG300" i="43"/>
  <c r="AG67" i="43"/>
  <c r="AA93" i="252"/>
  <c r="AA94" i="252" s="1"/>
  <c r="AB161" i="252"/>
  <c r="AB160" i="252"/>
  <c r="AK40" i="43"/>
  <c r="AJ340" i="43"/>
  <c r="AG227" i="43"/>
  <c r="AG115" i="43"/>
  <c r="Z146" i="252"/>
  <c r="W95" i="252"/>
  <c r="W27" i="252" s="1"/>
  <c r="W96" i="252"/>
  <c r="AD192" i="43"/>
  <c r="AD193" i="43" s="1"/>
  <c r="AD75" i="43"/>
  <c r="AD76" i="43" s="1"/>
  <c r="AG32" i="43"/>
  <c r="AG46" i="43" s="1"/>
  <c r="AH240" i="43"/>
  <c r="AI236" i="43" s="1"/>
  <c r="AN241" i="43"/>
  <c r="AN242" i="43" s="1"/>
  <c r="AM242" i="43"/>
  <c r="AG216" i="43"/>
  <c r="AG218" i="43" s="1"/>
  <c r="AF133" i="43"/>
  <c r="AF224" i="43"/>
  <c r="AC86" i="252"/>
  <c r="AC21" i="252"/>
  <c r="AD217" i="252"/>
  <c r="AM256" i="43"/>
  <c r="AM258" i="43"/>
  <c r="AM71" i="43"/>
  <c r="AN251" i="43"/>
  <c r="AN219" i="43" s="1"/>
  <c r="AN247" i="43"/>
  <c r="AN238" i="43" s="1"/>
  <c r="AN254" i="43"/>
  <c r="AN132" i="43" s="1"/>
  <c r="AN250" i="43"/>
  <c r="AN210" i="43" s="1"/>
  <c r="AN246" i="43"/>
  <c r="AN253" i="43"/>
  <c r="AN249" i="43"/>
  <c r="AN200" i="43" s="1"/>
  <c r="AN252" i="43"/>
  <c r="AN257" i="43"/>
  <c r="AN259" i="43" s="1"/>
  <c r="AN248" i="43"/>
  <c r="AN109" i="43"/>
  <c r="AN30" i="43"/>
  <c r="AN16" i="43" s="1"/>
  <c r="W99" i="252" l="1"/>
  <c r="W103" i="252" s="1"/>
  <c r="AH7" i="43"/>
  <c r="AH35" i="43" s="1"/>
  <c r="Z99" i="252"/>
  <c r="Z114" i="252" s="1"/>
  <c r="AI28" i="43"/>
  <c r="AI9" i="43" s="1"/>
  <c r="AJ26" i="43" s="1"/>
  <c r="X99" i="252"/>
  <c r="AL40" i="43"/>
  <c r="AK340" i="43"/>
  <c r="AG176" i="43"/>
  <c r="AG170" i="43" s="1"/>
  <c r="F57" i="22"/>
  <c r="AC161" i="252"/>
  <c r="AC160" i="252"/>
  <c r="Z175" i="252"/>
  <c r="AD127" i="43" a="1"/>
  <c r="AD127" i="43" s="1"/>
  <c r="AA145" i="252"/>
  <c r="X114" i="252"/>
  <c r="X103" i="252"/>
  <c r="X109" i="252" s="1"/>
  <c r="Y28" i="252"/>
  <c r="Y29" i="252" s="1"/>
  <c r="Y53" i="252" s="1"/>
  <c r="Y117" i="252"/>
  <c r="AK36" i="43"/>
  <c r="AJ333" i="43"/>
  <c r="AD79" i="43"/>
  <c r="Z177" i="252"/>
  <c r="AD129" i="43" a="1"/>
  <c r="AD129" i="43" s="1"/>
  <c r="AD160" i="43" s="1"/>
  <c r="AA147" i="252"/>
  <c r="AH115" i="43"/>
  <c r="AH227" i="43"/>
  <c r="V463" i="252"/>
  <c r="V110" i="252"/>
  <c r="Z28" i="252"/>
  <c r="Z29" i="252" s="1"/>
  <c r="Z53" i="252" s="1"/>
  <c r="Z117" i="252"/>
  <c r="AF145" i="43"/>
  <c r="AF114" i="43" s="1"/>
  <c r="AF119" i="43" s="1"/>
  <c r="AF171" i="43"/>
  <c r="AF172" i="43" s="1"/>
  <c r="AF190" i="43" s="1"/>
  <c r="V124" i="252"/>
  <c r="V140" i="252"/>
  <c r="V144" i="252" s="1"/>
  <c r="X117" i="252"/>
  <c r="X28" i="252"/>
  <c r="X29" i="252" s="1"/>
  <c r="X53" i="252" s="1"/>
  <c r="Y99" i="252"/>
  <c r="V460" i="252"/>
  <c r="V466" i="252"/>
  <c r="AC151" i="43" a="1"/>
  <c r="AC151" i="43" s="1"/>
  <c r="AC153" i="43" s="1"/>
  <c r="AK38" i="43"/>
  <c r="AJ325" i="43"/>
  <c r="V169" i="252"/>
  <c r="W117" i="252"/>
  <c r="W163" i="252" s="1"/>
  <c r="W164" i="252" s="1"/>
  <c r="W28" i="252"/>
  <c r="AC24" i="252"/>
  <c r="AC211" i="252"/>
  <c r="Z176" i="252"/>
  <c r="AD128" i="43" a="1"/>
  <c r="AD128" i="43" s="1"/>
  <c r="AD159" i="43" s="1"/>
  <c r="AA146" i="252"/>
  <c r="AA96" i="252"/>
  <c r="AA95" i="252"/>
  <c r="AA27" i="252" s="1"/>
  <c r="L17" i="22"/>
  <c r="K37" i="22"/>
  <c r="AD202" i="252"/>
  <c r="AE181" i="43" a="1"/>
  <c r="AE181" i="43" s="1"/>
  <c r="AD201" i="252"/>
  <c r="AD157" i="252" s="1"/>
  <c r="AD209" i="252"/>
  <c r="G55" i="22"/>
  <c r="G56" i="22" s="1"/>
  <c r="AH63" i="43"/>
  <c r="AH211" i="43"/>
  <c r="E59" i="22"/>
  <c r="E58" i="22"/>
  <c r="AC78" i="43"/>
  <c r="AC23" i="43"/>
  <c r="AC47" i="43" s="1"/>
  <c r="AB93" i="252"/>
  <c r="AB94" i="252" s="1"/>
  <c r="AB26" i="252"/>
  <c r="AH180" i="43"/>
  <c r="AH32" i="43" s="1"/>
  <c r="AH46" i="43" s="1"/>
  <c r="AC23" i="252"/>
  <c r="AC46" i="252"/>
  <c r="AC49" i="252"/>
  <c r="AC115" i="252"/>
  <c r="AC91" i="252"/>
  <c r="AG217" i="43"/>
  <c r="AG221" i="43" s="1"/>
  <c r="AG228" i="43"/>
  <c r="AD244" i="252"/>
  <c r="AD216" i="252"/>
  <c r="AI237" i="43"/>
  <c r="AI110" i="43" s="1"/>
  <c r="AN256" i="43"/>
  <c r="AN258" i="43"/>
  <c r="AN71" i="43"/>
  <c r="W114" i="252" l="1"/>
  <c r="Z103" i="252"/>
  <c r="Z109" i="252" s="1"/>
  <c r="AI260" i="43"/>
  <c r="W109" i="252"/>
  <c r="W168" i="252"/>
  <c r="W169" i="252" s="1"/>
  <c r="AI61" i="43"/>
  <c r="AI211" i="43" s="1"/>
  <c r="AI317" i="43"/>
  <c r="AI8" i="43"/>
  <c r="AI12" i="43"/>
  <c r="AI65" i="43" s="1"/>
  <c r="W121" i="252"/>
  <c r="W123" i="252" s="1"/>
  <c r="AI14" i="43"/>
  <c r="AI66" i="43" s="1"/>
  <c r="AJ27" i="43"/>
  <c r="X163" i="252"/>
  <c r="X164" i="252" s="1"/>
  <c r="AI11" i="43"/>
  <c r="AI10" i="43" s="1"/>
  <c r="AI62" i="43" s="1"/>
  <c r="AI63" i="43" s="1"/>
  <c r="AI207" i="43"/>
  <c r="AI209" i="43" s="1"/>
  <c r="AH208" i="43"/>
  <c r="V467" i="252"/>
  <c r="V469" i="252"/>
  <c r="V471" i="252"/>
  <c r="X121" i="252"/>
  <c r="X123" i="252" s="1"/>
  <c r="H55" i="22"/>
  <c r="H56" i="22" s="1"/>
  <c r="AC100" i="43"/>
  <c r="AC80" i="43"/>
  <c r="AC81" i="43"/>
  <c r="AH300" i="43"/>
  <c r="AH67" i="43"/>
  <c r="AE186" i="43"/>
  <c r="AE184" i="43"/>
  <c r="AF181" i="43"/>
  <c r="AA99" i="252"/>
  <c r="W29" i="252"/>
  <c r="W53" i="252" s="1"/>
  <c r="AD22" i="43" a="1"/>
  <c r="AD22" i="43" s="1"/>
  <c r="AL38" i="43"/>
  <c r="AK325" i="43"/>
  <c r="V461" i="252"/>
  <c r="V464" i="252" s="1"/>
  <c r="V462" i="252"/>
  <c r="V465" i="252" s="1"/>
  <c r="V148" i="252"/>
  <c r="V153" i="252" s="1"/>
  <c r="V192" i="252"/>
  <c r="AC126" i="43" a="1"/>
  <c r="AC126" i="43" s="1"/>
  <c r="V193" i="252"/>
  <c r="V196" i="252" s="1"/>
  <c r="Y163" i="252"/>
  <c r="Y164" i="252" s="1"/>
  <c r="AA175" i="252"/>
  <c r="AB145" i="252"/>
  <c r="AI7" i="43"/>
  <c r="AI35" i="43" s="1"/>
  <c r="AI34" i="43"/>
  <c r="Z110" i="252"/>
  <c r="Z463" i="252"/>
  <c r="AG171" i="43"/>
  <c r="AG172" i="43" s="1"/>
  <c r="AG190" i="43" s="1"/>
  <c r="AG145" i="43"/>
  <c r="AG114" i="43" s="1"/>
  <c r="AG119" i="43" s="1"/>
  <c r="W110" i="252"/>
  <c r="W463" i="252"/>
  <c r="AA176" i="252"/>
  <c r="AB146" i="252"/>
  <c r="AL36" i="43"/>
  <c r="AK333" i="43"/>
  <c r="W124" i="252"/>
  <c r="W140" i="252"/>
  <c r="W144" i="252" s="1"/>
  <c r="AC288" i="43"/>
  <c r="AC281" i="43"/>
  <c r="Y103" i="252"/>
  <c r="Y109" i="252" s="1"/>
  <c r="Y114" i="252"/>
  <c r="Y121" i="252" s="1"/>
  <c r="Y123" i="252" s="1"/>
  <c r="AA177" i="252"/>
  <c r="AB147" i="252"/>
  <c r="AD156" i="43"/>
  <c r="AD364" i="43"/>
  <c r="AD158" i="43"/>
  <c r="Z121" i="252"/>
  <c r="Z123" i="252" s="1"/>
  <c r="AD161" i="252"/>
  <c r="AE144" i="43" s="1" a="1"/>
  <c r="AE144" i="43" s="1"/>
  <c r="AD160" i="252"/>
  <c r="AE140" i="43" a="1"/>
  <c r="AE140" i="43" s="1"/>
  <c r="AC93" i="252"/>
  <c r="AC94" i="252" s="1"/>
  <c r="F58" i="22"/>
  <c r="F59" i="22"/>
  <c r="AB96" i="252"/>
  <c r="AB95" i="252"/>
  <c r="AB27" i="252" s="1"/>
  <c r="AE191" i="43" a="1"/>
  <c r="AE191" i="43" s="1"/>
  <c r="AE187" i="43" s="1"/>
  <c r="AD211" i="252"/>
  <c r="AD24" i="252"/>
  <c r="AD93" i="252" s="1"/>
  <c r="AA28" i="252"/>
  <c r="AA29" i="252" s="1"/>
  <c r="AA53" i="252" s="1"/>
  <c r="AA117" i="252"/>
  <c r="V170" i="252"/>
  <c r="W466" i="252"/>
  <c r="W471" i="252" s="1"/>
  <c r="W460" i="252"/>
  <c r="X168" i="252"/>
  <c r="X169" i="252" s="1"/>
  <c r="X463" i="252"/>
  <c r="X110" i="252"/>
  <c r="AJ28" i="43"/>
  <c r="AJ9" i="43" s="1"/>
  <c r="AM40" i="43"/>
  <c r="AP40" i="43"/>
  <c r="AL340" i="43"/>
  <c r="AD126" i="252"/>
  <c r="AE198" i="43" a="1"/>
  <c r="AE198" i="43" s="1"/>
  <c r="AD220" i="252"/>
  <c r="AD248" i="252"/>
  <c r="AD249" i="252" s="1"/>
  <c r="AE226" i="43" a="1"/>
  <c r="AE226" i="43" s="1"/>
  <c r="AH216" i="43"/>
  <c r="AH218" i="43" s="1"/>
  <c r="AG133" i="43"/>
  <c r="AG224" i="43"/>
  <c r="AI240" i="43"/>
  <c r="AC50" i="252"/>
  <c r="AC26" i="252"/>
  <c r="Z163" i="252" l="1"/>
  <c r="AA163" i="252" s="1"/>
  <c r="AA164" i="252" s="1"/>
  <c r="AC290" i="43"/>
  <c r="AB99" i="252"/>
  <c r="AB114" i="252" s="1"/>
  <c r="AE18" i="43" a="1"/>
  <c r="AE18" i="43" s="1"/>
  <c r="AE192" i="43" s="1"/>
  <c r="AE193" i="43" s="1"/>
  <c r="Y124" i="252"/>
  <c r="Y140" i="252"/>
  <c r="W192" i="252"/>
  <c r="W148" i="252"/>
  <c r="W153" i="252" s="1"/>
  <c r="W170" i="252" s="1"/>
  <c r="W193" i="252"/>
  <c r="W196" i="252" s="1"/>
  <c r="W461" i="252"/>
  <c r="W462" i="252"/>
  <c r="W465" i="252" s="1"/>
  <c r="AB103" i="252"/>
  <c r="AB109" i="252" s="1"/>
  <c r="AB110" i="252" s="1"/>
  <c r="AB177" i="252"/>
  <c r="AC147" i="252"/>
  <c r="Y110" i="252"/>
  <c r="Y463" i="252"/>
  <c r="AB176" i="252"/>
  <c r="AC146" i="252"/>
  <c r="AB175" i="252"/>
  <c r="AC145" i="252"/>
  <c r="AC130" i="43"/>
  <c r="AC136" i="43" s="1"/>
  <c r="C79" i="22"/>
  <c r="AC175" i="43"/>
  <c r="AC178" i="43" s="1"/>
  <c r="AC97" i="43"/>
  <c r="AC103" i="43" s="1"/>
  <c r="AC105" i="43" s="1"/>
  <c r="AC303" i="43"/>
  <c r="AC293" i="43" s="1"/>
  <c r="AC85" i="43"/>
  <c r="AC92" i="43" s="1"/>
  <c r="AJ207" i="43"/>
  <c r="AJ209" i="43" s="1"/>
  <c r="AI208" i="43"/>
  <c r="W467" i="252"/>
  <c r="AE182" i="43"/>
  <c r="AE188" i="43"/>
  <c r="AE143" i="43"/>
  <c r="AC282" i="43"/>
  <c r="AC284" i="43" s="1"/>
  <c r="AC283" i="43"/>
  <c r="AA114" i="252"/>
  <c r="AA121" i="252" s="1"/>
  <c r="AA123" i="252" s="1"/>
  <c r="AA103" i="252"/>
  <c r="AA109" i="252" s="1"/>
  <c r="X124" i="252"/>
  <c r="X140" i="252"/>
  <c r="X144" i="252" s="1"/>
  <c r="AI227" i="43"/>
  <c r="AI115" i="43"/>
  <c r="AJ260" i="43"/>
  <c r="AJ317" i="43"/>
  <c r="AK26" i="43"/>
  <c r="AJ11" i="43"/>
  <c r="AJ10" i="43" s="1"/>
  <c r="AJ62" i="43" s="1"/>
  <c r="AK27" i="43"/>
  <c r="AJ12" i="43"/>
  <c r="AJ65" i="43" s="1"/>
  <c r="AJ14" i="43"/>
  <c r="AJ66" i="43" s="1"/>
  <c r="AJ8" i="43"/>
  <c r="AJ61" i="43"/>
  <c r="X460" i="252"/>
  <c r="X466" i="252"/>
  <c r="X471" i="252" s="1"/>
  <c r="Y168" i="252"/>
  <c r="Z124" i="252"/>
  <c r="Z140" i="252"/>
  <c r="AD78" i="43"/>
  <c r="AD23" i="43"/>
  <c r="AD47" i="43" s="1"/>
  <c r="AN40" i="43"/>
  <c r="AN340" i="43" s="1"/>
  <c r="AM340" i="43"/>
  <c r="AB28" i="252"/>
  <c r="AB29" i="252" s="1"/>
  <c r="AB53" i="252" s="1"/>
  <c r="AB117" i="252"/>
  <c r="AD162" i="43"/>
  <c r="AD164" i="43" s="1"/>
  <c r="AD157" i="43"/>
  <c r="AD146" i="43" a="1"/>
  <c r="AD146" i="43" s="1"/>
  <c r="AD147" i="43" s="1"/>
  <c r="Z164" i="252"/>
  <c r="AC289" i="43"/>
  <c r="AC291" i="43" s="1"/>
  <c r="AM36" i="43"/>
  <c r="AL333" i="43"/>
  <c r="AM38" i="43"/>
  <c r="AP38" i="43"/>
  <c r="AL325" i="43"/>
  <c r="AF184" i="43"/>
  <c r="AF191" i="43"/>
  <c r="AG181" i="43"/>
  <c r="AH176" i="43"/>
  <c r="AH170" i="43" s="1"/>
  <c r="G57" i="22"/>
  <c r="AI300" i="43"/>
  <c r="AI67" i="43"/>
  <c r="W469" i="252"/>
  <c r="V472" i="252"/>
  <c r="V470" i="252"/>
  <c r="W472" i="252"/>
  <c r="W470" i="252"/>
  <c r="AE199" i="43"/>
  <c r="AE204" i="43" s="1"/>
  <c r="AF204" i="43" s="1"/>
  <c r="AG204" i="43" s="1"/>
  <c r="AH204" i="43" s="1"/>
  <c r="AI204" i="43" s="1"/>
  <c r="AJ204" i="43" s="1"/>
  <c r="AK204" i="43" s="1"/>
  <c r="AL204" i="43" s="1"/>
  <c r="AM204" i="43" s="1"/>
  <c r="AN204" i="43" s="1"/>
  <c r="AC95" i="252"/>
  <c r="AC27" i="252" s="1"/>
  <c r="AC96" i="252"/>
  <c r="AD149" i="252"/>
  <c r="AD232" i="252"/>
  <c r="AD223" i="252"/>
  <c r="AI180" i="43"/>
  <c r="AJ236" i="43"/>
  <c r="AD250" i="252"/>
  <c r="AD252" i="252"/>
  <c r="AD19" i="252"/>
  <c r="AD251" i="252"/>
  <c r="AH217" i="43"/>
  <c r="AH221" i="43" s="1"/>
  <c r="AH228" i="43"/>
  <c r="AD130" i="252"/>
  <c r="AE108" i="43" a="1"/>
  <c r="AE108" i="43" s="1"/>
  <c r="AB463" i="252" l="1"/>
  <c r="AB163" i="252"/>
  <c r="AB164" i="252" s="1"/>
  <c r="AE75" i="43"/>
  <c r="AB121" i="252"/>
  <c r="AB123" i="252" s="1"/>
  <c r="AK28" i="43"/>
  <c r="AK9" i="43" s="1"/>
  <c r="Y144" i="252"/>
  <c r="Z144" i="252" s="1"/>
  <c r="AN36" i="43"/>
  <c r="AN333" i="43" s="1"/>
  <c r="AM333" i="43"/>
  <c r="Y466" i="252"/>
  <c r="Y460" i="252"/>
  <c r="Z168" i="252"/>
  <c r="AJ7" i="43"/>
  <c r="AJ35" i="43" s="1"/>
  <c r="AJ34" i="43"/>
  <c r="AC295" i="43"/>
  <c r="AC294" i="43"/>
  <c r="AC154" i="43"/>
  <c r="W464" i="252"/>
  <c r="G58" i="22"/>
  <c r="G59" i="22"/>
  <c r="AN38" i="43"/>
  <c r="AN325" i="43" s="1"/>
  <c r="AM325" i="43"/>
  <c r="AC175" i="252"/>
  <c r="AD145" i="252"/>
  <c r="AH145" i="43"/>
  <c r="AH114" i="43" s="1"/>
  <c r="AH119" i="43" s="1"/>
  <c r="AH171" i="43"/>
  <c r="AH172" i="43" s="1"/>
  <c r="AH190" i="43" s="1"/>
  <c r="Y169" i="252"/>
  <c r="X462" i="252"/>
  <c r="X465" i="252" s="1"/>
  <c r="X461" i="252"/>
  <c r="X148" i="252"/>
  <c r="X153" i="252" s="1"/>
  <c r="X170" i="252" s="1"/>
  <c r="X192" i="252"/>
  <c r="X193" i="252"/>
  <c r="X196" i="252" s="1"/>
  <c r="AA140" i="252"/>
  <c r="AA124" i="252"/>
  <c r="AJ115" i="43"/>
  <c r="AJ227" i="43"/>
  <c r="AF18" i="43"/>
  <c r="AF75" i="43" s="1"/>
  <c r="AF193" i="43"/>
  <c r="X467" i="252"/>
  <c r="X470" i="252" s="1"/>
  <c r="AA463" i="252"/>
  <c r="AA110" i="252"/>
  <c r="X469" i="252"/>
  <c r="AC106" i="43"/>
  <c r="AC122" i="43"/>
  <c r="AB124" i="252"/>
  <c r="AB140" i="252"/>
  <c r="H57" i="22"/>
  <c r="AI176" i="43"/>
  <c r="AI170" i="43" s="1"/>
  <c r="AI171" i="43" s="1"/>
  <c r="AI172" i="43" s="1"/>
  <c r="AI190" i="43" s="1"/>
  <c r="AG184" i="43"/>
  <c r="AG191" i="43"/>
  <c r="AH181" i="43"/>
  <c r="AD100" i="43"/>
  <c r="C67" i="22" s="1"/>
  <c r="AD80" i="43"/>
  <c r="C62" i="22" s="1"/>
  <c r="C63" i="22" s="1"/>
  <c r="AD81" i="43"/>
  <c r="I55" i="22"/>
  <c r="I56" i="22" s="1"/>
  <c r="AJ63" i="43"/>
  <c r="AJ211" i="43"/>
  <c r="AF182" i="43"/>
  <c r="AE183" i="43"/>
  <c r="AC93" i="43"/>
  <c r="AC285" i="43"/>
  <c r="AC176" i="252"/>
  <c r="AD146" i="252"/>
  <c r="AC177" i="252"/>
  <c r="AD147" i="252"/>
  <c r="AC99" i="252"/>
  <c r="AC103" i="252" s="1"/>
  <c r="AI32" i="43"/>
  <c r="AI46" i="43" s="1"/>
  <c r="AD203" i="252"/>
  <c r="AE131" i="43" a="1"/>
  <c r="AE131" i="43" s="1"/>
  <c r="AE185" i="43" s="1"/>
  <c r="D65" i="22"/>
  <c r="AE112" i="43"/>
  <c r="AI216" i="43"/>
  <c r="AI218" i="43" s="1"/>
  <c r="AH133" i="43"/>
  <c r="AH224" i="43"/>
  <c r="AJ237" i="43"/>
  <c r="AJ110" i="43" s="1"/>
  <c r="AC117" i="252"/>
  <c r="AC28" i="252"/>
  <c r="AD86" i="252"/>
  <c r="AD21" i="252"/>
  <c r="AE13" i="43" a="1"/>
  <c r="AE13" i="43" s="1"/>
  <c r="AC163" i="252" l="1"/>
  <c r="X472" i="252"/>
  <c r="Y193" i="252"/>
  <c r="Y196" i="252" s="1"/>
  <c r="AD126" i="43" a="1"/>
  <c r="AD126" i="43" s="1"/>
  <c r="AD175" i="43" s="1"/>
  <c r="AD178" i="43" s="1"/>
  <c r="Z148" i="252"/>
  <c r="Z153" i="252" s="1"/>
  <c r="Z192" i="252"/>
  <c r="Z193" i="252"/>
  <c r="Z196" i="252" s="1"/>
  <c r="AA144" i="252"/>
  <c r="AA193" i="252" s="1"/>
  <c r="AA196" i="252" s="1"/>
  <c r="Y148" i="252"/>
  <c r="Y153" i="252" s="1"/>
  <c r="AL26" i="43"/>
  <c r="AP26" i="43" s="1"/>
  <c r="AL27" i="43"/>
  <c r="AK260" i="43"/>
  <c r="AK61" i="43"/>
  <c r="AK11" i="43"/>
  <c r="AK10" i="43" s="1"/>
  <c r="AK62" i="43" s="1"/>
  <c r="AK317" i="43"/>
  <c r="AK12" i="43"/>
  <c r="AK65" i="43" s="1"/>
  <c r="Y192" i="252"/>
  <c r="AK14" i="43"/>
  <c r="AK66" i="43" s="1"/>
  <c r="AK8" i="43"/>
  <c r="AK34" i="43" s="1"/>
  <c r="AC296" i="43"/>
  <c r="Y467" i="252"/>
  <c r="AG182" i="43"/>
  <c r="AF183" i="43"/>
  <c r="AF140" i="43" s="1"/>
  <c r="AE127" i="43" a="1"/>
  <c r="AE127" i="43" s="1"/>
  <c r="AD175" i="252"/>
  <c r="AD176" i="252"/>
  <c r="AE128" i="43" a="1"/>
  <c r="AE128" i="43" s="1"/>
  <c r="AE159" i="43" s="1"/>
  <c r="AJ208" i="43"/>
  <c r="AK207" i="43"/>
  <c r="AK209" i="43" s="1"/>
  <c r="Y469" i="252"/>
  <c r="AK7" i="43"/>
  <c r="AK35" i="43" s="1"/>
  <c r="AJ67" i="43"/>
  <c r="AJ300" i="43"/>
  <c r="AD85" i="43"/>
  <c r="AD92" i="43" s="1"/>
  <c r="AD97" i="43"/>
  <c r="AD103" i="43" s="1"/>
  <c r="AD105" i="43" s="1"/>
  <c r="AD303" i="43"/>
  <c r="AD293" i="43" s="1"/>
  <c r="AH184" i="43"/>
  <c r="AH191" i="43"/>
  <c r="AH193" i="43" s="1"/>
  <c r="AI181" i="43"/>
  <c r="AI145" i="43"/>
  <c r="AI114" i="43" s="1"/>
  <c r="AI119" i="43" s="1"/>
  <c r="Y471" i="252"/>
  <c r="AH18" i="43"/>
  <c r="AH75" i="43" s="1"/>
  <c r="Y170" i="252"/>
  <c r="X464" i="252"/>
  <c r="Z466" i="252"/>
  <c r="Z471" i="252" s="1"/>
  <c r="AD151" i="43" a="1"/>
  <c r="AD151" i="43" s="1"/>
  <c r="Z460" i="252"/>
  <c r="AA168" i="252"/>
  <c r="AE129" i="43" a="1"/>
  <c r="AE129" i="43" s="1"/>
  <c r="AE160" i="43" s="1"/>
  <c r="AD177" i="252"/>
  <c r="AC286" i="43"/>
  <c r="AC287" i="43"/>
  <c r="C68" i="22"/>
  <c r="C71" i="22" s="1"/>
  <c r="C73" i="22" s="1"/>
  <c r="AG193" i="43"/>
  <c r="AG18" i="43"/>
  <c r="AG75" i="43" s="1"/>
  <c r="H58" i="22"/>
  <c r="H59" i="22"/>
  <c r="Y472" i="252"/>
  <c r="Y470" i="252"/>
  <c r="Z169" i="252"/>
  <c r="Z170" i="252" s="1"/>
  <c r="Y462" i="252"/>
  <c r="Y465" i="252" s="1"/>
  <c r="Y461" i="252"/>
  <c r="Y464" i="252" s="1"/>
  <c r="AC114" i="252"/>
  <c r="AC121" i="252" s="1"/>
  <c r="AC123" i="252" s="1"/>
  <c r="AD115" i="252"/>
  <c r="AD91" i="252"/>
  <c r="AC29" i="252"/>
  <c r="AC53" i="252" s="1"/>
  <c r="AI228" i="43"/>
  <c r="AI217" i="43"/>
  <c r="AI221" i="43" s="1"/>
  <c r="AE68" i="43"/>
  <c r="AE230" i="43"/>
  <c r="AE15" i="43"/>
  <c r="AC164" i="252"/>
  <c r="AD46" i="252"/>
  <c r="AD49" i="252"/>
  <c r="AD23" i="252"/>
  <c r="AJ240" i="43"/>
  <c r="AC109" i="252"/>
  <c r="AD130" i="43" l="1"/>
  <c r="AD136" i="43" s="1"/>
  <c r="AA148" i="252"/>
  <c r="AA153" i="252" s="1"/>
  <c r="AL28" i="43"/>
  <c r="AL9" i="43" s="1"/>
  <c r="AP9" i="43" s="1"/>
  <c r="AA192" i="252"/>
  <c r="AB144" i="252"/>
  <c r="J55" i="22"/>
  <c r="J56" i="22" s="1"/>
  <c r="AK63" i="43"/>
  <c r="AK211" i="43"/>
  <c r="AD288" i="43"/>
  <c r="AD281" i="43"/>
  <c r="AD153" i="43"/>
  <c r="AD154" i="43" s="1"/>
  <c r="Z462" i="252"/>
  <c r="Z465" i="252" s="1"/>
  <c r="Z461" i="252"/>
  <c r="Z464" i="252" s="1"/>
  <c r="AD285" i="43"/>
  <c r="AD93" i="43"/>
  <c r="C53" i="22"/>
  <c r="AD294" i="43"/>
  <c r="AD295" i="43"/>
  <c r="Z467" i="252"/>
  <c r="Z470" i="252" s="1"/>
  <c r="AI184" i="43"/>
  <c r="AI191" i="43"/>
  <c r="AJ176" i="43"/>
  <c r="AJ170" i="43" s="1"/>
  <c r="I57" i="22"/>
  <c r="AJ181" i="43"/>
  <c r="AE158" i="43"/>
  <c r="AE364" i="43"/>
  <c r="AE156" i="43"/>
  <c r="Z469" i="252"/>
  <c r="AH182" i="43"/>
  <c r="AG183" i="43"/>
  <c r="AA169" i="252"/>
  <c r="AA170" i="252" s="1"/>
  <c r="AA466" i="252"/>
  <c r="AA471" i="252" s="1"/>
  <c r="AA460" i="252"/>
  <c r="AB168" i="252"/>
  <c r="AB192" i="252"/>
  <c r="AB148" i="252"/>
  <c r="AB153" i="252" s="1"/>
  <c r="AB193" i="252"/>
  <c r="AB196" i="252" s="1"/>
  <c r="AD106" i="43"/>
  <c r="AD122" i="43"/>
  <c r="AK227" i="43"/>
  <c r="AK115" i="43"/>
  <c r="AF144" i="43"/>
  <c r="AF143" i="43"/>
  <c r="Z472" i="252"/>
  <c r="AC463" i="252"/>
  <c r="AC110" i="252"/>
  <c r="AE17" i="43"/>
  <c r="AE43" i="43" s="1"/>
  <c r="AE39" i="43"/>
  <c r="AE348" i="43" s="1"/>
  <c r="AE42" i="43"/>
  <c r="AE356" i="43" s="1"/>
  <c r="AK236" i="43"/>
  <c r="AJ180" i="43"/>
  <c r="AC124" i="252"/>
  <c r="AC140" i="252"/>
  <c r="AC144" i="252" s="1"/>
  <c r="AE234" i="43"/>
  <c r="AE232" i="43"/>
  <c r="AE233" i="43"/>
  <c r="AE231" i="43"/>
  <c r="AD50" i="252"/>
  <c r="AD26" i="252"/>
  <c r="AE98" i="43"/>
  <c r="D64" i="22"/>
  <c r="AE73" i="43"/>
  <c r="AJ216" i="43"/>
  <c r="AJ218" i="43" s="1"/>
  <c r="AI133" i="43"/>
  <c r="AI224" i="43"/>
  <c r="AD94" i="252"/>
  <c r="AL61" i="43" l="1"/>
  <c r="AD296" i="43"/>
  <c r="AL317" i="43"/>
  <c r="AL14" i="43"/>
  <c r="AL66" i="43" s="1"/>
  <c r="AM27" i="43"/>
  <c r="AL260" i="43"/>
  <c r="AL12" i="43"/>
  <c r="AL65" i="43" s="1"/>
  <c r="AL11" i="43"/>
  <c r="AL10" i="43" s="1"/>
  <c r="AL62" i="43" s="1"/>
  <c r="AL63" i="43" s="1"/>
  <c r="AL8" i="43"/>
  <c r="AL34" i="43" s="1"/>
  <c r="AM26" i="43"/>
  <c r="AL207" i="43"/>
  <c r="AL209" i="43" s="1"/>
  <c r="AK208" i="43"/>
  <c r="K55" i="22"/>
  <c r="K56" i="22" s="1"/>
  <c r="AL211" i="43"/>
  <c r="AK67" i="43"/>
  <c r="AK300" i="43"/>
  <c r="AM28" i="43"/>
  <c r="AM9" i="43" s="1"/>
  <c r="AJ184" i="43"/>
  <c r="AK181" i="43"/>
  <c r="AB169" i="252"/>
  <c r="AB170" i="252" s="1"/>
  <c r="AB460" i="252"/>
  <c r="AB466" i="252"/>
  <c r="AB467" i="252" s="1"/>
  <c r="AC168" i="252"/>
  <c r="AG140" i="43"/>
  <c r="AG143" i="43" s="1"/>
  <c r="AE162" i="43"/>
  <c r="AE164" i="43" s="1"/>
  <c r="AE157" i="43"/>
  <c r="AF157" i="43" s="1"/>
  <c r="I59" i="22"/>
  <c r="I58" i="22"/>
  <c r="AA462" i="252"/>
  <c r="AA465" i="252" s="1"/>
  <c r="AA461" i="252"/>
  <c r="AA464" i="252" s="1"/>
  <c r="AI182" i="43"/>
  <c r="AH183" i="43"/>
  <c r="AJ145" i="43"/>
  <c r="AJ114" i="43" s="1"/>
  <c r="AJ119" i="43" s="1"/>
  <c r="AJ171" i="43"/>
  <c r="AJ172" i="43" s="1"/>
  <c r="AJ190" i="43" s="1"/>
  <c r="AD283" i="43"/>
  <c r="AD287" i="43" s="1"/>
  <c r="AD282" i="43"/>
  <c r="AD284" i="43" s="1"/>
  <c r="AA469" i="252"/>
  <c r="AA467" i="252"/>
  <c r="AA472" i="252" s="1"/>
  <c r="AI18" i="43"/>
  <c r="AI75" i="43" s="1"/>
  <c r="AI193" i="43"/>
  <c r="AD289" i="43"/>
  <c r="AD291" i="43" s="1"/>
  <c r="AD290" i="43"/>
  <c r="AJ217" i="43"/>
  <c r="AJ221" i="43" s="1"/>
  <c r="AJ228" i="43"/>
  <c r="D61" i="22"/>
  <c r="AE301" i="43"/>
  <c r="AE302" i="43"/>
  <c r="AE76" i="43"/>
  <c r="AJ191" i="43"/>
  <c r="AJ32" i="43"/>
  <c r="AJ46" i="43" s="1"/>
  <c r="AE20" i="43"/>
  <c r="AE44" i="43"/>
  <c r="AK237" i="43"/>
  <c r="AK110" i="43" s="1"/>
  <c r="AD96" i="252"/>
  <c r="AD95" i="252"/>
  <c r="AD27" i="252" s="1"/>
  <c r="AC192" i="252"/>
  <c r="AC148" i="252"/>
  <c r="AC153" i="252" s="1"/>
  <c r="AC193" i="252"/>
  <c r="AC196" i="252" s="1"/>
  <c r="AB469" i="252" l="1"/>
  <c r="AL7" i="43"/>
  <c r="AL35" i="43" s="1"/>
  <c r="AM260" i="43"/>
  <c r="AN26" i="43"/>
  <c r="AM8" i="43"/>
  <c r="AM34" i="43" s="1"/>
  <c r="AM11" i="43"/>
  <c r="AM10" i="43" s="1"/>
  <c r="AM62" i="43" s="1"/>
  <c r="AM317" i="43"/>
  <c r="AM14" i="43"/>
  <c r="AM66" i="43" s="1"/>
  <c r="AM12" i="43"/>
  <c r="AM65" i="43" s="1"/>
  <c r="AM61" i="43"/>
  <c r="AN27" i="43"/>
  <c r="AL300" i="43"/>
  <c r="AL67" i="43"/>
  <c r="AD286" i="43"/>
  <c r="J57" i="22"/>
  <c r="AK176" i="43"/>
  <c r="AK170" i="43" s="1"/>
  <c r="AM7" i="43"/>
  <c r="AM207" i="43"/>
  <c r="AM209" i="43" s="1"/>
  <c r="AL208" i="43"/>
  <c r="AL227" i="43"/>
  <c r="AL115" i="43"/>
  <c r="AJ182" i="43"/>
  <c r="AI183" i="43"/>
  <c r="AA470" i="252"/>
  <c r="AB472" i="252"/>
  <c r="AB470" i="252"/>
  <c r="AG157" i="43"/>
  <c r="AF156" i="43"/>
  <c r="AC466" i="252"/>
  <c r="AC460" i="252"/>
  <c r="AC169" i="252"/>
  <c r="AC170" i="252" s="1"/>
  <c r="AK184" i="43"/>
  <c r="AL181" i="43"/>
  <c r="AB471" i="252"/>
  <c r="AH140" i="43"/>
  <c r="AG144" i="43"/>
  <c r="AB462" i="252"/>
  <c r="AB465" i="252" s="1"/>
  <c r="AB461" i="252"/>
  <c r="AB464" i="252" s="1"/>
  <c r="AK240" i="43"/>
  <c r="AL236" i="43" s="1"/>
  <c r="AJ18" i="43"/>
  <c r="AJ75" i="43" s="1"/>
  <c r="AJ193" i="43"/>
  <c r="AD28" i="252"/>
  <c r="AD117" i="252"/>
  <c r="AD163" i="252" s="1"/>
  <c r="AD99" i="252"/>
  <c r="AK216" i="43"/>
  <c r="AK218" i="43" s="1"/>
  <c r="AJ133" i="43"/>
  <c r="AJ224" i="43"/>
  <c r="AM35" i="43" l="1"/>
  <c r="AM211" i="43"/>
  <c r="AM181" i="43" s="1"/>
  <c r="AM184" i="43" s="1"/>
  <c r="AM63" i="43"/>
  <c r="L55" i="22"/>
  <c r="K57" i="22"/>
  <c r="AL176" i="43"/>
  <c r="AL170" i="43" s="1"/>
  <c r="AM115" i="43"/>
  <c r="AM227" i="43"/>
  <c r="AK171" i="43"/>
  <c r="AK172" i="43" s="1"/>
  <c r="AK190" i="43" s="1"/>
  <c r="AK145" i="43"/>
  <c r="AK114" i="43" s="1"/>
  <c r="AK119" i="43" s="1"/>
  <c r="AN28" i="43"/>
  <c r="AN9" i="43" s="1"/>
  <c r="J59" i="22"/>
  <c r="J58" i="22"/>
  <c r="AF162" i="43"/>
  <c r="AF129" i="43"/>
  <c r="AF160" i="43" s="1"/>
  <c r="AF127" i="43"/>
  <c r="AF128" i="43"/>
  <c r="AF159" i="43" s="1"/>
  <c r="AH157" i="43"/>
  <c r="AG156" i="43"/>
  <c r="AI140" i="43"/>
  <c r="AI143" i="43" s="1"/>
  <c r="AH143" i="43"/>
  <c r="AC467" i="252"/>
  <c r="AC471" i="252"/>
  <c r="AC469" i="252"/>
  <c r="AH144" i="43"/>
  <c r="AL184" i="43"/>
  <c r="AC461" i="252"/>
  <c r="AC464" i="252" s="1"/>
  <c r="AC462" i="252"/>
  <c r="AC465" i="252" s="1"/>
  <c r="AK182" i="43"/>
  <c r="AL182" i="43" s="1"/>
  <c r="AM182" i="43" s="1"/>
  <c r="AN182" i="43" s="1"/>
  <c r="AJ183" i="43"/>
  <c r="AJ140" i="43" s="1"/>
  <c r="AJ143" i="43" s="1"/>
  <c r="AK180" i="43"/>
  <c r="AK32" i="43" s="1"/>
  <c r="AK46" i="43" s="1"/>
  <c r="AK228" i="43"/>
  <c r="AK217" i="43"/>
  <c r="AK221" i="43" s="1"/>
  <c r="AD114" i="252"/>
  <c r="AD121" i="252" s="1"/>
  <c r="AD123" i="252" s="1"/>
  <c r="AD103" i="252"/>
  <c r="AD164" i="252"/>
  <c r="AE146" i="43" a="1"/>
  <c r="AE146" i="43" s="1"/>
  <c r="AE147" i="43" s="1"/>
  <c r="AD29" i="252"/>
  <c r="AD53" i="252" s="1"/>
  <c r="AE22" i="43" a="1"/>
  <c r="AE22" i="43" s="1"/>
  <c r="AE78" i="43" s="1"/>
  <c r="AL237" i="43"/>
  <c r="AL110" i="43" s="1"/>
  <c r="AI144" i="43" l="1"/>
  <c r="M55" i="22"/>
  <c r="M56" i="22" s="1"/>
  <c r="L56" i="22"/>
  <c r="AN260" i="43"/>
  <c r="AN14" i="43"/>
  <c r="AN66" i="43" s="1"/>
  <c r="AN317" i="43"/>
  <c r="AN11" i="43"/>
  <c r="AN10" i="43" s="1"/>
  <c r="AN62" i="43" s="1"/>
  <c r="AN61" i="43"/>
  <c r="AN8" i="43"/>
  <c r="AN12" i="43"/>
  <c r="AN65" i="43" s="1"/>
  <c r="AM300" i="43"/>
  <c r="AM67" i="43"/>
  <c r="K59" i="22"/>
  <c r="K58" i="22"/>
  <c r="AL145" i="43"/>
  <c r="AL114" i="43" s="1"/>
  <c r="AL119" i="43" s="1"/>
  <c r="AL171" i="43"/>
  <c r="AL172" i="43" s="1"/>
  <c r="AL190" i="43" s="1"/>
  <c r="AN207" i="43"/>
  <c r="AN209" i="43" s="1"/>
  <c r="AM208" i="43"/>
  <c r="AJ144" i="43"/>
  <c r="AC470" i="252"/>
  <c r="AC472" i="252"/>
  <c r="AF364" i="43"/>
  <c r="AF158" i="43"/>
  <c r="AG162" i="43"/>
  <c r="AG127" i="43"/>
  <c r="AG129" i="43"/>
  <c r="AG160" i="43" s="1"/>
  <c r="AG128" i="43"/>
  <c r="AG159" i="43" s="1"/>
  <c r="AI157" i="43"/>
  <c r="AH156" i="43"/>
  <c r="AF163" i="43"/>
  <c r="AF164" i="43" s="1"/>
  <c r="AF104" i="43"/>
  <c r="E66" i="22" s="1"/>
  <c r="AK183" i="43"/>
  <c r="AK140" i="43" s="1"/>
  <c r="AK191" i="43"/>
  <c r="AK193" i="43" s="1"/>
  <c r="AL240" i="43"/>
  <c r="AM236" i="43" s="1"/>
  <c r="AE100" i="43"/>
  <c r="D67" i="22" s="1"/>
  <c r="AE80" i="43"/>
  <c r="AF80" i="43" s="1"/>
  <c r="AG80" i="43" s="1"/>
  <c r="AH80" i="43" s="1"/>
  <c r="AI80" i="43" s="1"/>
  <c r="AJ80" i="43" s="1"/>
  <c r="AK80" i="43" s="1"/>
  <c r="AL80" i="43" s="1"/>
  <c r="AM80" i="43" s="1"/>
  <c r="AN80" i="43" s="1"/>
  <c r="AD109" i="252"/>
  <c r="AD168" i="252"/>
  <c r="AD169" i="252" s="1"/>
  <c r="AK143" i="43"/>
  <c r="AD124" i="252"/>
  <c r="AD140" i="252"/>
  <c r="AD144" i="252" s="1"/>
  <c r="AL216" i="43"/>
  <c r="AL218" i="43" s="1"/>
  <c r="AL217" i="43" s="1"/>
  <c r="AL221" i="43" s="1"/>
  <c r="AK133" i="43"/>
  <c r="AK224" i="43"/>
  <c r="L57" i="22" l="1"/>
  <c r="AM176" i="43"/>
  <c r="AM170" i="43" s="1"/>
  <c r="AN211" i="43"/>
  <c r="AN63" i="43"/>
  <c r="AN227" i="43"/>
  <c r="AN115" i="43"/>
  <c r="AN34" i="43"/>
  <c r="AN7" i="43"/>
  <c r="AN35" i="43" s="1"/>
  <c r="AK144" i="43"/>
  <c r="AG158" i="43"/>
  <c r="AG364" i="43"/>
  <c r="AJ157" i="43"/>
  <c r="AI156" i="43"/>
  <c r="AG104" i="43"/>
  <c r="F66" i="22" s="1"/>
  <c r="AG163" i="43"/>
  <c r="AG164" i="43" s="1"/>
  <c r="AH162" i="43"/>
  <c r="AH129" i="43"/>
  <c r="AH160" i="43" s="1"/>
  <c r="AH128" i="43"/>
  <c r="AH159" i="43" s="1"/>
  <c r="AH127" i="43"/>
  <c r="AK18" i="43"/>
  <c r="AK75" i="43" s="1"/>
  <c r="AL180" i="43"/>
  <c r="AL183" i="43" s="1"/>
  <c r="AD192" i="252"/>
  <c r="AD148" i="252"/>
  <c r="AD153" i="252" s="1"/>
  <c r="AD170" i="252" s="1"/>
  <c r="AD193" i="252"/>
  <c r="AD196" i="252" s="1"/>
  <c r="AE126" i="43" a="1"/>
  <c r="AE126" i="43" s="1"/>
  <c r="AL228" i="43"/>
  <c r="AM237" i="43"/>
  <c r="AM110" i="43" s="1"/>
  <c r="AD463" i="252"/>
  <c r="AD110" i="252"/>
  <c r="AD466" i="252"/>
  <c r="AD460" i="252"/>
  <c r="AE151" i="43" a="1"/>
  <c r="AE151" i="43" s="1"/>
  <c r="AF79" i="43"/>
  <c r="E62" i="22" s="1"/>
  <c r="AM216" i="43"/>
  <c r="AL133" i="43"/>
  <c r="AL224" i="43"/>
  <c r="AN208" i="43" l="1"/>
  <c r="AN181" i="43"/>
  <c r="AN184" i="43" s="1"/>
  <c r="AN300" i="43"/>
  <c r="AN67" i="43"/>
  <c r="AN176" i="43" s="1"/>
  <c r="AN170" i="43" s="1"/>
  <c r="AN145" i="43" s="1"/>
  <c r="AN114" i="43" s="1"/>
  <c r="AN119" i="43" s="1"/>
  <c r="AM171" i="43"/>
  <c r="AM172" i="43" s="1"/>
  <c r="AM190" i="43" s="1"/>
  <c r="AM145" i="43"/>
  <c r="AM114" i="43" s="1"/>
  <c r="AM119" i="43" s="1"/>
  <c r="L76" i="22"/>
  <c r="M57" i="22"/>
  <c r="L59" i="22"/>
  <c r="L58" i="22"/>
  <c r="AH163" i="43"/>
  <c r="AH164" i="43" s="1"/>
  <c r="AH104" i="43"/>
  <c r="G66" i="22" s="1"/>
  <c r="AK157" i="43"/>
  <c r="AJ156" i="43"/>
  <c r="AH158" i="43"/>
  <c r="AH364" i="43"/>
  <c r="AI162" i="43"/>
  <c r="AI127" i="43"/>
  <c r="AI129" i="43"/>
  <c r="AI160" i="43" s="1"/>
  <c r="AI128" i="43"/>
  <c r="AI159" i="43" s="1"/>
  <c r="AL32" i="43"/>
  <c r="AL46" i="43" s="1"/>
  <c r="AL191" i="43"/>
  <c r="AL18" i="43" s="1"/>
  <c r="AL75" i="43" s="1"/>
  <c r="AM240" i="43"/>
  <c r="AM180" i="43" s="1"/>
  <c r="AE130" i="43"/>
  <c r="AE136" i="43" s="1"/>
  <c r="AE175" i="43"/>
  <c r="AE178" i="43" s="1"/>
  <c r="AG79" i="43"/>
  <c r="F62" i="22" s="1"/>
  <c r="AL140" i="43"/>
  <c r="AL144" i="43" s="1"/>
  <c r="AE281" i="43"/>
  <c r="AE288" i="43"/>
  <c r="AE289" i="43" s="1"/>
  <c r="AE153" i="43"/>
  <c r="AD467" i="252"/>
  <c r="AD471" i="252"/>
  <c r="AD469" i="252"/>
  <c r="AD462" i="252"/>
  <c r="AD465" i="252" s="1"/>
  <c r="AD461" i="252"/>
  <c r="AD464" i="252" s="1"/>
  <c r="AM218" i="43"/>
  <c r="M59" i="22" l="1"/>
  <c r="M58" i="22"/>
  <c r="AN171" i="43"/>
  <c r="AN172" i="43" s="1"/>
  <c r="AN190" i="43" s="1"/>
  <c r="AI364" i="43"/>
  <c r="AI158" i="43"/>
  <c r="AJ162" i="43"/>
  <c r="AJ128" i="43"/>
  <c r="AJ159" i="43" s="1"/>
  <c r="AJ127" i="43"/>
  <c r="AJ129" i="43"/>
  <c r="AJ160" i="43" s="1"/>
  <c r="AI104" i="43"/>
  <c r="H66" i="22" s="1"/>
  <c r="AI163" i="43"/>
  <c r="AI164" i="43" s="1"/>
  <c r="AL157" i="43"/>
  <c r="AK156" i="43"/>
  <c r="AL193" i="43"/>
  <c r="AN236" i="43"/>
  <c r="AN237" i="43" s="1"/>
  <c r="AN110" i="43" s="1"/>
  <c r="AE154" i="43"/>
  <c r="AD472" i="252"/>
  <c r="AE21" i="43" s="1" a="1"/>
  <c r="AE21" i="43" s="1"/>
  <c r="AD470" i="252"/>
  <c r="AM32" i="43"/>
  <c r="AM46" i="43" s="1"/>
  <c r="AM183" i="43"/>
  <c r="AM191" i="43"/>
  <c r="AH79" i="43"/>
  <c r="G62" i="22" s="1"/>
  <c r="AE283" i="43"/>
  <c r="AE282" i="43"/>
  <c r="AE284" i="43" s="1"/>
  <c r="AL143" i="43"/>
  <c r="AE295" i="43"/>
  <c r="AE294" i="43"/>
  <c r="AM228" i="43"/>
  <c r="AM217" i="43"/>
  <c r="AM221" i="43" s="1"/>
  <c r="AJ104" i="43" l="1"/>
  <c r="I66" i="22" s="1"/>
  <c r="AJ163" i="43"/>
  <c r="AJ164" i="43" s="1"/>
  <c r="AK162" i="43"/>
  <c r="AK127" i="43"/>
  <c r="AK129" i="43"/>
  <c r="AK160" i="43" s="1"/>
  <c r="AK128" i="43"/>
  <c r="AK159" i="43" s="1"/>
  <c r="AM157" i="43"/>
  <c r="AL156" i="43"/>
  <c r="AJ158" i="43"/>
  <c r="AJ364" i="43"/>
  <c r="AN240" i="43"/>
  <c r="AN180" i="43" s="1"/>
  <c r="AN183" i="43" s="1"/>
  <c r="AN140" i="43" s="1"/>
  <c r="AI79" i="43"/>
  <c r="H62" i="22" s="1"/>
  <c r="AM140" i="43"/>
  <c r="AM144" i="43" s="1"/>
  <c r="AM193" i="43"/>
  <c r="AM18" i="43"/>
  <c r="AM75" i="43" s="1"/>
  <c r="AE77" i="43"/>
  <c r="AE23" i="43"/>
  <c r="AE47" i="43" s="1"/>
  <c r="AN216" i="43"/>
  <c r="AM133" i="43"/>
  <c r="AM224" i="43"/>
  <c r="AN157" i="43" l="1"/>
  <c r="AN156" i="43" s="1"/>
  <c r="AM156" i="43"/>
  <c r="AM162" i="43" s="1"/>
  <c r="AK104" i="43"/>
  <c r="J66" i="22" s="1"/>
  <c r="AK163" i="43"/>
  <c r="AK164" i="43" s="1"/>
  <c r="AL162" i="43"/>
  <c r="AL128" i="43"/>
  <c r="AL159" i="43" s="1"/>
  <c r="AL129" i="43"/>
  <c r="AL160" i="43" s="1"/>
  <c r="AL127" i="43"/>
  <c r="AK364" i="43"/>
  <c r="AK158" i="43"/>
  <c r="AN191" i="43"/>
  <c r="AN18" i="43" s="1"/>
  <c r="AN75" i="43" s="1"/>
  <c r="AN32" i="43"/>
  <c r="AN46" i="43" s="1"/>
  <c r="AJ79" i="43"/>
  <c r="I62" i="22" s="1"/>
  <c r="AE79" i="43"/>
  <c r="D62" i="22" s="1"/>
  <c r="D63" i="22" s="1"/>
  <c r="D68" i="22" s="1"/>
  <c r="AE81" i="43"/>
  <c r="AN144" i="43"/>
  <c r="AN143" i="43"/>
  <c r="AM143" i="43"/>
  <c r="AN218" i="43"/>
  <c r="AM127" i="43" l="1"/>
  <c r="AM128" i="43"/>
  <c r="AM159" i="43" s="1"/>
  <c r="AM129" i="43"/>
  <c r="AM160" i="43" s="1"/>
  <c r="AL158" i="43"/>
  <c r="AL364" i="43"/>
  <c r="AM163" i="43"/>
  <c r="AM164" i="43" s="1"/>
  <c r="AM104" i="43"/>
  <c r="L66" i="22" s="1"/>
  <c r="AL104" i="43"/>
  <c r="K66" i="22" s="1"/>
  <c r="AL163" i="43"/>
  <c r="AL164" i="43" s="1"/>
  <c r="AN162" i="43"/>
  <c r="AN193" i="43"/>
  <c r="AE291" i="43"/>
  <c r="AE290" i="43"/>
  <c r="AE97" i="43"/>
  <c r="AE103" i="43" s="1"/>
  <c r="AE105" i="43" s="1"/>
  <c r="AE303" i="43"/>
  <c r="AE293" i="43" s="1"/>
  <c r="AE296" i="43" s="1"/>
  <c r="AE85" i="43"/>
  <c r="AE92" i="43" s="1"/>
  <c r="AK79" i="43"/>
  <c r="J62" i="22" s="1"/>
  <c r="D69" i="22"/>
  <c r="D71" i="22"/>
  <c r="AN217" i="43"/>
  <c r="AN221" i="43" s="1"/>
  <c r="AN228" i="43"/>
  <c r="AM364" i="43" l="1"/>
  <c r="AN127" i="43"/>
  <c r="AN158" i="43" s="1"/>
  <c r="AM158" i="43"/>
  <c r="AN129" i="43"/>
  <c r="AN160" i="43" s="1"/>
  <c r="AN128" i="43"/>
  <c r="AN159" i="43" s="1"/>
  <c r="AN104" i="43"/>
  <c r="M66" i="22" s="1"/>
  <c r="AN163" i="43"/>
  <c r="AN164" i="43" s="1"/>
  <c r="AE285" i="43"/>
  <c r="D53" i="22"/>
  <c r="D54" i="22" s="1"/>
  <c r="AE93" i="43"/>
  <c r="AN364" i="43"/>
  <c r="AL79" i="43"/>
  <c r="K62" i="22" s="1"/>
  <c r="AE106" i="43"/>
  <c r="AE122" i="43"/>
  <c r="AN133" i="43"/>
  <c r="AN224" i="43"/>
  <c r="AM79" i="43" l="1"/>
  <c r="L62" i="22" s="1"/>
  <c r="AN79" i="43"/>
  <c r="M62" i="22" s="1"/>
  <c r="AE286" i="43"/>
  <c r="AE287" i="43"/>
  <c r="E11" i="22" l="1"/>
  <c r="M17" i="22"/>
  <c r="I23" i="22"/>
  <c r="K27" i="22"/>
  <c r="K28" i="22"/>
  <c r="J41" i="22"/>
  <c r="K41" i="22"/>
  <c r="L41" i="22"/>
  <c r="D46" i="22"/>
  <c r="E46" i="22"/>
  <c r="F46" i="22"/>
  <c r="G46" i="22"/>
  <c r="H46" i="22"/>
  <c r="I46" i="22"/>
  <c r="J46" i="22"/>
  <c r="K46" i="22"/>
  <c r="L46" i="22"/>
  <c r="M46" i="22"/>
  <c r="E53" i="22"/>
  <c r="F53" i="22"/>
  <c r="G53" i="22"/>
  <c r="H53" i="22"/>
  <c r="I53" i="22"/>
  <c r="J53" i="22"/>
  <c r="K53" i="22"/>
  <c r="L53" i="22"/>
  <c r="M53" i="22"/>
  <c r="E54" i="22"/>
  <c r="F54" i="22"/>
  <c r="G54" i="22"/>
  <c r="H54" i="22"/>
  <c r="I54" i="22"/>
  <c r="J54" i="22"/>
  <c r="K54" i="22"/>
  <c r="L54" i="22"/>
  <c r="M54" i="22"/>
  <c r="E61" i="22"/>
  <c r="F61" i="22"/>
  <c r="G61" i="22"/>
  <c r="H61" i="22"/>
  <c r="I61" i="22"/>
  <c r="J61" i="22"/>
  <c r="K61" i="22"/>
  <c r="L61" i="22"/>
  <c r="M61" i="22"/>
  <c r="E63" i="22"/>
  <c r="F63" i="22"/>
  <c r="G63" i="22"/>
  <c r="H63" i="22"/>
  <c r="I63" i="22"/>
  <c r="J63" i="22"/>
  <c r="K63" i="22"/>
  <c r="L63" i="22"/>
  <c r="M63" i="22"/>
  <c r="E64" i="22"/>
  <c r="F64" i="22"/>
  <c r="G64" i="22"/>
  <c r="H64" i="22"/>
  <c r="I64" i="22"/>
  <c r="J64" i="22"/>
  <c r="K64" i="22"/>
  <c r="L64" i="22"/>
  <c r="M64" i="22"/>
  <c r="E65" i="22"/>
  <c r="F65" i="22"/>
  <c r="G65" i="22"/>
  <c r="H65" i="22"/>
  <c r="I65" i="22"/>
  <c r="J65" i="22"/>
  <c r="K65" i="22"/>
  <c r="L65" i="22"/>
  <c r="M65" i="22"/>
  <c r="E67" i="22"/>
  <c r="F67" i="22"/>
  <c r="G67" i="22"/>
  <c r="H67" i="22"/>
  <c r="I67" i="22"/>
  <c r="J67" i="22"/>
  <c r="K67" i="22"/>
  <c r="L67" i="22"/>
  <c r="M67" i="22"/>
  <c r="E68" i="22"/>
  <c r="F68" i="22"/>
  <c r="G68" i="22"/>
  <c r="H68" i="22"/>
  <c r="I68" i="22"/>
  <c r="J68" i="22"/>
  <c r="K68" i="22"/>
  <c r="L68" i="22"/>
  <c r="M68" i="22"/>
  <c r="E69" i="22"/>
  <c r="F69" i="22"/>
  <c r="G69" i="22"/>
  <c r="H69" i="22"/>
  <c r="I69" i="22"/>
  <c r="J69" i="22"/>
  <c r="K69" i="22"/>
  <c r="L69" i="22"/>
  <c r="M69" i="22"/>
  <c r="E71" i="22"/>
  <c r="F71" i="22"/>
  <c r="G71" i="22"/>
  <c r="H71" i="22"/>
  <c r="I71" i="22"/>
  <c r="J71" i="22"/>
  <c r="K71" i="22"/>
  <c r="L71" i="22"/>
  <c r="D72" i="22"/>
  <c r="E72" i="22"/>
  <c r="F72" i="22"/>
  <c r="G72" i="22"/>
  <c r="H72" i="22"/>
  <c r="I72" i="22"/>
  <c r="J72" i="22"/>
  <c r="K72" i="22"/>
  <c r="L72" i="22"/>
  <c r="D73" i="22"/>
  <c r="E73" i="22"/>
  <c r="F73" i="22"/>
  <c r="G73" i="22"/>
  <c r="H73" i="22"/>
  <c r="I73" i="22"/>
  <c r="J73" i="22"/>
  <c r="K73" i="22"/>
  <c r="L73" i="22"/>
  <c r="C75" i="22"/>
  <c r="L75" i="22"/>
  <c r="L79" i="22"/>
  <c r="C80" i="22"/>
  <c r="L80" i="22"/>
  <c r="C82" i="22"/>
  <c r="L82" i="22"/>
  <c r="L83" i="22"/>
  <c r="L84" i="22"/>
  <c r="E1" i="43"/>
  <c r="AF13" i="43"/>
  <c r="AG13" i="43"/>
  <c r="AH13" i="43"/>
  <c r="AI13" i="43"/>
  <c r="AJ13" i="43"/>
  <c r="AK13" i="43"/>
  <c r="AL13" i="43"/>
  <c r="AM13" i="43"/>
  <c r="AN13" i="43"/>
  <c r="AF15" i="43"/>
  <c r="AG15" i="43"/>
  <c r="AH15" i="43"/>
  <c r="AI15" i="43"/>
  <c r="AJ15" i="43"/>
  <c r="AK15" i="43"/>
  <c r="AL15" i="43"/>
  <c r="AM15" i="43"/>
  <c r="AN15" i="43"/>
  <c r="AF17" i="43"/>
  <c r="AG17" i="43"/>
  <c r="AH17" i="43"/>
  <c r="AI17" i="43"/>
  <c r="AJ17" i="43"/>
  <c r="AK17" i="43"/>
  <c r="AL17" i="43"/>
  <c r="AM17" i="43"/>
  <c r="AN17" i="43"/>
  <c r="AF20" i="43"/>
  <c r="AG20" i="43"/>
  <c r="AH20" i="43"/>
  <c r="AI20" i="43"/>
  <c r="AJ20" i="43"/>
  <c r="AK20" i="43"/>
  <c r="AL20" i="43"/>
  <c r="AM20" i="43"/>
  <c r="AN20" i="43"/>
  <c r="AF21" i="43"/>
  <c r="AG21" i="43"/>
  <c r="AH21" i="43"/>
  <c r="AI21" i="43"/>
  <c r="AJ21" i="43"/>
  <c r="AK21" i="43"/>
  <c r="AL21" i="43"/>
  <c r="AM21" i="43"/>
  <c r="AN21" i="43"/>
  <c r="AF22" i="43"/>
  <c r="AG22" i="43"/>
  <c r="AH22" i="43"/>
  <c r="AI22" i="43"/>
  <c r="AJ22" i="43"/>
  <c r="AK22" i="43"/>
  <c r="AL22" i="43"/>
  <c r="AM22" i="43"/>
  <c r="AN22" i="43"/>
  <c r="AF23" i="43"/>
  <c r="AG23" i="43"/>
  <c r="AH23" i="43"/>
  <c r="AI23" i="43"/>
  <c r="AJ23" i="43"/>
  <c r="AK23" i="43"/>
  <c r="AL23" i="43"/>
  <c r="AM23" i="43"/>
  <c r="AN23" i="43"/>
  <c r="AF39" i="43"/>
  <c r="AG39" i="43"/>
  <c r="AH39" i="43"/>
  <c r="AI39" i="43"/>
  <c r="AJ39" i="43"/>
  <c r="AK39" i="43"/>
  <c r="AL39" i="43"/>
  <c r="AM39" i="43"/>
  <c r="AN39" i="43"/>
  <c r="AF42" i="43"/>
  <c r="AG42" i="43"/>
  <c r="AH42" i="43"/>
  <c r="AI42" i="43"/>
  <c r="AJ42" i="43"/>
  <c r="AK42" i="43"/>
  <c r="AL42" i="43"/>
  <c r="AM42" i="43"/>
  <c r="AN42" i="43"/>
  <c r="AF43" i="43"/>
  <c r="AG43" i="43"/>
  <c r="AH43" i="43"/>
  <c r="AI43" i="43"/>
  <c r="AJ43" i="43"/>
  <c r="AK43" i="43"/>
  <c r="AL43" i="43"/>
  <c r="AM43" i="43"/>
  <c r="AN43" i="43"/>
  <c r="AF44" i="43"/>
  <c r="AG44" i="43"/>
  <c r="AH44" i="43"/>
  <c r="AI44" i="43"/>
  <c r="AJ44" i="43"/>
  <c r="AK44" i="43"/>
  <c r="AL44" i="43"/>
  <c r="AM44" i="43"/>
  <c r="AN44" i="43"/>
  <c r="AF47" i="43"/>
  <c r="AG47" i="43"/>
  <c r="AH47" i="43"/>
  <c r="AI47" i="43"/>
  <c r="AJ47" i="43"/>
  <c r="AK47" i="43"/>
  <c r="AL47" i="43"/>
  <c r="AM47" i="43"/>
  <c r="AN47" i="43"/>
  <c r="AF68" i="43"/>
  <c r="AG68" i="43"/>
  <c r="AH68" i="43"/>
  <c r="AI68" i="43"/>
  <c r="AJ68" i="43"/>
  <c r="AK68" i="43"/>
  <c r="AL68" i="43"/>
  <c r="AM68" i="43"/>
  <c r="AN68" i="43"/>
  <c r="AF73" i="43"/>
  <c r="AG73" i="43"/>
  <c r="AH73" i="43"/>
  <c r="AI73" i="43"/>
  <c r="AJ73" i="43"/>
  <c r="AK73" i="43"/>
  <c r="AL73" i="43"/>
  <c r="AM73" i="43"/>
  <c r="AN73" i="43"/>
  <c r="AF76" i="43"/>
  <c r="AG76" i="43"/>
  <c r="AH76" i="43"/>
  <c r="AI76" i="43"/>
  <c r="AJ76" i="43"/>
  <c r="AK76" i="43"/>
  <c r="AL76" i="43"/>
  <c r="AM76" i="43"/>
  <c r="AN76" i="43"/>
  <c r="AF77" i="43"/>
  <c r="AG77" i="43"/>
  <c r="AH77" i="43"/>
  <c r="AI77" i="43"/>
  <c r="AJ77" i="43"/>
  <c r="AK77" i="43"/>
  <c r="AL77" i="43"/>
  <c r="AM77" i="43"/>
  <c r="AN77" i="43"/>
  <c r="AF78" i="43"/>
  <c r="AG78" i="43"/>
  <c r="AH78" i="43"/>
  <c r="AI78" i="43"/>
  <c r="AJ78" i="43"/>
  <c r="AK78" i="43"/>
  <c r="AL78" i="43"/>
  <c r="AM78" i="43"/>
  <c r="AN78" i="43"/>
  <c r="AF81" i="43"/>
  <c r="AG81" i="43"/>
  <c r="AH81" i="43"/>
  <c r="AI81" i="43"/>
  <c r="AJ81" i="43"/>
  <c r="AK81" i="43"/>
  <c r="AL81" i="43"/>
  <c r="AM81" i="43"/>
  <c r="AN81" i="43"/>
  <c r="AF85" i="43"/>
  <c r="AG85" i="43"/>
  <c r="AH85" i="43"/>
  <c r="AI85" i="43"/>
  <c r="AJ85" i="43"/>
  <c r="AK85" i="43"/>
  <c r="AL85" i="43"/>
  <c r="AM85" i="43"/>
  <c r="AN85" i="43"/>
  <c r="AF92" i="43"/>
  <c r="AG92" i="43"/>
  <c r="AH92" i="43"/>
  <c r="AI92" i="43"/>
  <c r="AJ92" i="43"/>
  <c r="AK92" i="43"/>
  <c r="AL92" i="43"/>
  <c r="AM92" i="43"/>
  <c r="AN92" i="43"/>
  <c r="AF93" i="43"/>
  <c r="AG93" i="43"/>
  <c r="AH93" i="43"/>
  <c r="AI93" i="43"/>
  <c r="AJ93" i="43"/>
  <c r="AK93" i="43"/>
  <c r="AL93" i="43"/>
  <c r="AM93" i="43"/>
  <c r="AN93" i="43"/>
  <c r="AF97" i="43"/>
  <c r="AG97" i="43"/>
  <c r="AH97" i="43"/>
  <c r="AI97" i="43"/>
  <c r="AJ97" i="43"/>
  <c r="AK97" i="43"/>
  <c r="AL97" i="43"/>
  <c r="AM97" i="43"/>
  <c r="AN97" i="43"/>
  <c r="AF98" i="43"/>
  <c r="AG98" i="43"/>
  <c r="AH98" i="43"/>
  <c r="AI98" i="43"/>
  <c r="AJ98" i="43"/>
  <c r="AK98" i="43"/>
  <c r="AL98" i="43"/>
  <c r="AM98" i="43"/>
  <c r="AN98" i="43"/>
  <c r="AF100" i="43"/>
  <c r="AG100" i="43"/>
  <c r="AH100" i="43"/>
  <c r="AI100" i="43"/>
  <c r="AJ100" i="43"/>
  <c r="AK100" i="43"/>
  <c r="AL100" i="43"/>
  <c r="AM100" i="43"/>
  <c r="AN100" i="43"/>
  <c r="AF103" i="43"/>
  <c r="AG103" i="43"/>
  <c r="AH103" i="43"/>
  <c r="AI103" i="43"/>
  <c r="AJ103" i="43"/>
  <c r="AK103" i="43"/>
  <c r="AL103" i="43"/>
  <c r="AM103" i="43"/>
  <c r="AN103" i="43"/>
  <c r="AF105" i="43"/>
  <c r="AG105" i="43"/>
  <c r="AH105" i="43"/>
  <c r="AI105" i="43"/>
  <c r="AJ105" i="43"/>
  <c r="AK105" i="43"/>
  <c r="AL105" i="43"/>
  <c r="AM105" i="43"/>
  <c r="AN105" i="43"/>
  <c r="AF106" i="43"/>
  <c r="AG106" i="43"/>
  <c r="AH106" i="43"/>
  <c r="AI106" i="43"/>
  <c r="AJ106" i="43"/>
  <c r="AK106" i="43"/>
  <c r="AL106" i="43"/>
  <c r="AM106" i="43"/>
  <c r="AN106" i="43"/>
  <c r="AF108" i="43"/>
  <c r="AG108" i="43"/>
  <c r="AH108" i="43"/>
  <c r="AI108" i="43"/>
  <c r="AJ108" i="43"/>
  <c r="AK108" i="43"/>
  <c r="AL108" i="43"/>
  <c r="AM108" i="43"/>
  <c r="AN108" i="43"/>
  <c r="AF112" i="43"/>
  <c r="AG112" i="43"/>
  <c r="AH112" i="43"/>
  <c r="AI112" i="43"/>
  <c r="AJ112" i="43"/>
  <c r="AK112" i="43"/>
  <c r="AL112" i="43"/>
  <c r="AM112" i="43"/>
  <c r="AN112" i="43"/>
  <c r="AF122" i="43"/>
  <c r="AG122" i="43"/>
  <c r="AH122" i="43"/>
  <c r="AI122" i="43"/>
  <c r="AJ122" i="43"/>
  <c r="AK122" i="43"/>
  <c r="AL122" i="43"/>
  <c r="AM122" i="43"/>
  <c r="AN122" i="43"/>
  <c r="AF126" i="43"/>
  <c r="AG126" i="43"/>
  <c r="AH126" i="43"/>
  <c r="AI126" i="43"/>
  <c r="AJ126" i="43"/>
  <c r="AK126" i="43"/>
  <c r="AL126" i="43"/>
  <c r="AM126" i="43"/>
  <c r="AN126" i="43"/>
  <c r="AF130" i="43"/>
  <c r="AG130" i="43"/>
  <c r="AH130" i="43"/>
  <c r="AI130" i="43"/>
  <c r="AJ130" i="43"/>
  <c r="AK130" i="43"/>
  <c r="AL130" i="43"/>
  <c r="AM130" i="43"/>
  <c r="AN130" i="43"/>
  <c r="AF131" i="43"/>
  <c r="AG131" i="43"/>
  <c r="AH131" i="43"/>
  <c r="AI131" i="43"/>
  <c r="AJ131" i="43"/>
  <c r="AK131" i="43"/>
  <c r="AL131" i="43"/>
  <c r="AM131" i="43"/>
  <c r="AN131" i="43"/>
  <c r="AF136" i="43"/>
  <c r="AG136" i="43"/>
  <c r="AH136" i="43"/>
  <c r="AI136" i="43"/>
  <c r="AJ136" i="43"/>
  <c r="AK136" i="43"/>
  <c r="AL136" i="43"/>
  <c r="AM136" i="43"/>
  <c r="AN136" i="43"/>
  <c r="AF146" i="43"/>
  <c r="AG146" i="43"/>
  <c r="AH146" i="43"/>
  <c r="AI146" i="43"/>
  <c r="AJ146" i="43"/>
  <c r="AK146" i="43"/>
  <c r="AL146" i="43"/>
  <c r="AM146" i="43"/>
  <c r="AN146" i="43"/>
  <c r="AF147" i="43"/>
  <c r="AG147" i="43"/>
  <c r="AH147" i="43"/>
  <c r="AI147" i="43"/>
  <c r="AJ147" i="43"/>
  <c r="AK147" i="43"/>
  <c r="AL147" i="43"/>
  <c r="AM147" i="43"/>
  <c r="AN147" i="43"/>
  <c r="AF151" i="43"/>
  <c r="AG151" i="43"/>
  <c r="AH151" i="43"/>
  <c r="AI151" i="43"/>
  <c r="AJ151" i="43"/>
  <c r="AK151" i="43"/>
  <c r="AL151" i="43"/>
  <c r="AM151" i="43"/>
  <c r="AN151" i="43"/>
  <c r="AF153" i="43"/>
  <c r="AG153" i="43"/>
  <c r="AH153" i="43"/>
  <c r="AI153" i="43"/>
  <c r="AJ153" i="43"/>
  <c r="AK153" i="43"/>
  <c r="AL153" i="43"/>
  <c r="AM153" i="43"/>
  <c r="AN153" i="43"/>
  <c r="AF154" i="43"/>
  <c r="AG154" i="43"/>
  <c r="AH154" i="43"/>
  <c r="AI154" i="43"/>
  <c r="AJ154" i="43"/>
  <c r="AK154" i="43"/>
  <c r="AL154" i="43"/>
  <c r="AM154" i="43"/>
  <c r="AN154" i="43"/>
  <c r="AF175" i="43"/>
  <c r="AG175" i="43"/>
  <c r="AH175" i="43"/>
  <c r="AI175" i="43"/>
  <c r="AJ175" i="43"/>
  <c r="AK175" i="43"/>
  <c r="AL175" i="43"/>
  <c r="AM175" i="43"/>
  <c r="AN175" i="43"/>
  <c r="AF178" i="43"/>
  <c r="AG178" i="43"/>
  <c r="AH178" i="43"/>
  <c r="AI178" i="43"/>
  <c r="AJ178" i="43"/>
  <c r="AK178" i="43"/>
  <c r="AL178" i="43"/>
  <c r="AM178" i="43"/>
  <c r="AN178" i="43"/>
  <c r="AF185" i="43"/>
  <c r="AG185" i="43"/>
  <c r="AH185" i="43"/>
  <c r="AI185" i="43"/>
  <c r="AJ185" i="43"/>
  <c r="AK185" i="43"/>
  <c r="AL185" i="43"/>
  <c r="AM185" i="43"/>
  <c r="AN185" i="43"/>
  <c r="AD197" i="43"/>
  <c r="AE197" i="43"/>
  <c r="AF197" i="43"/>
  <c r="AG197" i="43"/>
  <c r="AH197" i="43"/>
  <c r="AI197" i="43"/>
  <c r="AJ197" i="43"/>
  <c r="AK197" i="43"/>
  <c r="AL197" i="43"/>
  <c r="AM197" i="43"/>
  <c r="AN197" i="43"/>
  <c r="AF198" i="43"/>
  <c r="AG198" i="43"/>
  <c r="AH198" i="43"/>
  <c r="AI198" i="43"/>
  <c r="AJ198" i="43"/>
  <c r="AK198" i="43"/>
  <c r="AL198" i="43"/>
  <c r="AM198" i="43"/>
  <c r="AN198" i="43"/>
  <c r="AC199" i="43"/>
  <c r="AF199" i="43"/>
  <c r="AG199" i="43"/>
  <c r="AH199" i="43"/>
  <c r="AI199" i="43"/>
  <c r="AJ199" i="43"/>
  <c r="AK199" i="43"/>
  <c r="AL199" i="43"/>
  <c r="AM199" i="43"/>
  <c r="AN199" i="43"/>
  <c r="AC201" i="43" a="1"/>
  <c r="AC201" i="43"/>
  <c r="AC202" i="43"/>
  <c r="AD202" i="43"/>
  <c r="AE202" i="43"/>
  <c r="AF202" i="43"/>
  <c r="AG202" i="43"/>
  <c r="AH202" i="43"/>
  <c r="AI202" i="43"/>
  <c r="AJ202" i="43"/>
  <c r="AK202" i="43"/>
  <c r="AL202" i="43"/>
  <c r="AM202" i="43"/>
  <c r="AN202" i="43"/>
  <c r="AC203" i="43"/>
  <c r="AD203" i="43"/>
  <c r="AE203" i="43"/>
  <c r="AC204" i="43"/>
  <c r="AC205" i="43"/>
  <c r="AD205" i="43"/>
  <c r="AE205" i="43"/>
  <c r="AF205" i="43"/>
  <c r="AG205" i="43"/>
  <c r="AH205" i="43"/>
  <c r="AI205" i="43"/>
  <c r="AJ205" i="43"/>
  <c r="AK205" i="43"/>
  <c r="AL205" i="43"/>
  <c r="AM205" i="43"/>
  <c r="AN205" i="43"/>
  <c r="AC208" i="43"/>
  <c r="AC209" i="43"/>
  <c r="AC212" i="43"/>
  <c r="AC214" i="43"/>
  <c r="AD214" i="43"/>
  <c r="AE214" i="43"/>
  <c r="AF214" i="43"/>
  <c r="AG214" i="43"/>
  <c r="AH214" i="43"/>
  <c r="AI214" i="43"/>
  <c r="AJ214" i="43"/>
  <c r="AK214" i="43"/>
  <c r="AL214" i="43"/>
  <c r="AM214" i="43"/>
  <c r="AN214" i="43"/>
  <c r="AC218" i="43"/>
  <c r="AC220" i="43"/>
  <c r="AC222" i="43"/>
  <c r="AC223" i="43"/>
  <c r="AC226" i="43" a="1"/>
  <c r="AC226" i="43"/>
  <c r="AF226" i="43"/>
  <c r="AG226" i="43"/>
  <c r="AH226" i="43"/>
  <c r="AI226" i="43"/>
  <c r="AJ226" i="43"/>
  <c r="AK226" i="43"/>
  <c r="AL226" i="43"/>
  <c r="AM226" i="43"/>
  <c r="AN226" i="43"/>
  <c r="AC227" i="43" a="1"/>
  <c r="AC227" i="43"/>
  <c r="AC228" i="43" a="1"/>
  <c r="AC228" i="43"/>
  <c r="AC229" i="43" a="1"/>
  <c r="AC229" i="43"/>
  <c r="AF230" i="43"/>
  <c r="AG230" i="43"/>
  <c r="AH230" i="43"/>
  <c r="AI230" i="43"/>
  <c r="AJ230" i="43"/>
  <c r="AK230" i="43"/>
  <c r="AL230" i="43"/>
  <c r="AM230" i="43"/>
  <c r="AN230" i="43"/>
  <c r="AC231" i="43"/>
  <c r="AF231" i="43"/>
  <c r="AG231" i="43"/>
  <c r="AH231" i="43"/>
  <c r="AI231" i="43"/>
  <c r="AJ231" i="43"/>
  <c r="AK231" i="43"/>
  <c r="AL231" i="43"/>
  <c r="AM231" i="43"/>
  <c r="AN231" i="43"/>
  <c r="AC232" i="43"/>
  <c r="AF232" i="43"/>
  <c r="AG232" i="43"/>
  <c r="AH232" i="43"/>
  <c r="AI232" i="43"/>
  <c r="AJ232" i="43"/>
  <c r="AK232" i="43"/>
  <c r="AL232" i="43"/>
  <c r="AM232" i="43"/>
  <c r="AN232" i="43"/>
  <c r="AC233" i="43"/>
  <c r="AF233" i="43"/>
  <c r="AG233" i="43"/>
  <c r="AH233" i="43"/>
  <c r="AI233" i="43"/>
  <c r="AJ233" i="43"/>
  <c r="AK233" i="43"/>
  <c r="AL233" i="43"/>
  <c r="AM233" i="43"/>
  <c r="AN233" i="43"/>
  <c r="AC234" i="43"/>
  <c r="AF234" i="43"/>
  <c r="AG234" i="43"/>
  <c r="AH234" i="43"/>
  <c r="AI234" i="43"/>
  <c r="AJ234" i="43"/>
  <c r="AK234" i="43"/>
  <c r="AL234" i="43"/>
  <c r="AM234" i="43"/>
  <c r="AN234" i="43"/>
  <c r="AF281" i="43"/>
  <c r="AG281" i="43"/>
  <c r="AH281" i="43"/>
  <c r="AI281" i="43"/>
  <c r="AJ281" i="43"/>
  <c r="AK281" i="43"/>
  <c r="AL281" i="43"/>
  <c r="AM281" i="43"/>
  <c r="AN281" i="43"/>
  <c r="AF282" i="43"/>
  <c r="AG282" i="43"/>
  <c r="AH282" i="43"/>
  <c r="AI282" i="43"/>
  <c r="AJ282" i="43"/>
  <c r="AK282" i="43"/>
  <c r="AL282" i="43"/>
  <c r="AM282" i="43"/>
  <c r="AN282" i="43"/>
  <c r="AF283" i="43"/>
  <c r="AG283" i="43"/>
  <c r="AH283" i="43"/>
  <c r="AI283" i="43"/>
  <c r="AJ283" i="43"/>
  <c r="AK283" i="43"/>
  <c r="AL283" i="43"/>
  <c r="AM283" i="43"/>
  <c r="AN283" i="43"/>
  <c r="AF284" i="43"/>
  <c r="AG284" i="43"/>
  <c r="AH284" i="43"/>
  <c r="AI284" i="43"/>
  <c r="AJ284" i="43"/>
  <c r="AK284" i="43"/>
  <c r="AL284" i="43"/>
  <c r="AM284" i="43"/>
  <c r="AN284" i="43"/>
  <c r="AF285" i="43"/>
  <c r="AG285" i="43"/>
  <c r="AH285" i="43"/>
  <c r="AI285" i="43"/>
  <c r="AJ285" i="43"/>
  <c r="AK285" i="43"/>
  <c r="AL285" i="43"/>
  <c r="AM285" i="43"/>
  <c r="AN285" i="43"/>
  <c r="AF286" i="43"/>
  <c r="AG286" i="43"/>
  <c r="AH286" i="43"/>
  <c r="AI286" i="43"/>
  <c r="AJ286" i="43"/>
  <c r="AK286" i="43"/>
  <c r="AL286" i="43"/>
  <c r="AM286" i="43"/>
  <c r="AN286" i="43"/>
  <c r="AF287" i="43"/>
  <c r="AG287" i="43"/>
  <c r="AH287" i="43"/>
  <c r="AI287" i="43"/>
  <c r="AJ287" i="43"/>
  <c r="AK287" i="43"/>
  <c r="AL287" i="43"/>
  <c r="AM287" i="43"/>
  <c r="AN287" i="43"/>
  <c r="AF288" i="43"/>
  <c r="AG288" i="43"/>
  <c r="AH288" i="43"/>
  <c r="AI288" i="43"/>
  <c r="AJ288" i="43"/>
  <c r="AK288" i="43"/>
  <c r="AL288" i="43"/>
  <c r="AM288" i="43"/>
  <c r="AN288" i="43"/>
  <c r="AF289" i="43"/>
  <c r="AG289" i="43"/>
  <c r="AH289" i="43"/>
  <c r="AI289" i="43"/>
  <c r="AJ289" i="43"/>
  <c r="AK289" i="43"/>
  <c r="AL289" i="43"/>
  <c r="AM289" i="43"/>
  <c r="AN289" i="43"/>
  <c r="AF290" i="43"/>
  <c r="AG290" i="43"/>
  <c r="AH290" i="43"/>
  <c r="AI290" i="43"/>
  <c r="AJ290" i="43"/>
  <c r="AK290" i="43"/>
  <c r="AL290" i="43"/>
  <c r="AM290" i="43"/>
  <c r="AN290" i="43"/>
  <c r="AF291" i="43"/>
  <c r="AG291" i="43"/>
  <c r="AH291" i="43"/>
  <c r="AI291" i="43"/>
  <c r="AJ291" i="43"/>
  <c r="AK291" i="43"/>
  <c r="AL291" i="43"/>
  <c r="AM291" i="43"/>
  <c r="AN291" i="43"/>
  <c r="AF293" i="43"/>
  <c r="AG293" i="43"/>
  <c r="AH293" i="43"/>
  <c r="AI293" i="43"/>
  <c r="AJ293" i="43"/>
  <c r="AK293" i="43"/>
  <c r="AL293" i="43"/>
  <c r="AM293" i="43"/>
  <c r="AN293" i="43"/>
  <c r="AF294" i="43"/>
  <c r="AG294" i="43"/>
  <c r="AH294" i="43"/>
  <c r="AI294" i="43"/>
  <c r="AJ294" i="43"/>
  <c r="AK294" i="43"/>
  <c r="AL294" i="43"/>
  <c r="AM294" i="43"/>
  <c r="AN294" i="43"/>
  <c r="AF295" i="43"/>
  <c r="AG295" i="43"/>
  <c r="AH295" i="43"/>
  <c r="AI295" i="43"/>
  <c r="AJ295" i="43"/>
  <c r="AK295" i="43"/>
  <c r="AL295" i="43"/>
  <c r="AM295" i="43"/>
  <c r="AN295" i="43"/>
  <c r="AF296" i="43"/>
  <c r="AG296" i="43"/>
  <c r="AH296" i="43"/>
  <c r="AI296" i="43"/>
  <c r="AJ296" i="43"/>
  <c r="AK296" i="43"/>
  <c r="AL296" i="43"/>
  <c r="AM296" i="43"/>
  <c r="AN296" i="43"/>
  <c r="AF301" i="43"/>
  <c r="AG301" i="43"/>
  <c r="AH301" i="43"/>
  <c r="AI301" i="43"/>
  <c r="AJ301" i="43"/>
  <c r="AK301" i="43"/>
  <c r="AL301" i="43"/>
  <c r="AM301" i="43"/>
  <c r="AN301" i="43"/>
  <c r="AF302" i="43"/>
  <c r="AG302" i="43"/>
  <c r="AH302" i="43"/>
  <c r="AI302" i="43"/>
  <c r="AJ302" i="43"/>
  <c r="AK302" i="43"/>
  <c r="AL302" i="43"/>
  <c r="AM302" i="43"/>
  <c r="AN302" i="43"/>
  <c r="AF303" i="43"/>
  <c r="AG303" i="43"/>
  <c r="AH303" i="43"/>
  <c r="AI303" i="43"/>
  <c r="AJ303" i="43"/>
  <c r="AK303" i="43"/>
  <c r="AL303" i="43"/>
  <c r="AM303" i="43"/>
  <c r="AN303" i="43"/>
  <c r="AF348" i="43"/>
  <c r="AG348" i="43"/>
  <c r="AH348" i="43"/>
  <c r="AI348" i="43"/>
  <c r="AJ348" i="43"/>
  <c r="AK348" i="43"/>
  <c r="AL348" i="43"/>
  <c r="AM348" i="43"/>
  <c r="AN348" i="43"/>
  <c r="AF356" i="43"/>
  <c r="AG356" i="43"/>
  <c r="AH356" i="43"/>
  <c r="AI356" i="43"/>
  <c r="AJ356" i="43"/>
  <c r="AK356" i="43"/>
  <c r="AL356" i="43"/>
  <c r="AM356" i="43"/>
  <c r="AN356" i="43"/>
  <c r="K217" i="252"/>
  <c r="L217" i="252"/>
  <c r="N217" i="252"/>
  <c r="O217" i="252"/>
  <c r="P217" i="252"/>
  <c r="R217" i="252"/>
  <c r="S217" i="252"/>
  <c r="T217" i="252"/>
  <c r="U217" i="252"/>
  <c r="K219" i="252"/>
  <c r="L219" i="252"/>
  <c r="N219" i="252"/>
  <c r="O219" i="252"/>
  <c r="P219" i="252"/>
  <c r="R219" i="252"/>
  <c r="S219" i="252"/>
  <c r="T219" i="252"/>
  <c r="U219" i="252"/>
  <c r="K221" i="252"/>
  <c r="L221" i="252"/>
  <c r="N221" i="252"/>
  <c r="O221" i="252"/>
  <c r="P221" i="252"/>
  <c r="R221" i="252"/>
  <c r="S221" i="252"/>
  <c r="T221" i="252"/>
  <c r="U221" i="252"/>
  <c r="K222" i="252"/>
  <c r="L222" i="252"/>
  <c r="N222" i="252"/>
  <c r="O222" i="252"/>
  <c r="P222" i="252"/>
  <c r="R222" i="252"/>
  <c r="S222" i="252"/>
  <c r="T222" i="252"/>
  <c r="U222" i="252"/>
  <c r="L226" i="252"/>
  <c r="N226" i="252"/>
  <c r="O226" i="252"/>
  <c r="P226" i="252"/>
  <c r="R226" i="252"/>
  <c r="S226" i="252"/>
  <c r="T226" i="252"/>
  <c r="U226" i="252"/>
  <c r="L227" i="252"/>
  <c r="N227" i="252"/>
  <c r="O227" i="252"/>
  <c r="P227" i="252"/>
  <c r="R227" i="252"/>
  <c r="S227" i="252"/>
  <c r="T227" i="252"/>
  <c r="U227" i="252"/>
  <c r="L230" i="252"/>
  <c r="N230" i="252"/>
  <c r="O230" i="252"/>
  <c r="P230" i="252"/>
  <c r="R230" i="252"/>
  <c r="S230" i="252"/>
  <c r="T230" i="252"/>
  <c r="U230" i="252"/>
  <c r="K236" i="252"/>
  <c r="L236" i="252"/>
  <c r="N236" i="252"/>
  <c r="O236" i="252"/>
  <c r="P236" i="252"/>
  <c r="R236" i="252"/>
  <c r="S236" i="252"/>
  <c r="T236" i="252"/>
  <c r="U236" i="252"/>
  <c r="K238" i="252"/>
  <c r="L238" i="252"/>
  <c r="N238" i="252"/>
  <c r="O238" i="252"/>
  <c r="P238" i="252"/>
  <c r="R238" i="252"/>
  <c r="S238" i="252"/>
  <c r="T238" i="252"/>
  <c r="U238" i="252"/>
  <c r="K240" i="252"/>
  <c r="L240" i="252"/>
  <c r="N240" i="252"/>
  <c r="O240" i="252"/>
  <c r="P240" i="252"/>
  <c r="R240" i="252"/>
  <c r="S240" i="252"/>
  <c r="T240" i="252"/>
  <c r="U240" i="252"/>
  <c r="K241" i="252"/>
  <c r="L241" i="252"/>
  <c r="N241" i="252"/>
  <c r="O241" i="252"/>
  <c r="P241" i="252"/>
  <c r="R241" i="252"/>
  <c r="S241" i="252"/>
  <c r="T241" i="252"/>
  <c r="U241" i="252"/>
  <c r="K244" i="252"/>
  <c r="L244" i="252"/>
  <c r="N244" i="252"/>
  <c r="O244" i="252"/>
  <c r="P244" i="252"/>
  <c r="R244" i="252"/>
  <c r="S244" i="252"/>
  <c r="T244" i="252"/>
  <c r="U244" i="252"/>
  <c r="K245" i="252"/>
  <c r="L245" i="252"/>
  <c r="N245" i="252"/>
  <c r="O245" i="252"/>
  <c r="P245" i="252"/>
  <c r="R245" i="252"/>
  <c r="S245" i="252"/>
  <c r="T245" i="252"/>
  <c r="U245" i="252"/>
  <c r="K246" i="252"/>
  <c r="L246" i="252"/>
  <c r="N246" i="252"/>
  <c r="O246" i="252"/>
  <c r="P246" i="252"/>
  <c r="R246" i="252"/>
  <c r="S246" i="252"/>
  <c r="T246" i="252"/>
  <c r="U246" i="252"/>
  <c r="N247" i="252"/>
  <c r="O247" i="252"/>
  <c r="P247" i="252"/>
  <c r="R247" i="252"/>
  <c r="S247" i="252"/>
  <c r="T247" i="252"/>
  <c r="U247" i="252"/>
  <c r="K249" i="252"/>
  <c r="L249" i="252"/>
  <c r="N249" i="252"/>
  <c r="O249" i="252"/>
  <c r="P249" i="252"/>
  <c r="R249" i="252"/>
  <c r="S249" i="252"/>
  <c r="T249" i="252"/>
  <c r="U249" i="252"/>
  <c r="K250" i="252"/>
  <c r="L250" i="252"/>
  <c r="N250" i="252"/>
  <c r="O250" i="252"/>
  <c r="P250" i="252"/>
  <c r="R250" i="252"/>
  <c r="S250" i="252"/>
  <c r="T250" i="252"/>
  <c r="U250" i="252"/>
  <c r="K251" i="252"/>
  <c r="L251" i="252"/>
  <c r="N251" i="252"/>
  <c r="O251" i="252"/>
  <c r="P251" i="252"/>
  <c r="R251" i="252"/>
  <c r="S251" i="252"/>
  <c r="T251" i="252"/>
  <c r="U251" i="252"/>
  <c r="N252" i="252"/>
  <c r="O252" i="252"/>
  <c r="P252" i="252"/>
  <c r="R252" i="252"/>
  <c r="S252" i="252"/>
  <c r="T252" i="252"/>
  <c r="U252" i="25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<sst xmlns="http://schemas.openxmlformats.org/spreadsheetml/2006/main" count="1309" uniqueCount="640">
  <si>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</si>
  <si>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</si>
  <si>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</si>
  <si>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</si>
  <si>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</si>
  <si>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</si>
  <si>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</si>
  <si>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</si>
  <si>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</si>
  <si>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</si>
  <si>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</si>
  <si>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</si>
  <si>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</si>
  <si>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</si>
  <si>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</si>
  <si>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</si>
  <si>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</si>
  <si>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</si>
  <si>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</si>
  <si>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</si>
  <si>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</si>
  <si>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</si>
  <si>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</si>
  <si>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</si>
  <si>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</si>
  <si>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</si>
  <si>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</si>
  <si>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</si>
  <si>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</si>
  <si>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</si>
  <si>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</si>
  <si>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</si>
  <si>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</si>
  <si>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</si>
  <si>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</si>
  <si>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</si>
  <si>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</si>
  <si>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</si>
  <si>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</si>
  <si>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</si>
  <si>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</si>
  <si>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</si>
  <si>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</si>
  <si>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</si>
  <si>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</si>
  <si>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</si>
  <si>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</si>
  <si>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</si>
  <si>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</si>
  <si>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</si>
  <si>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</si>
  <si>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</si>
  <si>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</si>
  <si>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</si>
  <si>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n=</t>
  </si>
  <si>
    <t>ROIC</t>
  </si>
  <si>
    <t>Avg. ROIC</t>
  </si>
  <si>
    <t>Avg. ROE</t>
  </si>
  <si>
    <t>Terminal Value Assumptions vs. Historicals and Industry Base Rates</t>
  </si>
  <si>
    <t>'96-18</t>
  </si>
  <si>
    <t>Actual Company History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</si>
  <si>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</si>
  <si>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</si>
  <si>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</si>
  <si>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</si>
  <si>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</si>
  <si>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</si>
  <si>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</si>
  <si>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</si>
  <si>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</si>
  <si>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</si>
  <si>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</si>
  <si>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</si>
  <si>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</si>
  <si>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</si>
  <si>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</si>
  <si>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</si>
  <si>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</si>
  <si>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</si>
  <si>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</si>
  <si>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</si>
  <si>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</si>
  <si>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Entertainment</t>
  </si>
  <si>
    <t>LOOKUP DATA</t>
  </si>
  <si>
    <t>ND/EBITDA</t>
  </si>
  <si>
    <t>Forecast</t>
  </si>
  <si>
    <t>Graph Data</t>
  </si>
  <si>
    <t>Sector Comparison</t>
  </si>
  <si>
    <t>Avg.</t>
  </si>
  <si>
    <t>Valuation Summary (Sensitivity Based on TV)</t>
  </si>
  <si>
    <t>Reinvest. Rate (Capex/EBIT)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</si>
  <si>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</si>
  <si>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</si>
  <si>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</si>
  <si>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</si>
  <si>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</si>
  <si>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</si>
  <si>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</si>
  <si>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</si>
  <si>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Cap./EBIT</t>
  </si>
  <si>
    <t>Credit Spread</t>
  </si>
  <si>
    <t>Ticker Details</t>
  </si>
  <si>
    <t>CAGR</t>
  </si>
  <si>
    <t>EBITDA</t>
  </si>
  <si>
    <t>EBITDA Margin</t>
  </si>
  <si>
    <t>Income Statement</t>
  </si>
  <si>
    <t>SG&amp;A (incl. stock-based comp)</t>
  </si>
  <si>
    <t>Impairment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</si>
  <si>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</si>
  <si>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</si>
  <si>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</si>
  <si>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</si>
  <si>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</si>
  <si>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</si>
  <si>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</si>
  <si>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</si>
  <si>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Discontinued operations</t>
  </si>
  <si>
    <t>Minority Interest</t>
  </si>
  <si>
    <t>Prefs</t>
  </si>
  <si>
    <t>Net Income to Common</t>
  </si>
  <si>
    <t>Check</t>
  </si>
  <si>
    <t>W.A. shares outstanding (diluted)</t>
  </si>
  <si>
    <t>EPS to common</t>
  </si>
  <si>
    <t>EPS growth rate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</si>
  <si>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</si>
  <si>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</si>
  <si>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</si>
  <si>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</si>
  <si>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</si>
  <si>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</si>
  <si>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</si>
  <si>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</si>
  <si>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</si>
  <si>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</si>
  <si>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Common dividends (net of DRIP)</t>
  </si>
  <si>
    <t>Cash Flow from Financing</t>
  </si>
  <si>
    <t>Other changes in cash</t>
  </si>
  <si>
    <t>Total change in cash</t>
  </si>
  <si>
    <t>Balance Sheet</t>
  </si>
  <si>
    <t>Investment Securities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</si>
  <si>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</si>
  <si>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</si>
  <si>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</si>
  <si>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</si>
  <si>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</si>
  <si>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</si>
  <si>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</si>
  <si>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Current liabilities</t>
  </si>
  <si>
    <t>Total liabilities</t>
  </si>
  <si>
    <t>Common equity</t>
  </si>
  <si>
    <t>Retained earnings and OCI</t>
  </si>
  <si>
    <t>Total liabilities &amp; equity</t>
  </si>
  <si>
    <t>non-cash NWC</t>
  </si>
  <si>
    <t>Gross Margin</t>
  </si>
  <si>
    <t>Net Margin</t>
  </si>
  <si>
    <t>Debt &amp; Interest Expense</t>
  </si>
  <si>
    <t>Total debt</t>
  </si>
  <si>
    <t>Net debt</t>
  </si>
  <si>
    <t>D/EBITDA</t>
  </si>
  <si>
    <t>Average debt</t>
  </si>
  <si>
    <t>Interest rate</t>
  </si>
  <si>
    <t>Weighted-average basic (mln)</t>
  </si>
  <si>
    <t>Weighted-average diluted (mln)</t>
  </si>
  <si>
    <t>PP&amp;E &amp; Other Assets</t>
  </si>
  <si>
    <t>Ratios</t>
  </si>
  <si>
    <t>Book Value of Equity</t>
  </si>
  <si>
    <t>BVPS</t>
  </si>
  <si>
    <t>Invested Capital</t>
  </si>
  <si>
    <t>EBIT Margin</t>
  </si>
  <si>
    <t>Net margin (NI/S)</t>
  </si>
  <si>
    <t>Asset turnover (S/A)</t>
  </si>
  <si>
    <t>Leverage (A/E)</t>
  </si>
  <si>
    <t>Financial Statements</t>
  </si>
  <si>
    <t>Gross Revenue</t>
  </si>
  <si>
    <t>Cost of Revenue</t>
  </si>
  <si>
    <t>Operating Costs</t>
  </si>
  <si>
    <t>W.A. Shares Outstanding</t>
  </si>
  <si>
    <t>EPS Growth Rate</t>
  </si>
  <si>
    <t>Cash Flow From Investing</t>
  </si>
  <si>
    <t>Cash Flow From Financing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</si>
  <si>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</si>
  <si>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</si>
  <si>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</si>
  <si>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</si>
  <si>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</si>
  <si>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</si>
  <si>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</si>
  <si>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Common Equity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</si>
  <si>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</si>
  <si>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</si>
  <si>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</si>
  <si>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</si>
  <si>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</si>
  <si>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</si>
  <si>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</si>
  <si>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</si>
  <si>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</si>
  <si>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</si>
  <si>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Change in non-cash NWC</t>
  </si>
  <si>
    <t>ROIC (excl. excess cash)</t>
  </si>
  <si>
    <t>Gain(loss) assets held for sale</t>
  </si>
  <si>
    <t>Net Revenue</t>
  </si>
  <si>
    <t>CFO/share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</si>
  <si>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</si>
  <si>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</si>
  <si>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</si>
  <si>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</si>
  <si>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</si>
  <si>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</si>
  <si>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</si>
  <si>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Change in common equity (net)</t>
  </si>
  <si>
    <t>Model Drivers</t>
  </si>
  <si>
    <t>Impairments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</si>
  <si>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</si>
  <si>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</si>
  <si>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</si>
  <si>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Other - Capex</t>
  </si>
  <si>
    <t>Canada</t>
  </si>
  <si>
    <t>Operating Income</t>
  </si>
  <si>
    <t>Total Revenue</t>
  </si>
  <si>
    <t>SG&amp;A</t>
  </si>
  <si>
    <t>Delta</t>
  </si>
  <si>
    <t>Remaining Useful Life</t>
  </si>
  <si>
    <t>Revenue/PP&amp;E</t>
  </si>
  <si>
    <t>U.S.</t>
  </si>
  <si>
    <t>RoW</t>
  </si>
  <si>
    <t>Gross Profit</t>
  </si>
  <si>
    <t>non-cash NWC as % of revenue</t>
  </si>
  <si>
    <t>Opening ROU</t>
  </si>
  <si>
    <t>Ending ROU</t>
  </si>
  <si>
    <t>Diff</t>
  </si>
  <si>
    <t>Actual Change in non-cash NWC</t>
  </si>
  <si>
    <t>P/B</t>
  </si>
  <si>
    <t>CTS</t>
  </si>
  <si>
    <t>TSX</t>
  </si>
  <si>
    <t>Q1/18</t>
  </si>
  <si>
    <t>Cash</t>
  </si>
  <si>
    <t>Trade and other receivables</t>
  </si>
  <si>
    <t>Inventories</t>
  </si>
  <si>
    <t>Prepaid expenses and other assets</t>
  </si>
  <si>
    <t>PP&amp;E (incl. ROU assets)</t>
  </si>
  <si>
    <t>Other financial liabilities</t>
  </si>
  <si>
    <t>Deferred revenue and other liabilities</t>
  </si>
  <si>
    <t>Income taxes payable</t>
  </si>
  <si>
    <t>Borrowings</t>
  </si>
  <si>
    <t>Exchange rights</t>
  </si>
  <si>
    <t>Foreign exchange translation reserve</t>
  </si>
  <si>
    <t>Retained earnings</t>
  </si>
  <si>
    <t>Product</t>
  </si>
  <si>
    <t>Service</t>
  </si>
  <si>
    <t>Total Revenue Growth</t>
  </si>
  <si>
    <t>D&amp;A</t>
  </si>
  <si>
    <t>Special charges</t>
  </si>
  <si>
    <t>Other expenses (income)</t>
  </si>
  <si>
    <t>Cash tax</t>
  </si>
  <si>
    <t>Cost of sales</t>
  </si>
  <si>
    <t>Product Rev. as a % of Total</t>
  </si>
  <si>
    <t>Operating Margin</t>
  </si>
  <si>
    <t>M&amp;A, net</t>
  </si>
  <si>
    <t>Repayment of contingent and deferred consideration</t>
  </si>
  <si>
    <t>Payments on lease liabilites</t>
  </si>
  <si>
    <t>Product Rev. Growth, YoY</t>
  </si>
  <si>
    <t>Service Rev. Growth, YoY</t>
  </si>
  <si>
    <t>Interest expense on borrowings</t>
  </si>
  <si>
    <t>Other int. expense</t>
  </si>
  <si>
    <t>Other finance expense</t>
  </si>
  <si>
    <t>Total finance expense</t>
  </si>
  <si>
    <t>Deferred and contingent consideration</t>
  </si>
  <si>
    <t>Lease Liability</t>
  </si>
  <si>
    <t>Other financial liabilites</t>
  </si>
  <si>
    <t>Lease liability</t>
  </si>
  <si>
    <t>Lease liability as a % of Rev.</t>
  </si>
  <si>
    <t>Lease liability as a % of PP&amp;E</t>
  </si>
  <si>
    <t>Avg remain lease life</t>
  </si>
  <si>
    <t>M&amp;A Breakdown</t>
  </si>
  <si>
    <t>Deferred &amp; contingent consideration</t>
  </si>
  <si>
    <t>Upfront Cash</t>
  </si>
  <si>
    <t>Upfront Equity</t>
  </si>
  <si>
    <t>Non-cash NWC</t>
  </si>
  <si>
    <t>ROU</t>
  </si>
  <si>
    <t>Intangible assets</t>
  </si>
  <si>
    <t>ROU assets</t>
  </si>
  <si>
    <t>Net income</t>
  </si>
  <si>
    <t>TTM P/E</t>
  </si>
  <si>
    <t>TTM EV/Rev</t>
  </si>
  <si>
    <t>M&amp;A 1</t>
  </si>
  <si>
    <t>CarpeDatum</t>
  </si>
  <si>
    <t>Deferred tax liability</t>
  </si>
  <si>
    <t>M&amp;A 2</t>
  </si>
  <si>
    <t>Accudata</t>
  </si>
  <si>
    <t>M&amp;A 3</t>
  </si>
  <si>
    <t>Dasher</t>
  </si>
  <si>
    <t>M&amp;A 4</t>
  </si>
  <si>
    <t>ExactlyIT</t>
  </si>
  <si>
    <t>M&amp;A 5</t>
  </si>
  <si>
    <t>PCD</t>
  </si>
  <si>
    <t>Unique Digital</t>
  </si>
  <si>
    <t>Workgroup</t>
  </si>
  <si>
    <t>Vivvo</t>
  </si>
  <si>
    <t>Vicom</t>
  </si>
  <si>
    <t>M&amp;A Summary</t>
  </si>
  <si>
    <t>1. Company Name</t>
  </si>
  <si>
    <t>2. Company Name</t>
  </si>
  <si>
    <t>3. Company Name</t>
  </si>
  <si>
    <t>4. Company Name</t>
  </si>
  <si>
    <t>5. Company Name</t>
  </si>
  <si>
    <t>CF statement M&amp;A</t>
  </si>
  <si>
    <t>Diff (%)</t>
  </si>
  <si>
    <t>P/S</t>
  </si>
  <si>
    <t>SIS</t>
  </si>
  <si>
    <t>Nordisk</t>
  </si>
  <si>
    <t>Essextec</t>
  </si>
  <si>
    <t>Datatrend Technologies</t>
  </si>
  <si>
    <t>VSS</t>
  </si>
  <si>
    <t>Becker-Carroll</t>
  </si>
  <si>
    <t>Key Infomration Systems</t>
  </si>
  <si>
    <t>Number of acquisitions</t>
  </si>
  <si>
    <t>Total purchase price</t>
  </si>
  <si>
    <t>BlueChip Teck</t>
  </si>
  <si>
    <t>Lighthouse</t>
  </si>
  <si>
    <t>Corus</t>
  </si>
  <si>
    <t>Northern Micro</t>
  </si>
  <si>
    <t>Date</t>
  </si>
  <si>
    <t>EV/Sales</t>
  </si>
  <si>
    <t>EV</t>
  </si>
  <si>
    <t>Net income Margin</t>
  </si>
  <si>
    <t>Revenue Growth Attributable to M&amp;A</t>
  </si>
  <si>
    <t>M&amp;A Table</t>
  </si>
  <si>
    <t>M&amp;A Revenue Growth, Trailing</t>
  </si>
  <si>
    <t>Avg annual revenue/acquisition</t>
  </si>
  <si>
    <t>Number of acquisitions, TTM avg</t>
  </si>
  <si>
    <t>TTM M&amp;A, net</t>
  </si>
  <si>
    <t>Product Rev.</t>
  </si>
  <si>
    <t>Service Rev.</t>
  </si>
  <si>
    <t>Total revenue</t>
  </si>
  <si>
    <t>Gross profit</t>
  </si>
  <si>
    <t>PP&amp;E D&amp;A</t>
  </si>
  <si>
    <t>ROU D&amp;A</t>
  </si>
  <si>
    <t>Intangible D&amp;A</t>
  </si>
  <si>
    <t>Other D&amp;A</t>
  </si>
  <si>
    <t>Total D&amp;A</t>
  </si>
  <si>
    <t>Opening PP&amp;E, Excl. ROU</t>
  </si>
  <si>
    <t>Ending PP&amp;E, Excl. ROU</t>
  </si>
  <si>
    <t>Opening Intangibles</t>
  </si>
  <si>
    <t>Ending Intangibles</t>
  </si>
  <si>
    <t>Capex as a % of DD&amp;A</t>
  </si>
  <si>
    <t>Organic additions</t>
  </si>
  <si>
    <t>ROU/PP&amp;E</t>
  </si>
  <si>
    <t>ROU/Revenue</t>
  </si>
  <si>
    <t>Capex as a % of D&amp;A</t>
  </si>
  <si>
    <t>SG&amp;A as a % of Rev.</t>
  </si>
  <si>
    <t>Other as a % of Rev.</t>
  </si>
  <si>
    <t>Special Charges as a % of Deferred and contingent consideration</t>
  </si>
  <si>
    <t>Special Charges as a % of TTM M&amp;A</t>
  </si>
  <si>
    <t>Payments</t>
  </si>
  <si>
    <t>Opening Deferred and contingent consideration</t>
  </si>
  <si>
    <t>Closing Deferred and contingent consideration</t>
  </si>
  <si>
    <t>Other Non-current assets</t>
  </si>
  <si>
    <t>Other financial liabilities - Current</t>
  </si>
  <si>
    <t>Other financial liabilities - Non Current</t>
  </si>
  <si>
    <t>Deferred tax Liability</t>
  </si>
  <si>
    <t>Other - Financing</t>
  </si>
  <si>
    <t>Current/Total</t>
  </si>
  <si>
    <t>Net Trade as a % of revenue</t>
  </si>
  <si>
    <t>Other as a % of revenue</t>
  </si>
  <si>
    <t>Inventory as a % of product revenue</t>
  </si>
  <si>
    <t>From M&amp;A</t>
  </si>
  <si>
    <t>M&amp;A ($) - Upfront Equity</t>
  </si>
  <si>
    <t>M&amp;A ($) - Deferred &amp; contingent consideration</t>
  </si>
  <si>
    <t>M&amp;A ($) - Non-cash NWC</t>
  </si>
  <si>
    <t>M&amp;A ($) - PP&amp;E</t>
  </si>
  <si>
    <t>M&amp;A ($) - ROU</t>
  </si>
  <si>
    <t>M&amp;A ($) - Intangible assets</t>
  </si>
  <si>
    <t>M&amp;A ($) - Deferred tax liability</t>
  </si>
  <si>
    <t>M&amp;A ($) - Lease Liability</t>
  </si>
  <si>
    <t>M&amp;A ($) - Goodwill</t>
  </si>
  <si>
    <t>M&amp;A ($) - Revenue</t>
  </si>
  <si>
    <t>M&amp;A (#) - Number of acquisitions</t>
  </si>
  <si>
    <t>M&amp;A - % - Upfront Equity</t>
  </si>
  <si>
    <t>M&amp;A - % - Deferred &amp; contingent consideration</t>
  </si>
  <si>
    <t>M&amp;A - % - Non-cash NWC</t>
  </si>
  <si>
    <t>M&amp;A - % - PP&amp;E</t>
  </si>
  <si>
    <t>M&amp;A - % - ROU</t>
  </si>
  <si>
    <t>M&amp;A - % - Intangible assets</t>
  </si>
  <si>
    <t>M&amp;A - % - Deferred tax liability</t>
  </si>
  <si>
    <t>M&amp;A - % - Lease Liability</t>
  </si>
  <si>
    <t>M&amp;A - % - Goodwill</t>
  </si>
  <si>
    <t>Acquired revenue</t>
  </si>
  <si>
    <t>PP&amp;E, excl ROU - Capex</t>
  </si>
  <si>
    <t>Intangibles - Capex</t>
  </si>
  <si>
    <t>PP&amp;E, excl ROU - Other</t>
  </si>
  <si>
    <t>Revenue/Intangibles</t>
  </si>
  <si>
    <t>Comparables</t>
  </si>
  <si>
    <t>CDW Corporation</t>
  </si>
  <si>
    <t>Hardware</t>
  </si>
  <si>
    <t>Software</t>
  </si>
  <si>
    <t>Services</t>
  </si>
  <si>
    <t>Total Revenue ($mln)</t>
  </si>
  <si>
    <t>Gross Profit ($mln)</t>
  </si>
  <si>
    <t>Operating Income ($mln)</t>
  </si>
  <si>
    <t>EBIT ($mln)</t>
  </si>
  <si>
    <t>Accounts receivable</t>
  </si>
  <si>
    <t>Inventory</t>
  </si>
  <si>
    <t>Other receivable</t>
  </si>
  <si>
    <t>prepaid expenses and other</t>
  </si>
  <si>
    <t>Accounts payable-trade</t>
  </si>
  <si>
    <t>Accounts payable-invenotry financing</t>
  </si>
  <si>
    <t>Contracted liabilities</t>
  </si>
  <si>
    <t>Insight Enterprises</t>
  </si>
  <si>
    <t>Cost of sales - Products</t>
  </si>
  <si>
    <t>Cost of sales - Services</t>
  </si>
  <si>
    <t>Severance and restructuring expenses</t>
  </si>
  <si>
    <t>M&amp;A-related expenses</t>
  </si>
  <si>
    <t>Accrued expenses and other current liabilities</t>
  </si>
  <si>
    <t>CDW</t>
  </si>
  <si>
    <t>NSIT</t>
  </si>
  <si>
    <t>USD/CAD</t>
  </si>
  <si>
    <t>QoQ Change</t>
  </si>
  <si>
    <t>Organic Revenue Growth (CC)</t>
  </si>
  <si>
    <t>FX</t>
  </si>
  <si>
    <t>U.S. %</t>
  </si>
  <si>
    <t>PC Connection</t>
  </si>
  <si>
    <t>CNXN</t>
  </si>
  <si>
    <t>Restructuring and other charges</t>
  </si>
  <si>
    <t>Other income (expense)</t>
  </si>
  <si>
    <t>Accounts payable</t>
  </si>
  <si>
    <t>Other current</t>
  </si>
  <si>
    <t>Comp Summary</t>
  </si>
  <si>
    <t>Service Rev. as a % of Total</t>
  </si>
  <si>
    <t>YoY Change</t>
  </si>
  <si>
    <t>Macro Data</t>
  </si>
  <si>
    <t>Enterprise software</t>
  </si>
  <si>
    <t>Devices</t>
  </si>
  <si>
    <t>IT services</t>
  </si>
  <si>
    <t>Data center systems</t>
  </si>
  <si>
    <t>Communication services</t>
  </si>
  <si>
    <t>Cloud Application Infrastructure Services (PaaS)</t>
  </si>
  <si>
    <t>Cloud Business Process Services (BPaaS)</t>
  </si>
  <si>
    <t>Cloud Application Services (SaaS)</t>
  </si>
  <si>
    <t>Cloud Management and Security Services</t>
  </si>
  <si>
    <t>Cloud System Infrastructure Services (IaaS)</t>
  </si>
  <si>
    <t>Worldwide IT Spending ($US bln)</t>
  </si>
  <si>
    <t>Worldwide Public Cloud Revenue ($US bln)</t>
  </si>
  <si>
    <t>Cumulative acquisitions</t>
  </si>
  <si>
    <t>Bechtle AG</t>
  </si>
  <si>
    <t>Total Revenue (mln Euro)</t>
  </si>
  <si>
    <t>IT System House &amp; managed services</t>
  </si>
  <si>
    <t>IT ecommerce</t>
  </si>
  <si>
    <t>Distribution costs</t>
  </si>
  <si>
    <t>EURO/USD</t>
  </si>
  <si>
    <t>BC8 - Rev</t>
  </si>
  <si>
    <t>BC8 - Gross margin (%)</t>
  </si>
  <si>
    <t>BC8 - % Services (%)</t>
  </si>
  <si>
    <t>BC8:FRA</t>
  </si>
  <si>
    <t>BC8 - SG&amp;A as a % of rev</t>
  </si>
  <si>
    <t>CGI Inc.</t>
  </si>
  <si>
    <t>GIB.A</t>
  </si>
  <si>
    <t>Management of IT and business functions</t>
  </si>
  <si>
    <t>Systems Integration and Consulting</t>
  </si>
  <si>
    <t>Cost of sales &amp; SG&amp;A</t>
  </si>
  <si>
    <t>Other expense inlc M&amp;A integration costs and restructuring</t>
  </si>
  <si>
    <t>CAD/USD</t>
  </si>
  <si>
    <t>Managed Services</t>
  </si>
  <si>
    <t>Professional and other services</t>
  </si>
  <si>
    <t>Salaries and benefits</t>
  </si>
  <si>
    <t>Professional fees</t>
  </si>
  <si>
    <t>Office and travel, events</t>
  </si>
  <si>
    <t>Other expenses</t>
  </si>
  <si>
    <t>IT Spending in Bechtle's Europe Mkts (Euro bln)</t>
  </si>
  <si>
    <t>YoY growth</t>
  </si>
  <si>
    <t>'10-20</t>
  </si>
  <si>
    <t>BC8 - Operating margin (%)</t>
  </si>
  <si>
    <t>Total Revenue (C$mln)</t>
  </si>
  <si>
    <t>Adj. EBITDA Margin</t>
  </si>
  <si>
    <t>Adj. EBITDA margin</t>
  </si>
  <si>
    <t>EV/S</t>
  </si>
  <si>
    <t>CTS - Rev ($C)</t>
  </si>
  <si>
    <t>CTS - Gross margin (%)</t>
  </si>
  <si>
    <t>CGI - % Services (%)</t>
  </si>
  <si>
    <t>CTS - % Services (%)</t>
  </si>
  <si>
    <t>CTS - SG&amp;A as a % of rev</t>
  </si>
  <si>
    <t>CTS - Operating margin (%)</t>
  </si>
  <si>
    <t>CDW - Non-cash NWC as % of rev. (%)</t>
  </si>
  <si>
    <t>NSIT - Non-cash NWC as % of rev. (%)</t>
  </si>
  <si>
    <t>CNXN - Non-cash NWC as % of rev. (%)</t>
  </si>
  <si>
    <t>BC8 - Non-cash NWC as % of rev. (%)</t>
  </si>
  <si>
    <t>GIB.A - Non-cash NWC as % of rev. (%)</t>
  </si>
  <si>
    <t>CTS - Non-cash NWC as % of rev. (%)</t>
  </si>
  <si>
    <t>Payables as a % of revenue</t>
  </si>
  <si>
    <t>Vicom Infinity Sys</t>
  </si>
  <si>
    <t>Infinity Sys Solutions</t>
  </si>
  <si>
    <t>Rednet</t>
  </si>
  <si>
    <t>Change in fair value of contingent consideration</t>
  </si>
  <si>
    <t>Special Charges</t>
  </si>
  <si>
    <t>M&amp;A, gross</t>
  </si>
  <si>
    <t>Share price ($/share)</t>
  </si>
  <si>
    <t>BC8 - Adj. EBITDA margin (%)</t>
  </si>
  <si>
    <t>CTS - Adj. EBITDA margin (%)</t>
  </si>
  <si>
    <t>Other CFO adj.</t>
  </si>
  <si>
    <t>Accenture</t>
  </si>
  <si>
    <t>ACN</t>
  </si>
  <si>
    <t>Cost of service</t>
  </si>
  <si>
    <t>Sales and marketing</t>
  </si>
  <si>
    <t>G&amp;A</t>
  </si>
  <si>
    <t>Intangibles and other</t>
  </si>
  <si>
    <t>ACN - Rev</t>
  </si>
  <si>
    <t>ACN - SG&amp;A as a % of rev</t>
  </si>
  <si>
    <t>ACN - Operating margin (%)</t>
  </si>
  <si>
    <t>ACN - Adj. EBITDA margin (%)</t>
  </si>
  <si>
    <t>ACN - Non-cash NWC as % of rev. (%)</t>
  </si>
  <si>
    <t>Assumed Tax rate</t>
  </si>
  <si>
    <t>Adj. ROIC</t>
  </si>
  <si>
    <t>Adj. ROIC (excl. excess cash)</t>
  </si>
  <si>
    <t>500+ Employees</t>
  </si>
  <si>
    <t>100-499 Employees</t>
  </si>
  <si>
    <t>20-99 Employees</t>
  </si>
  <si>
    <t>&lt;20 Employees</t>
  </si>
  <si>
    <t>YoY growth (%)</t>
  </si>
  <si>
    <t>Number of IT Consulting Businesses in U.S. (000)</t>
  </si>
  <si>
    <t>Publishing industries, except internet (includes software)</t>
  </si>
  <si>
    <t>Data processing, internet publishing, and other information services</t>
  </si>
  <si>
    <t>Computer systems design and related services</t>
  </si>
  <si>
    <t>IT/Tech Services Establishments</t>
  </si>
  <si>
    <t>Telecommunications, Internet Services and Data Hosting Establishments</t>
  </si>
  <si>
    <t>Software Establishments</t>
  </si>
  <si>
    <t>NAICS 423430, 541511, 541512, 541513, 541519, 611420</t>
  </si>
  <si>
    <t>NAICS 517311, 517312, 517410, 517911, 517919, 518210, 519130</t>
  </si>
  <si>
    <t>NAICS 511210</t>
  </si>
  <si>
    <t>Programming and broadcasting activities</t>
  </si>
  <si>
    <t>Computer programming activities</t>
  </si>
  <si>
    <t>Computer consultancy activities</t>
  </si>
  <si>
    <t>Computer facilities management activities</t>
  </si>
  <si>
    <t>Other information technology and computer service activities</t>
  </si>
  <si>
    <t>Information service activities</t>
  </si>
  <si>
    <t>% Sole proprietorship</t>
  </si>
  <si>
    <t>% Partnership, co-operatives, associations, etc.</t>
  </si>
  <si>
    <t>% Limited liability enterprise</t>
  </si>
  <si>
    <t>Avg Employee per Sole proprietorship</t>
  </si>
  <si>
    <t>Avg Employee per Partnership</t>
  </si>
  <si>
    <t>Avg Employee per Ltd</t>
  </si>
  <si>
    <t>YoY Growth</t>
  </si>
  <si>
    <t>Europe - Information and Communication - Value Add (€ bln)</t>
  </si>
  <si>
    <t>ITSP Establishments - U.S.</t>
  </si>
  <si>
    <t>IT Services Value-Add Est. - U.S. ($bln)</t>
  </si>
  <si>
    <t>IT/Tech Services - Europe (#)</t>
  </si>
  <si>
    <t>IT/Tech Services - Germany (#)</t>
  </si>
  <si>
    <t>IT/Tech Services (ltd) - Germany (#)</t>
  </si>
  <si>
    <t>IT/Tech Services (ltd) - Other (#)</t>
  </si>
  <si>
    <t>TTM Sales</t>
  </si>
  <si>
    <t>World</t>
  </si>
  <si>
    <t>Europe</t>
  </si>
  <si>
    <t>'21-30</t>
  </si>
  <si>
    <t>Gross as a % of Rev.</t>
  </si>
  <si>
    <t>Gross M&amp;A</t>
  </si>
  <si>
    <t>Consulting</t>
  </si>
  <si>
    <t>Outsourcing</t>
  </si>
  <si>
    <t>Number of M&amp;A deals</t>
  </si>
  <si>
    <t>Gross M&amp;A/deal</t>
  </si>
  <si>
    <t>ALL SUB INDUSTRIES</t>
  </si>
  <si>
    <t>Advertising</t>
  </si>
  <si>
    <t>Aerospace/Defense</t>
  </si>
  <si>
    <t>JAPAN</t>
  </si>
  <si>
    <t>Agriculture</t>
  </si>
  <si>
    <t>BRITAIN</t>
  </si>
  <si>
    <t>Reinvestment</t>
  </si>
  <si>
    <t>Airlines</t>
  </si>
  <si>
    <t>CANADA</t>
  </si>
  <si>
    <t>Apparel</t>
  </si>
  <si>
    <t>AUSTRALIA</t>
  </si>
  <si>
    <t>Auto Manufacturers</t>
  </si>
  <si>
    <t>FRANCE</t>
  </si>
  <si>
    <t>Auto Parts&amp;Equipment</t>
  </si>
  <si>
    <t>GERMANY</t>
  </si>
  <si>
    <t>Banks</t>
  </si>
  <si>
    <t>SWITZERLAND</t>
  </si>
  <si>
    <t>Beverages</t>
  </si>
  <si>
    <t>HONG KONG</t>
  </si>
  <si>
    <t>Biotechnology</t>
  </si>
  <si>
    <t>ITALY</t>
  </si>
  <si>
    <t>Building Materials</t>
  </si>
  <si>
    <t>SWEDEN</t>
  </si>
  <si>
    <t>Chemicals</t>
  </si>
  <si>
    <t>SINGAPORE</t>
  </si>
  <si>
    <t>Coal</t>
  </si>
  <si>
    <t>SPAIN</t>
  </si>
  <si>
    <t>Commercial Services</t>
  </si>
  <si>
    <t>NETHERLANDS</t>
  </si>
  <si>
    <t>Computers</t>
  </si>
  <si>
    <t>Cosmetics/Personal Care</t>
  </si>
  <si>
    <t>Distribution/Wholesale</t>
  </si>
  <si>
    <t>Diversified Finan Serv</t>
  </si>
  <si>
    <t>Electric</t>
  </si>
  <si>
    <t>Electrical Compo&amp;Equip</t>
  </si>
  <si>
    <t>Electronics</t>
  </si>
  <si>
    <t>Energy-Alternate Sources</t>
  </si>
  <si>
    <t>Engineering&amp;Construction</t>
  </si>
  <si>
    <t>Environmental Control</t>
  </si>
  <si>
    <t>Food</t>
  </si>
  <si>
    <t>Food Service</t>
  </si>
  <si>
    <t>Forest Products&amp;Paper</t>
  </si>
  <si>
    <t>Gas</t>
  </si>
  <si>
    <t>Hand/Machine Tools</t>
  </si>
  <si>
    <t>Healthcare-Products</t>
  </si>
  <si>
    <t>Healthcare-Services</t>
  </si>
  <si>
    <t>Holding Companies-Divers</t>
  </si>
  <si>
    <t>Home Builders</t>
  </si>
  <si>
    <t>Home Furnishings</t>
  </si>
  <si>
    <t>Household Products/Wares</t>
  </si>
  <si>
    <t>Housewares</t>
  </si>
  <si>
    <t>Insurance</t>
  </si>
  <si>
    <t>Internet</t>
  </si>
  <si>
    <t>Investment Companies</t>
  </si>
  <si>
    <t>Iron/Steel</t>
  </si>
  <si>
    <t>Leisure Time</t>
  </si>
  <si>
    <t>Lodging</t>
  </si>
  <si>
    <t>Machinery-Constr&amp;Mining</t>
  </si>
  <si>
    <t>Machinery-Diversified</t>
  </si>
  <si>
    <t>Media</t>
  </si>
  <si>
    <t>Metal Fabricate/Hardware</t>
  </si>
  <si>
    <t>Mining</t>
  </si>
  <si>
    <t>Miscellaneous Manufactur</t>
  </si>
  <si>
    <t>Office/Business Equip</t>
  </si>
  <si>
    <t>Oil&amp;Gas</t>
  </si>
  <si>
    <t>Oil&amp;Gas Services</t>
  </si>
  <si>
    <t>Packaging&amp;Containers</t>
  </si>
  <si>
    <t>Pharmaceuticals</t>
  </si>
  <si>
    <t>Pipelines</t>
  </si>
  <si>
    <t>Private Equity</t>
  </si>
  <si>
    <t>Real Estate</t>
  </si>
  <si>
    <t>REITS</t>
  </si>
  <si>
    <t>Retail</t>
  </si>
  <si>
    <t>Savings&amp;Loans</t>
  </si>
  <si>
    <t>Semiconductors</t>
  </si>
  <si>
    <t>Shipbuilding</t>
  </si>
  <si>
    <t>Storage/Warehousing</t>
  </si>
  <si>
    <t>Telecommunications</t>
  </si>
  <si>
    <t>Textiles</t>
  </si>
  <si>
    <t>Toys/Games/Hobbies</t>
  </si>
  <si>
    <t>Transportation</t>
  </si>
  <si>
    <t>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</si>
</sst>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2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\x"/>
    <numFmt numFmtId="166" formatCode="0.0%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[$-1009]mmm/yy;@"/>
    <numFmt numFmtId="294" formatCode="0.00\x"/>
    <numFmt numFmtId="295" formatCode="0.000"/>
    <numFmt numFmtId="296" formatCode="0\x"/>
    <numFmt numFmtId="297" formatCode="[$€-2]\ #,##0_);\([$€-2]\ #,##0\)"/>
    <numFmt numFmtId="298" formatCode="0.000%"/>
  </numFmts>
  <fonts count="27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i/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6" tint="-0.249977111117893"/>
      <name val="Calibri"/>
      <family val="2"/>
      <scheme val="minor"/>
    </font>
    <font>
      <sz val="11"/>
      <color rgb="FFC00000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386">
    <xf numFmtId="0" fontId="0" fillId="0" borderId="0"/>
    <xf numFmtId="0" fontId="10" fillId="4" borderId="0"/>
    <xf numFmtId="164" fontId="11" fillId="0" borderId="0" applyFont="0" applyFill="0" applyBorder="0" applyAlignment="0" applyProtection="0"/>
    <xf numFmtId="0" fontId="12" fillId="4" borderId="9">
      <alignment horizontal="right"/>
    </xf>
    <xf numFmtId="0" fontId="11" fillId="0" borderId="0"/>
    <xf numFmtId="0" fontId="13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0" fontId="11" fillId="0" borderId="0"/>
    <xf numFmtId="9" fontId="49" fillId="0" borderId="0">
      <alignment horizontal="right"/>
    </xf>
    <xf numFmtId="0" fontId="11" fillId="0" borderId="0"/>
    <xf numFmtId="0" fontId="46" fillId="0" borderId="0"/>
    <xf numFmtId="0" fontId="50" fillId="0" borderId="0"/>
    <xf numFmtId="3" fontId="11" fillId="0" borderId="0"/>
    <xf numFmtId="178" fontId="27" fillId="0" borderId="0"/>
    <xf numFmtId="179" fontId="51" fillId="0" borderId="0">
      <alignment horizontal="right"/>
    </xf>
    <xf numFmtId="0" fontId="11" fillId="0" borderId="0"/>
    <xf numFmtId="0" fontId="52" fillId="0" borderId="0"/>
    <xf numFmtId="0" fontId="11" fillId="0" borderId="0">
      <alignment vertical="top"/>
    </xf>
    <xf numFmtId="0" fontId="53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3" fillId="0" borderId="0" applyFont="0" applyFill="0" applyBorder="0" applyAlignment="0" applyProtection="0"/>
    <xf numFmtId="0" fontId="11" fillId="0" borderId="0"/>
    <xf numFmtId="181" fontId="47" fillId="0" borderId="0"/>
    <xf numFmtId="182" fontId="11" fillId="0" borderId="0" applyFont="0" applyFill="0" applyBorder="0" applyAlignment="0" applyProtection="0"/>
    <xf numFmtId="166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5" fontId="54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7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>
      <alignment vertical="top"/>
    </xf>
    <xf numFmtId="0" fontId="56" fillId="0" borderId="0" applyNumberFormat="0" applyFill="0" applyBorder="0" applyProtection="0">
      <alignment vertical="top"/>
    </xf>
    <xf numFmtId="0" fontId="34" fillId="0" borderId="40" applyNumberFormat="0" applyFill="0" applyAlignment="0" applyProtection="0"/>
    <xf numFmtId="0" fontId="34" fillId="0" borderId="41" applyNumberFormat="0" applyFill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41" applyNumberFormat="0" applyFill="0" applyAlignment="0" applyProtection="0"/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11" fillId="0" borderId="43" applyNumberFormat="0" applyFont="0" applyFill="0" applyAlignment="0" applyProtection="0"/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3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59" fillId="0" borderId="0"/>
    <xf numFmtId="0" fontId="60" fillId="0" borderId="0"/>
    <xf numFmtId="0" fontId="52" fillId="0" borderId="0"/>
    <xf numFmtId="208" fontId="34" fillId="0" borderId="0">
      <alignment horizontal="right" vertical="top"/>
    </xf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5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8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61" fillId="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11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2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61" fillId="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3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61" fillId="3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62" fillId="24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3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3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6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9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5" fillId="41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6" fillId="34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5" fillId="47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5" fillId="50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5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5" fillId="53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5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41" fontId="11" fillId="0" borderId="0"/>
    <xf numFmtId="209" fontId="29" fillId="24" borderId="44">
      <alignment horizontal="center"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210" fontId="68" fillId="9" borderId="45" applyProtection="0">
      <alignment vertical="center"/>
    </xf>
    <xf numFmtId="0" fontId="11" fillId="0" borderId="0">
      <alignment horizontal="center" wrapText="1"/>
      <protection locked="0"/>
    </xf>
    <xf numFmtId="0" fontId="46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" fontId="11" fillId="56" borderId="0"/>
    <xf numFmtId="0" fontId="69" fillId="0" borderId="46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41" fillId="8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3" fontId="72" fillId="57" borderId="0">
      <alignment horizontal="center" vertical="justify"/>
    </xf>
    <xf numFmtId="3" fontId="73" fillId="58" borderId="47">
      <alignment horizontal="center"/>
    </xf>
    <xf numFmtId="0" fontId="30" fillId="0" borderId="34" applyNumberFormat="0" applyFont="0" applyAlignment="0" applyProtection="0"/>
    <xf numFmtId="0" fontId="12" fillId="56" borderId="48">
      <alignment horizontal="center" vertical="center"/>
    </xf>
    <xf numFmtId="0" fontId="12" fillId="56" borderId="49">
      <alignment horizontal="center"/>
    </xf>
    <xf numFmtId="177" fontId="74" fillId="25" borderId="50">
      <alignment horizontal="center" vertical="center" wrapText="1"/>
    </xf>
    <xf numFmtId="0" fontId="75" fillId="0" borderId="0">
      <alignment vertical="center"/>
    </xf>
    <xf numFmtId="177" fontId="76" fillId="25" borderId="50">
      <alignment horizontal="left" vertical="center" wrapText="1"/>
    </xf>
    <xf numFmtId="0" fontId="77" fillId="25" borderId="0">
      <alignment horizontal="center"/>
    </xf>
    <xf numFmtId="177" fontId="78" fillId="25" borderId="50">
      <alignment horizontal="center" vertical="center" wrapTex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5" fontId="80" fillId="0" borderId="1" applyAlignment="0" applyProtection="0"/>
    <xf numFmtId="0" fontId="46" fillId="0" borderId="34" applyNumberFormat="0" applyFont="0" applyFill="0" applyAlignment="0" applyProtection="0"/>
    <xf numFmtId="0" fontId="46" fillId="0" borderId="51" applyNumberFormat="0" applyFont="0" applyFill="0" applyAlignment="0" applyProtection="0"/>
    <xf numFmtId="0" fontId="81" fillId="0" borderId="0" applyFont="0" applyFill="0" applyBorder="0" applyAlignment="0" applyProtection="0"/>
    <xf numFmtId="211" fontId="82" fillId="0" borderId="0" applyFill="0" applyBorder="0" applyAlignment="0"/>
    <xf numFmtId="211" fontId="82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Fill="0" applyBorder="0" applyAlignment="0"/>
    <xf numFmtId="214" fontId="31" fillId="0" borderId="0" applyFill="0" applyBorder="0" applyAlignment="0"/>
    <xf numFmtId="167" fontId="11" fillId="0" borderId="0" applyFill="0" applyBorder="0" applyAlignment="0"/>
    <xf numFmtId="215" fontId="31" fillId="0" borderId="0" applyFill="0" applyBorder="0" applyAlignment="0"/>
    <xf numFmtId="205" fontId="83" fillId="0" borderId="0" applyFill="0" applyBorder="0" applyAlignment="0"/>
    <xf numFmtId="216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84" fillId="0" borderId="52" applyNumberFormat="0" applyAlignment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45" fillId="59" borderId="27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6" fillId="25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6" fillId="25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6" fillId="25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6" fillId="25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5" fillId="9" borderId="53" applyNumberFormat="0" applyAlignment="0" applyProtection="0"/>
    <xf numFmtId="0" fontId="86" fillId="25" borderId="53" applyNumberFormat="0" applyAlignment="0" applyProtection="0"/>
    <xf numFmtId="0" fontId="39" fillId="0" borderId="0" applyNumberFormat="0" applyFill="0" applyBorder="0" applyAlignment="0"/>
    <xf numFmtId="37" fontId="87" fillId="60" borderId="0" applyNumberFormat="0" applyFont="0" applyBorder="0" applyAlignment="0">
      <alignment horizontal="center"/>
    </xf>
    <xf numFmtId="0" fontId="11" fillId="0" borderId="0"/>
    <xf numFmtId="220" fontId="28" fillId="0" borderId="0" applyFill="0" applyBorder="0" applyProtection="0">
      <alignment horizontal="center" vertical="center"/>
    </xf>
    <xf numFmtId="220" fontId="28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8" fillId="0" borderId="0" applyNumberFormat="0" applyFill="0" applyBorder="0" applyAlignment="0"/>
    <xf numFmtId="0" fontId="82" fillId="0" borderId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89" fillId="61" borderId="30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10" fillId="49" borderId="54" applyNumberFormat="0" applyAlignment="0" applyProtection="0"/>
    <xf numFmtId="0" fontId="90" fillId="0" borderId="0" applyNumberFormat="0" applyFill="0" applyBorder="0" applyAlignment="0" applyProtection="0">
      <alignment vertical="top"/>
    </xf>
    <xf numFmtId="41" fontId="12" fillId="62" borderId="0">
      <alignment horizontal="left"/>
    </xf>
    <xf numFmtId="41" fontId="91" fillId="62" borderId="0">
      <alignment horizontal="right"/>
    </xf>
    <xf numFmtId="41" fontId="92" fillId="9" borderId="0">
      <alignment horizontal="center"/>
    </xf>
    <xf numFmtId="0" fontId="93" fillId="63" borderId="0"/>
    <xf numFmtId="41" fontId="91" fillId="62" borderId="0">
      <alignment horizontal="right"/>
    </xf>
    <xf numFmtId="41" fontId="94" fillId="9" borderId="0">
      <alignment horizontal="left"/>
    </xf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17" fontId="11" fillId="0" borderId="0" applyFont="0" applyFill="0" applyBorder="0" applyAlignment="0" applyProtection="0"/>
    <xf numFmtId="218" fontId="31" fillId="0" borderId="0" applyFont="0" applyFill="0" applyBorder="0" applyAlignment="0" applyProtection="0"/>
    <xf numFmtId="38" fontId="95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29" fillId="0" borderId="0"/>
    <xf numFmtId="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6" fillId="0" borderId="0" applyNumberFormat="0" applyAlignment="0">
      <alignment horizontal="left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0" fontId="11" fillId="25" borderId="0">
      <protection hidden="1"/>
    </xf>
    <xf numFmtId="0" fontId="83" fillId="0" borderId="0" applyNumberFormat="0" applyAlignment="0"/>
    <xf numFmtId="6" fontId="60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1" fillId="0" borderId="0" applyFont="0" applyFill="0" applyBorder="0" applyAlignment="0" applyProtection="0"/>
    <xf numFmtId="203" fontId="47" fillId="0" borderId="0"/>
    <xf numFmtId="8" fontId="98" fillId="0" borderId="55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99" fillId="0" borderId="0" applyFont="0" applyFill="0" applyBorder="0" applyAlignment="0" applyProtection="0"/>
    <xf numFmtId="226" fontId="31" fillId="0" borderId="0" applyFont="0" applyFill="0" applyBorder="0" applyAlignment="0" applyProtection="0"/>
    <xf numFmtId="227" fontId="29" fillId="0" borderId="0"/>
    <xf numFmtId="49" fontId="100" fillId="64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1" fillId="0" borderId="0"/>
    <xf numFmtId="0" fontId="29" fillId="0" borderId="0" applyNumberFormat="0" applyFont="0" applyBorder="0" applyAlignment="0"/>
    <xf numFmtId="17" fontId="102" fillId="0" borderId="56">
      <alignment horizontal="center" vertical="center"/>
    </xf>
    <xf numFmtId="0" fontId="11" fillId="0" borderId="0" applyFont="0" applyFill="0" applyBorder="0" applyAlignment="0" applyProtection="0"/>
    <xf numFmtId="229" fontId="11" fillId="0" borderId="57" applyFont="0" applyFill="0" applyAlignment="0" applyProtection="0"/>
    <xf numFmtId="230" fontId="11" fillId="0" borderId="0" applyFont="0" applyFill="0" applyAlignment="0" applyProtection="0"/>
    <xf numFmtId="231" fontId="11" fillId="0" borderId="43"/>
    <xf numFmtId="0" fontId="46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17" fontId="82" fillId="0" borderId="0" applyFont="0" applyFill="0" applyBorder="0" applyAlignment="0" applyProtection="0"/>
    <xf numFmtId="14" fontId="82" fillId="0" borderId="0" applyFill="0" applyBorder="0" applyAlignment="0"/>
    <xf numFmtId="0" fontId="46" fillId="0" borderId="0" applyFont="0" applyFill="0" applyBorder="0" applyProtection="0">
      <alignment horizontal="right"/>
    </xf>
    <xf numFmtId="232" fontId="103" fillId="0" borderId="0" applyFill="0" applyBorder="0">
      <alignment horizontal="right"/>
    </xf>
    <xf numFmtId="0" fontId="79" fillId="0" borderId="58">
      <alignment horizontal="center" vertical="center"/>
    </xf>
    <xf numFmtId="0" fontId="79" fillId="0" borderId="58" applyBorder="0">
      <alignment horizontal="center" vertical="center"/>
    </xf>
    <xf numFmtId="0" fontId="104" fillId="0" borderId="0" applyNumberFormat="0" applyFont="0" applyFill="0" applyBorder="0" applyAlignment="0" applyProtection="0">
      <alignment horizontal="left"/>
    </xf>
    <xf numFmtId="0" fontId="11" fillId="0" borderId="0"/>
    <xf numFmtId="0" fontId="97" fillId="0" borderId="0">
      <protection hidden="1"/>
    </xf>
    <xf numFmtId="0" fontId="11" fillId="0" borderId="0">
      <protection hidden="1"/>
    </xf>
    <xf numFmtId="0" fontId="105" fillId="0" borderId="0">
      <protection hidden="1"/>
    </xf>
    <xf numFmtId="233" fontId="47" fillId="65" borderId="0">
      <alignment horizontal="right"/>
    </xf>
    <xf numFmtId="0" fontId="27" fillId="0" borderId="0"/>
    <xf numFmtId="234" fontId="11" fillId="0" borderId="59">
      <alignment vertical="center"/>
    </xf>
    <xf numFmtId="15" fontId="106" fillId="66" borderId="0" applyNumberFormat="0" applyFont="0" applyBorder="0" applyAlignment="0" applyProtection="0"/>
    <xf numFmtId="3" fontId="97" fillId="0" borderId="60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7" fillId="9" borderId="0"/>
    <xf numFmtId="176" fontId="103" fillId="9" borderId="0"/>
    <xf numFmtId="0" fontId="107" fillId="0" borderId="0"/>
    <xf numFmtId="237" fontId="11" fillId="0" borderId="0"/>
    <xf numFmtId="0" fontId="108" fillId="0" borderId="0"/>
    <xf numFmtId="238" fontId="11" fillId="0" borderId="0"/>
    <xf numFmtId="238" fontId="11" fillId="0" borderId="47"/>
    <xf numFmtId="238" fontId="11" fillId="0" borderId="2"/>
    <xf numFmtId="238" fontId="11" fillId="0" borderId="34"/>
    <xf numFmtId="238" fontId="11" fillId="0" borderId="1"/>
    <xf numFmtId="0" fontId="11" fillId="0" borderId="61"/>
    <xf numFmtId="0" fontId="11" fillId="0" borderId="62" applyNumberFormat="0" applyFont="0" applyFill="0" applyAlignment="0" applyProtection="0"/>
    <xf numFmtId="208" fontId="109" fillId="65" borderId="0">
      <alignment horizontal="right"/>
    </xf>
    <xf numFmtId="175" fontId="110" fillId="0" borderId="0" applyFill="0" applyBorder="0" applyAlignment="0" applyProtection="0"/>
    <xf numFmtId="0" fontId="11" fillId="28" borderId="47" applyNumberFormat="0" applyFont="0" applyAlignment="0" applyProtection="0">
      <alignment horizontal="center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NumberFormat="0" applyAlignment="0">
      <alignment horizontal="left"/>
    </xf>
    <xf numFmtId="0" fontId="112" fillId="0" borderId="0" applyNumberFormat="0" applyAlignment="0">
      <alignment horizontal="left"/>
    </xf>
    <xf numFmtId="0" fontId="113" fillId="0" borderId="0"/>
    <xf numFmtId="166" fontId="113" fillId="0" borderId="0"/>
    <xf numFmtId="186" fontId="113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79" fillId="0" borderId="33"/>
    <xf numFmtId="3" fontId="116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7" fillId="0" borderId="47" applyFont="0" applyFill="0" applyBorder="0" applyAlignment="0" applyProtection="0"/>
    <xf numFmtId="0" fontId="47" fillId="0" borderId="47" applyFont="0" applyFill="0" applyBorder="0" applyAlignment="0" applyProtection="0"/>
    <xf numFmtId="0" fontId="117" fillId="0" borderId="0" applyFill="0" applyBorder="0" applyProtection="0">
      <alignment horizontal="left"/>
    </xf>
    <xf numFmtId="0" fontId="100" fillId="67" borderId="0">
      <alignment horizontal="right" vertical="center"/>
    </xf>
    <xf numFmtId="0" fontId="118" fillId="0" borderId="0"/>
    <xf numFmtId="0" fontId="47" fillId="0" borderId="0">
      <protection hidden="1"/>
    </xf>
    <xf numFmtId="0" fontId="119" fillId="0" borderId="0" applyNumberFormat="0" applyFill="0" applyBorder="0" applyAlignment="0" applyProtection="0"/>
    <xf numFmtId="244" fontId="11" fillId="0" borderId="0" applyAlignment="0">
      <alignment horizontal="right"/>
    </xf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40" fillId="68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38" fontId="47" fillId="25" borderId="0" applyNumberFormat="0" applyBorder="0" applyAlignment="0" applyProtection="0"/>
    <xf numFmtId="0" fontId="121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2" fillId="0" borderId="0" applyProtection="0">
      <alignment horizontal="right"/>
    </xf>
    <xf numFmtId="210" fontId="123" fillId="0" borderId="63">
      <alignment vertical="center"/>
    </xf>
    <xf numFmtId="210" fontId="124" fillId="57" borderId="64">
      <alignment horizontal="left" vertical="center" indent="1"/>
    </xf>
    <xf numFmtId="0" fontId="30" fillId="0" borderId="65" applyNumberFormat="0" applyAlignment="0" applyProtection="0">
      <alignment horizontal="left" vertical="center"/>
    </xf>
    <xf numFmtId="0" fontId="30" fillId="0" borderId="36">
      <alignment horizontal="left" vertical="center"/>
    </xf>
    <xf numFmtId="0" fontId="123" fillId="0" borderId="66" applyNumberFormat="0" applyFill="0">
      <alignment horizontal="center" vertical="top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5" fillId="9" borderId="67" applyNumberFormat="0">
      <alignment horizontal="left" vertical="center" indent="1"/>
    </xf>
    <xf numFmtId="0" fontId="126" fillId="11" borderId="0" applyNumberFormat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9" fillId="0" borderId="69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9" fillId="0" borderId="69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9" fillId="0" borderId="69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9" fillId="0" borderId="69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2" fillId="0" borderId="71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2" fillId="0" borderId="71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2" fillId="0" borderId="71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2" fillId="0" borderId="71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5" fillId="0" borderId="73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5" fillId="0" borderId="73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5" fillId="0" borderId="73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5" fillId="0" borderId="73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7" fillId="0" borderId="0" applyNumberFormat="0">
      <protection locked="0"/>
    </xf>
    <xf numFmtId="186" fontId="47" fillId="0" borderId="33">
      <alignment horizontal="right" vertical="center"/>
    </xf>
    <xf numFmtId="245" fontId="29" fillId="0" borderId="0">
      <protection locked="0"/>
    </xf>
    <xf numFmtId="246" fontId="30" fillId="0" borderId="0"/>
    <xf numFmtId="245" fontId="29" fillId="0" borderId="0">
      <protection locked="0"/>
    </xf>
    <xf numFmtId="0" fontId="29" fillId="0" borderId="0"/>
    <xf numFmtId="0" fontId="11" fillId="0" borderId="34">
      <alignment horizontal="center"/>
    </xf>
    <xf numFmtId="0" fontId="138" fillId="0" borderId="34">
      <alignment horizontal="center"/>
    </xf>
    <xf numFmtId="0" fontId="11" fillId="0" borderId="0">
      <alignment horizontal="center"/>
    </xf>
    <xf numFmtId="0" fontId="138" fillId="0" borderId="0">
      <alignment horizontal="center"/>
    </xf>
    <xf numFmtId="0" fontId="139" fillId="0" borderId="0">
      <alignment vertical="center"/>
    </xf>
    <xf numFmtId="0" fontId="139" fillId="0" borderId="0"/>
    <xf numFmtId="0" fontId="97" fillId="0" borderId="0"/>
    <xf numFmtId="3" fontId="140" fillId="0" borderId="0">
      <protection hidden="1"/>
    </xf>
    <xf numFmtId="0" fontId="141" fillId="0" borderId="74" applyNumberFormat="0" applyFill="0" applyAlignment="0" applyProtection="0"/>
    <xf numFmtId="0" fontId="79" fillId="11" borderId="75">
      <alignment horizontal="left" vertical="center" wrapText="1"/>
    </xf>
    <xf numFmtId="0" fontId="36" fillId="0" borderId="76" applyNumberFormat="0" applyAlignment="0"/>
    <xf numFmtId="0" fontId="142" fillId="0" borderId="0"/>
    <xf numFmtId="9" fontId="143" fillId="0" borderId="46"/>
    <xf numFmtId="0" fontId="143" fillId="0" borderId="46"/>
    <xf numFmtId="10" fontId="143" fillId="0" borderId="46"/>
    <xf numFmtId="0" fontId="143" fillId="0" borderId="46"/>
    <xf numFmtId="4" fontId="143" fillId="0" borderId="46"/>
    <xf numFmtId="10" fontId="47" fillId="14" borderId="47" applyNumberFormat="0" applyBorder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43" fillId="22" borderId="27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144" fillId="22" borderId="53" applyNumberFormat="0" applyAlignment="0" applyProtection="0"/>
    <xf numFmtId="0" fontId="39" fillId="0" borderId="0" applyAlignment="0">
      <protection locked="0"/>
    </xf>
    <xf numFmtId="247" fontId="47" fillId="69" borderId="0"/>
    <xf numFmtId="14" fontId="145" fillId="0" borderId="0">
      <alignment horizontal="center"/>
      <protection locked="0"/>
    </xf>
    <xf numFmtId="8" fontId="47" fillId="0" borderId="0"/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11" fillId="11" borderId="0"/>
    <xf numFmtId="248" fontId="47" fillId="0" borderId="0"/>
    <xf numFmtId="249" fontId="47" fillId="0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/>
    <xf numFmtId="248" fontId="146" fillId="14" borderId="0" applyNumberFormat="0" applyBorder="0" applyAlignment="0">
      <protection locked="0"/>
    </xf>
    <xf numFmtId="250" fontId="49" fillId="14" borderId="77">
      <alignment horizontal="center"/>
      <protection locked="0"/>
    </xf>
    <xf numFmtId="37" fontId="49" fillId="14" borderId="77">
      <alignment horizontal="right"/>
      <protection locked="0"/>
    </xf>
    <xf numFmtId="9" fontId="147" fillId="14" borderId="77">
      <alignment horizontal="right"/>
      <protection locked="0"/>
    </xf>
    <xf numFmtId="37" fontId="68" fillId="0" borderId="77">
      <alignment horizontal="right"/>
    </xf>
    <xf numFmtId="166" fontId="47" fillId="0" borderId="77">
      <alignment horizontal="right"/>
    </xf>
    <xf numFmtId="0" fontId="148" fillId="0" borderId="0"/>
    <xf numFmtId="251" fontId="11" fillId="0" borderId="0">
      <alignment horizontal="right"/>
    </xf>
    <xf numFmtId="1" fontId="149" fillId="1" borderId="2">
      <protection locked="0"/>
    </xf>
    <xf numFmtId="248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41" fontId="12" fillId="62" borderId="0">
      <alignment horizontal="left"/>
    </xf>
    <xf numFmtId="41" fontId="152" fillId="9" borderId="0">
      <alignment horizontal="left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37" fontId="153" fillId="0" borderId="0" applyNumberFormat="0" applyFill="0" applyBorder="0" applyAlignment="0" applyProtection="0">
      <alignment horizontal="right"/>
    </xf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247" fontId="47" fillId="62" borderId="0"/>
    <xf numFmtId="0" fontId="100" fillId="57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7" fillId="0" borderId="0" applyFont="0" applyFill="0" applyBorder="0" applyAlignment="0" applyProtection="0"/>
    <xf numFmtId="255" fontId="47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7" fillId="0" borderId="0" applyFont="0" applyFill="0" applyBorder="0" applyAlignment="0" applyProtection="0"/>
    <xf numFmtId="248" fontId="47" fillId="0" borderId="0" applyFont="0" applyFill="0" applyBorder="0" applyAlignment="0" applyProtection="0"/>
    <xf numFmtId="0" fontId="11" fillId="0" borderId="0"/>
    <xf numFmtId="0" fontId="60" fillId="0" borderId="79" applyNumberFormat="0">
      <alignment horizontal="left"/>
    </xf>
    <xf numFmtId="0" fontId="156" fillId="0" borderId="0" applyFont="0" applyFill="0" applyBorder="0" applyProtection="0">
      <alignment horizontal="right"/>
    </xf>
    <xf numFmtId="49" fontId="157" fillId="64" borderId="0">
      <alignment horizontal="centerContinuous" vertical="center"/>
    </xf>
    <xf numFmtId="259" fontId="47" fillId="25" borderId="0" applyFont="0" applyBorder="0" applyAlignment="0" applyProtection="0">
      <alignment horizontal="right"/>
      <protection hidden="1"/>
    </xf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42" fillId="70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2" fillId="56" borderId="48">
      <alignment horizontal="center" wrapText="1"/>
    </xf>
    <xf numFmtId="0" fontId="39" fillId="0" borderId="0"/>
    <xf numFmtId="0" fontId="160" fillId="45" borderId="0"/>
    <xf numFmtId="0" fontId="12" fillId="71" borderId="0"/>
    <xf numFmtId="0" fontId="12" fillId="71" borderId="0"/>
    <xf numFmtId="0" fontId="161" fillId="0" borderId="0"/>
    <xf numFmtId="37" fontId="162" fillId="0" borderId="0"/>
    <xf numFmtId="260" fontId="11" fillId="0" borderId="0"/>
    <xf numFmtId="0" fontId="163" fillId="25" borderId="0">
      <alignment horizontal="left" indent="1"/>
    </xf>
    <xf numFmtId="0" fontId="50" fillId="0" borderId="0"/>
    <xf numFmtId="16" fontId="39" fillId="0" borderId="0"/>
    <xf numFmtId="14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7" fillId="0" borderId="47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4" fontId="68" fillId="9" borderId="41">
      <alignment horizontal="left" vertical="center" indent="2"/>
    </xf>
    <xf numFmtId="0" fontId="11" fillId="0" borderId="0"/>
    <xf numFmtId="0" fontId="11" fillId="0" borderId="0"/>
    <xf numFmtId="4" fontId="68" fillId="9" borderId="41">
      <alignment horizontal="left" vertical="center" indent="2"/>
    </xf>
    <xf numFmtId="0" fontId="11" fillId="0" borderId="0"/>
    <xf numFmtId="0" fontId="11" fillId="0" borderId="0"/>
    <xf numFmtId="4" fontId="68" fillId="9" borderId="41">
      <alignment horizontal="left" vertical="center" indent="2"/>
    </xf>
    <xf numFmtId="0" fontId="11" fillId="0" borderId="0"/>
    <xf numFmtId="4" fontId="68" fillId="9" borderId="41">
      <alignment horizontal="left" vertical="center" indent="2"/>
    </xf>
    <xf numFmtId="0" fontId="11" fillId="0" borderId="0"/>
    <xf numFmtId="4" fontId="68" fillId="9" borderId="41">
      <alignment horizontal="left" vertical="center" indent="2"/>
    </xf>
    <xf numFmtId="0" fontId="11" fillId="0" borderId="0"/>
    <xf numFmtId="4" fontId="68" fillId="9" borderId="41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4" fontId="68" fillId="9" borderId="41">
      <alignment horizontal="left" vertical="center" indent="2"/>
    </xf>
    <xf numFmtId="0" fontId="11" fillId="0" borderId="0"/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8" fillId="9" borderId="41">
      <alignment horizontal="left" vertical="center" indent="2"/>
    </xf>
    <xf numFmtId="0" fontId="32" fillId="0" borderId="0"/>
    <xf numFmtId="0" fontId="32" fillId="0" borderId="0"/>
    <xf numFmtId="4" fontId="68" fillId="9" borderId="41">
      <alignment horizontal="left" vertical="center" indent="2"/>
    </xf>
    <xf numFmtId="0" fontId="32" fillId="0" borderId="0"/>
    <xf numFmtId="0" fontId="32" fillId="0" borderId="0"/>
    <xf numFmtId="4" fontId="68" fillId="9" borderId="41">
      <alignment horizontal="left" vertical="center" indent="2"/>
    </xf>
    <xf numFmtId="0" fontId="11" fillId="0" borderId="0"/>
    <xf numFmtId="0" fontId="11" fillId="0" borderId="0"/>
    <xf numFmtId="4" fontId="68" fillId="9" borderId="41">
      <alignment horizontal="left" vertical="center" indent="2"/>
    </xf>
    <xf numFmtId="0" fontId="32" fillId="0" borderId="0"/>
    <xf numFmtId="0" fontId="32" fillId="0" borderId="0"/>
    <xf numFmtId="4" fontId="68" fillId="9" borderId="41">
      <alignment horizontal="left" vertical="center" indent="2"/>
    </xf>
    <xf numFmtId="0" fontId="11" fillId="0" borderId="0"/>
    <xf numFmtId="0" fontId="11" fillId="0" borderId="0"/>
    <xf numFmtId="4" fontId="68" fillId="9" borderId="41">
      <alignment horizontal="left" vertical="center" indent="2"/>
    </xf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4" fontId="68" fillId="9" borderId="41">
      <alignment horizontal="left" vertical="center" indent="2"/>
    </xf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4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47" fillId="0" borderId="0"/>
    <xf numFmtId="0" fontId="47" fillId="0" borderId="0"/>
    <xf numFmtId="0" fontId="32" fillId="0" borderId="0"/>
    <xf numFmtId="0" fontId="11" fillId="0" borderId="0">
      <alignment vertical="center"/>
    </xf>
    <xf numFmtId="0" fontId="11" fillId="0" borderId="0"/>
    <xf numFmtId="0" fontId="32" fillId="0" borderId="0"/>
    <xf numFmtId="0" fontId="32" fillId="0" borderId="0"/>
    <xf numFmtId="0" fontId="11" fillId="0" borderId="0" applyNumberFormat="0" applyFill="0" applyAlignment="0" applyProtection="0"/>
    <xf numFmtId="263" fontId="82" fillId="0" borderId="0" applyFont="0" applyFill="0" applyBorder="0" applyAlignment="0" applyProtection="0"/>
    <xf numFmtId="264" fontId="82" fillId="0" borderId="0" applyFont="0" applyFill="0" applyBorder="0" applyAlignment="0" applyProtection="0"/>
    <xf numFmtId="265" fontId="11" fillId="0" borderId="0" applyFont="0" applyFill="0" applyAlignment="0" applyProtection="0"/>
    <xf numFmtId="266" fontId="82" fillId="0" borderId="0" applyFont="0" applyFill="0" applyBorder="0" applyAlignment="0" applyProtection="0"/>
    <xf numFmtId="267" fontId="82" fillId="0" borderId="0" applyFont="0" applyFill="0" applyBorder="0" applyAlignment="0" applyProtection="0"/>
    <xf numFmtId="0" fontId="165" fillId="0" borderId="0"/>
    <xf numFmtId="0" fontId="29" fillId="25" borderId="36" applyNumberFormat="0" applyFont="0" applyFill="0">
      <alignment horizontal="center"/>
    </xf>
    <xf numFmtId="14" fontId="11" fillId="0" borderId="0">
      <alignment horizontal="center"/>
    </xf>
    <xf numFmtId="0" fontId="166" fillId="0" borderId="0"/>
    <xf numFmtId="0" fontId="167" fillId="0" borderId="0"/>
    <xf numFmtId="0" fontId="11" fillId="0" borderId="0">
      <alignment horizontal="left"/>
      <protection locked="0"/>
    </xf>
    <xf numFmtId="0" fontId="11" fillId="0" borderId="37">
      <protection locked="0"/>
    </xf>
    <xf numFmtId="0" fontId="11" fillId="0" borderId="1">
      <protection locked="0"/>
    </xf>
    <xf numFmtId="0" fontId="11" fillId="0" borderId="35">
      <protection locked="0"/>
    </xf>
    <xf numFmtId="0" fontId="11" fillId="0" borderId="33"/>
    <xf numFmtId="37" fontId="168" fillId="0" borderId="0" applyNumberFormat="0" applyFont="0" applyFill="0" applyBorder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61" fillId="14" borderId="31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11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11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11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32" fillId="14" borderId="80" applyNumberFormat="0" applyFont="0" applyAlignment="0" applyProtection="0"/>
    <xf numFmtId="0" fontId="32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32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32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11" fillId="14" borderId="80" applyNumberFormat="0" applyFont="0" applyAlignment="0" applyProtection="0"/>
    <xf numFmtId="0" fontId="169" fillId="0" borderId="81"/>
    <xf numFmtId="268" fontId="47" fillId="0" borderId="0" applyFont="0" applyFill="0" applyBorder="0" applyAlignment="0" applyProtection="0"/>
    <xf numFmtId="37" fontId="11" fillId="0" borderId="0"/>
    <xf numFmtId="269" fontId="170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1" fillId="0" borderId="0"/>
    <xf numFmtId="270" fontId="4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2" fillId="0" borderId="82">
      <alignment horizontal="center" vertical="top" wrapText="1"/>
      <protection locked="0"/>
    </xf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44" fillId="59" borderId="28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25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25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25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25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9" borderId="83" applyNumberFormat="0" applyAlignment="0" applyProtection="0"/>
    <xf numFmtId="0" fontId="173" fillId="25" borderId="83" applyNumberFormat="0" applyAlignment="0" applyProtection="0"/>
    <xf numFmtId="40" fontId="174" fillId="9" borderId="0">
      <alignment horizontal="right"/>
    </xf>
    <xf numFmtId="0" fontId="175" fillId="72" borderId="0">
      <alignment horizontal="center"/>
    </xf>
    <xf numFmtId="0" fontId="176" fillId="9" borderId="38"/>
    <xf numFmtId="0" fontId="177" fillId="9" borderId="0" applyBorder="0">
      <alignment horizontal="centerContinuous"/>
    </xf>
    <xf numFmtId="0" fontId="178" fillId="73" borderId="0" applyBorder="0">
      <alignment horizontal="centerContinuous"/>
    </xf>
    <xf numFmtId="3" fontId="29" fillId="19" borderId="47" applyNumberFormat="0" applyAlignment="0">
      <alignment horizontal="center"/>
      <protection locked="0"/>
    </xf>
    <xf numFmtId="0" fontId="179" fillId="0" borderId="0" applyFill="0" applyBorder="0" applyProtection="0">
      <alignment horizontal="left"/>
    </xf>
    <xf numFmtId="0" fontId="180" fillId="0" borderId="0" applyFill="0" applyBorder="0" applyProtection="0">
      <alignment horizontal="left"/>
    </xf>
    <xf numFmtId="1" fontId="181" fillId="0" borderId="0" applyProtection="0">
      <alignment horizontal="right" vertical="center"/>
    </xf>
    <xf numFmtId="0" fontId="182" fillId="9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6" fillId="0" borderId="0">
      <alignment horizontal="center" wrapText="1"/>
      <protection locked="0"/>
    </xf>
    <xf numFmtId="205" fontId="83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1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7" fillId="0" borderId="0"/>
    <xf numFmtId="275" fontId="52" fillId="0" borderId="0">
      <protection hidden="1"/>
    </xf>
    <xf numFmtId="3" fontId="9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6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7" fillId="0" borderId="0"/>
    <xf numFmtId="0" fontId="183" fillId="11" borderId="58">
      <alignment horizontal="center" vertical="center"/>
    </xf>
    <xf numFmtId="276" fontId="47" fillId="0" borderId="0" applyFont="0" applyFill="0" applyBorder="0" applyAlignment="0" applyProtection="0"/>
    <xf numFmtId="0" fontId="11" fillId="0" borderId="0">
      <protection locked="0"/>
    </xf>
    <xf numFmtId="0" fontId="184" fillId="0" borderId="0">
      <protection locked="0"/>
    </xf>
    <xf numFmtId="0" fontId="11" fillId="0" borderId="0">
      <protection locked="0"/>
    </xf>
    <xf numFmtId="0" fontId="29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85" fillId="0" borderId="0" applyNumberFormat="0" applyFill="0" applyBorder="0" applyAlignment="0" applyProtection="0"/>
    <xf numFmtId="5" fontId="186" fillId="0" borderId="0"/>
    <xf numFmtId="5" fontId="187" fillId="0" borderId="0"/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9" fontId="189" fillId="0" borderId="60"/>
    <xf numFmtId="9" fontId="189" fillId="0" borderId="60"/>
    <xf numFmtId="3" fontId="111" fillId="0" borderId="0">
      <protection locked="0"/>
    </xf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80" fillId="0" borderId="34">
      <alignment horizontal="center"/>
    </xf>
    <xf numFmtId="3" fontId="60" fillId="0" borderId="0" applyFont="0" applyFill="0" applyBorder="0" applyAlignment="0" applyProtection="0"/>
    <xf numFmtId="0" fontId="60" fillId="74" borderId="0" applyNumberFormat="0" applyFont="0" applyBorder="0" applyAlignment="0" applyProtection="0"/>
    <xf numFmtId="248" fontId="190" fillId="0" borderId="0" applyNumberFormat="0" applyFill="0" applyBorder="0" applyAlignment="0" applyProtection="0">
      <alignment horizontal="left"/>
    </xf>
    <xf numFmtId="0" fontId="38" fillId="0" borderId="39" applyNumberFormat="0" applyFill="0" applyBorder="0" applyAlignment="0" applyProtection="0">
      <alignment horizontal="center"/>
    </xf>
    <xf numFmtId="3" fontId="191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1" fillId="25" borderId="0"/>
    <xf numFmtId="0" fontId="192" fillId="75" borderId="0" applyNumberFormat="0" applyFont="0" applyBorder="0" applyAlignment="0">
      <alignment horizontal="center"/>
    </xf>
    <xf numFmtId="41" fontId="152" fillId="11" borderId="0">
      <alignment horizontal="center"/>
    </xf>
    <xf numFmtId="49" fontId="193" fillId="9" borderId="0">
      <alignment horizontal="center"/>
    </xf>
    <xf numFmtId="278" fontId="194" fillId="0" borderId="0" applyNumberFormat="0" applyFill="0" applyBorder="0" applyAlignment="0" applyProtection="0">
      <alignment horizontal="left"/>
    </xf>
    <xf numFmtId="278" fontId="195" fillId="0" borderId="0" applyNumberFormat="0" applyFill="0" applyBorder="0" applyAlignment="0" applyProtection="0">
      <alignment horizontal="left"/>
    </xf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37" fontId="29" fillId="49" borderId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41" fontId="91" fillId="62" borderId="0">
      <alignment horizontal="center"/>
    </xf>
    <xf numFmtId="41" fontId="91" fillId="62" borderId="0">
      <alignment horizontal="centerContinuous"/>
    </xf>
    <xf numFmtId="41" fontId="197" fillId="9" borderId="0">
      <alignment horizontal="left"/>
    </xf>
    <xf numFmtId="49" fontId="197" fillId="9" borderId="0">
      <alignment horizontal="center"/>
    </xf>
    <xf numFmtId="41" fontId="12" fillId="62" borderId="0">
      <alignment horizontal="left"/>
    </xf>
    <xf numFmtId="49" fontId="197" fillId="9" borderId="0">
      <alignment horizontal="left"/>
    </xf>
    <xf numFmtId="41" fontId="12" fillId="62" borderId="0">
      <alignment horizontal="centerContinuous"/>
    </xf>
    <xf numFmtId="41" fontId="12" fillId="62" borderId="0">
      <alignment horizontal="right"/>
    </xf>
    <xf numFmtId="49" fontId="152" fillId="9" borderId="0">
      <alignment horizontal="left"/>
    </xf>
    <xf numFmtId="5" fontId="11" fillId="0" borderId="0"/>
    <xf numFmtId="41" fontId="91" fillId="62" borderId="0">
      <alignment horizontal="right"/>
    </xf>
    <xf numFmtId="0" fontId="90" fillId="0" borderId="0" applyNumberFormat="0" applyFill="0" applyBorder="0" applyAlignment="0" applyProtection="0">
      <alignment vertical="top"/>
    </xf>
    <xf numFmtId="0" fontId="198" fillId="25" borderId="52" applyNumberFormat="0" applyAlignment="0">
      <protection locked="0"/>
    </xf>
    <xf numFmtId="0" fontId="199" fillId="0" borderId="84">
      <alignment vertical="center"/>
    </xf>
    <xf numFmtId="41" fontId="197" fillId="22" borderId="0">
      <alignment horizontal="center"/>
    </xf>
    <xf numFmtId="41" fontId="49" fillId="22" borderId="0">
      <alignment horizontal="center"/>
    </xf>
    <xf numFmtId="0" fontId="200" fillId="76" borderId="0"/>
    <xf numFmtId="0" fontId="201" fillId="58" borderId="0" applyNumberFormat="0" applyBorder="0" applyAlignment="0" applyProtection="0"/>
    <xf numFmtId="0" fontId="39" fillId="71" borderId="0" applyNumberFormat="0" applyFont="0" applyBorder="0" applyAlignment="0" applyProtection="0"/>
    <xf numFmtId="0" fontId="192" fillId="1" borderId="36" applyNumberFormat="0" applyFont="0" applyAlignment="0">
      <alignment horizontal="center"/>
    </xf>
    <xf numFmtId="1" fontId="11" fillId="0" borderId="0"/>
    <xf numFmtId="0" fontId="202" fillId="0" borderId="85">
      <alignment horizontal="center" vertical="center"/>
    </xf>
    <xf numFmtId="208" fontId="35" fillId="65" borderId="0">
      <alignment horizontal="right"/>
    </xf>
    <xf numFmtId="175" fontId="81" fillId="0" borderId="0" applyFill="0" applyBorder="0" applyAlignment="0" applyProtection="0"/>
    <xf numFmtId="0" fontId="100" fillId="64" borderId="0">
      <alignment horizontal="right" vertical="center"/>
    </xf>
    <xf numFmtId="0" fontId="101" fillId="0" borderId="0" applyNumberFormat="0" applyFill="0" applyBorder="0" applyAlignment="0">
      <alignment horizontal="center"/>
    </xf>
    <xf numFmtId="0" fontId="203" fillId="0" borderId="0"/>
    <xf numFmtId="174" fontId="170" fillId="0" borderId="0"/>
    <xf numFmtId="0" fontId="204" fillId="0" borderId="86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7" fillId="0" borderId="7" applyBorder="0"/>
    <xf numFmtId="37" fontId="47" fillId="0" borderId="7" applyBorder="0"/>
    <xf numFmtId="37" fontId="103" fillId="0" borderId="7" applyBorder="0"/>
    <xf numFmtId="37" fontId="11" fillId="0" borderId="7" applyBorder="0"/>
    <xf numFmtId="37" fontId="88" fillId="0" borderId="7" applyBorder="0"/>
    <xf numFmtId="37" fontId="205" fillId="72" borderId="87" applyBorder="0">
      <alignment vertical="center"/>
    </xf>
    <xf numFmtId="0" fontId="206" fillId="0" borderId="0"/>
    <xf numFmtId="0" fontId="29" fillId="0" borderId="0"/>
    <xf numFmtId="40" fontId="207" fillId="0" borderId="0" applyBorder="0">
      <alignment horizontal="right"/>
    </xf>
    <xf numFmtId="40" fontId="208" fillId="0" borderId="0" applyBorder="0">
      <alignment horizontal="right"/>
    </xf>
    <xf numFmtId="0" fontId="29" fillId="0" borderId="0" applyNumberFormat="0" applyFont="0"/>
    <xf numFmtId="0" fontId="139" fillId="0" borderId="0"/>
    <xf numFmtId="0" fontId="209" fillId="0" borderId="0"/>
    <xf numFmtId="0" fontId="28" fillId="0" borderId="0" applyFill="0" applyBorder="0" applyProtection="0">
      <alignment horizontal="center" vertical="center"/>
    </xf>
    <xf numFmtId="0" fontId="210" fillId="0" borderId="0" applyBorder="0" applyProtection="0">
      <alignment vertical="center"/>
    </xf>
    <xf numFmtId="0" fontId="11" fillId="0" borderId="33" applyBorder="0" applyProtection="0">
      <alignment horizontal="right" vertical="center"/>
    </xf>
    <xf numFmtId="0" fontId="211" fillId="77" borderId="0" applyBorder="0" applyProtection="0">
      <alignment horizontal="centerContinuous" vertical="center"/>
    </xf>
    <xf numFmtId="0" fontId="211" fillId="57" borderId="33" applyBorder="0" applyProtection="0">
      <alignment horizontal="centerContinuous" vertical="center"/>
    </xf>
    <xf numFmtId="0" fontId="212" fillId="0" borderId="0"/>
    <xf numFmtId="0" fontId="28" fillId="0" borderId="0" applyFill="0" applyBorder="0" applyProtection="0"/>
    <xf numFmtId="0" fontId="166" fillId="0" borderId="0"/>
    <xf numFmtId="0" fontId="29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38" fillId="0" borderId="0">
      <alignment horizontal="centerContinuous"/>
    </xf>
    <xf numFmtId="2" fontId="97" fillId="0" borderId="0"/>
    <xf numFmtId="0" fontId="11" fillId="0" borderId="0" applyNumberFormat="0" applyFont="0" applyAlignment="0" applyProtection="0"/>
    <xf numFmtId="0" fontId="11" fillId="0" borderId="0"/>
    <xf numFmtId="279" fontId="11" fillId="0" borderId="47" applyFont="0" applyFill="0" applyBorder="0" applyAlignment="0" applyProtection="0">
      <protection locked="0" hidden="1"/>
    </xf>
    <xf numFmtId="0" fontId="79" fillId="0" borderId="75">
      <alignment horizontal="left" vertical="top" wrapText="1"/>
    </xf>
    <xf numFmtId="0" fontId="213" fillId="49" borderId="0">
      <alignment horizontal="left" vertical="center" indent="1"/>
    </xf>
    <xf numFmtId="0" fontId="214" fillId="0" borderId="0"/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5" fillId="0" borderId="0"/>
    <xf numFmtId="49" fontId="82" fillId="0" borderId="0" applyFill="0" applyBorder="0" applyAlignment="0"/>
    <xf numFmtId="239" fontId="60" fillId="0" borderId="0" applyFill="0" applyBorder="0" applyAlignment="0"/>
    <xf numFmtId="280" fontId="31" fillId="0" borderId="0" applyFill="0" applyBorder="0" applyAlignment="0"/>
    <xf numFmtId="281" fontId="11" fillId="0" borderId="0" applyFill="0" applyBorder="0" applyAlignment="0"/>
    <xf numFmtId="282" fontId="31" fillId="0" borderId="0" applyFill="0" applyBorder="0" applyAlignment="0"/>
    <xf numFmtId="0" fontId="103" fillId="65" borderId="0"/>
    <xf numFmtId="0" fontId="47" fillId="65" borderId="0">
      <alignment horizontal="left"/>
    </xf>
    <xf numFmtId="0" fontId="47" fillId="65" borderId="0">
      <alignment horizontal="left" indent="1"/>
    </xf>
    <xf numFmtId="0" fontId="47" fillId="65" borderId="0">
      <alignment horizontal="left" vertical="center" indent="2"/>
    </xf>
    <xf numFmtId="0" fontId="27" fillId="0" borderId="0">
      <alignment horizontal="centerContinuous" wrapText="1"/>
    </xf>
    <xf numFmtId="0" fontId="105" fillId="0" borderId="0" applyNumberFormat="0" applyFont="0" applyFill="0" applyBorder="0" applyProtection="0">
      <alignment wrapText="1"/>
    </xf>
    <xf numFmtId="0" fontId="92" fillId="0" borderId="0">
      <alignment vertical="top"/>
    </xf>
    <xf numFmtId="0" fontId="216" fillId="0" borderId="0"/>
    <xf numFmtId="0" fontId="197" fillId="0" borderId="0">
      <alignment vertical="top"/>
    </xf>
    <xf numFmtId="283" fontId="217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22" fillId="0" borderId="0">
      <alignment vertical="top"/>
    </xf>
    <xf numFmtId="0" fontId="79" fillId="22" borderId="75">
      <alignment horizontal="center" wrapText="1"/>
    </xf>
    <xf numFmtId="0" fontId="79" fillId="22" borderId="75">
      <alignment horizontal="left" vertical="top" wrapText="1"/>
    </xf>
    <xf numFmtId="0" fontId="79" fillId="14" borderId="85">
      <alignment horizontal="left" vertical="center" wrapText="1" indent="1"/>
    </xf>
    <xf numFmtId="0" fontId="223" fillId="0" borderId="0">
      <alignment horizontal="right"/>
    </xf>
    <xf numFmtId="0" fontId="36" fillId="0" borderId="0" applyNumberFormat="0" applyBorder="0" applyAlignment="0"/>
    <xf numFmtId="285" fontId="11" fillId="0" borderId="1" applyNumberFormat="0" applyFont="0" applyFill="0" applyAlignment="0" applyProtection="0"/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79" fillId="14" borderId="75">
      <alignment horizontal="center" vertical="center" wrapText="1"/>
    </xf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224" fillId="0" borderId="32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90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90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90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90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15" fontId="225" fillId="22" borderId="91">
      <alignment horizontal="center" vertical="center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79" fillId="11" borderId="75">
      <alignment horizontal="center" vertical="center" wrapText="1"/>
    </xf>
    <xf numFmtId="0" fontId="226" fillId="0" borderId="0">
      <alignment horizontal="centerContinuous"/>
    </xf>
    <xf numFmtId="0" fontId="11" fillId="0" borderId="33"/>
    <xf numFmtId="37" fontId="47" fillId="11" borderId="0" applyNumberFormat="0" applyBorder="0" applyAlignment="0" applyProtection="0"/>
    <xf numFmtId="37" fontId="47" fillId="0" borderId="0"/>
    <xf numFmtId="37" fontId="227" fillId="11" borderId="0" applyNumberFormat="0" applyBorder="0" applyAlignment="0" applyProtection="0"/>
    <xf numFmtId="3" fontId="49" fillId="0" borderId="74" applyProtection="0"/>
    <xf numFmtId="41" fontId="228" fillId="9" borderId="0">
      <alignment horizontal="center"/>
    </xf>
    <xf numFmtId="0" fontId="83" fillId="0" borderId="92"/>
    <xf numFmtId="278" fontId="47" fillId="0" borderId="0">
      <alignment horizontal="center"/>
    </xf>
    <xf numFmtId="250" fontId="47" fillId="0" borderId="77">
      <alignment horizontal="center"/>
    </xf>
    <xf numFmtId="37" fontId="47" fillId="0" borderId="77">
      <alignment horizontal="right"/>
    </xf>
    <xf numFmtId="9" fontId="68" fillId="0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37" fontId="68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166" fontId="47" fillId="25" borderId="77">
      <alignment horizontal="right"/>
    </xf>
    <xf numFmtId="41" fontId="229" fillId="0" borderId="0" applyNumberFormat="0" applyAlignment="0">
      <alignment horizontal="right"/>
    </xf>
    <xf numFmtId="37" fontId="103" fillId="25" borderId="77">
      <alignment horizontal="right"/>
    </xf>
    <xf numFmtId="37" fontId="230" fillId="25" borderId="77">
      <alignment horizontal="right"/>
    </xf>
    <xf numFmtId="37" fontId="47" fillId="25" borderId="77">
      <alignment horizontal="right"/>
    </xf>
    <xf numFmtId="9" fontId="68" fillId="25" borderId="77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1" fillId="0" borderId="0">
      <protection hidden="1"/>
    </xf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37" fontId="47" fillId="0" borderId="0" applyNumberFormat="0" applyFont="0" applyFill="0" applyBorder="0" applyAlignment="0" applyProtection="0"/>
    <xf numFmtId="10" fontId="11" fillId="28" borderId="47" applyNumberFormat="0" applyFont="0" applyBorder="0" applyAlignment="0" applyProtection="0">
      <protection locked="0"/>
    </xf>
    <xf numFmtId="195" fontId="27" fillId="0" borderId="0"/>
    <xf numFmtId="0" fontId="46" fillId="0" borderId="0" applyFont="0" applyFill="0" applyBorder="0" applyProtection="0">
      <alignment horizontal="right"/>
    </xf>
    <xf numFmtId="0" fontId="47" fillId="11" borderId="0"/>
    <xf numFmtId="175" fontId="8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4" fillId="0" borderId="0" applyFont="0" applyFill="0" applyBorder="0" applyAlignment="0" applyProtection="0"/>
    <xf numFmtId="0" fontId="235" fillId="0" borderId="0"/>
    <xf numFmtId="0" fontId="63" fillId="0" borderId="0"/>
    <xf numFmtId="0" fontId="236" fillId="11" borderId="0" applyNumberFormat="0" applyBorder="0" applyAlignment="0" applyProtection="0">
      <alignment vertical="center"/>
    </xf>
    <xf numFmtId="0" fontId="237" fillId="14" borderId="80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8" fillId="0" borderId="90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4" fillId="0" borderId="0" applyFont="0" applyFill="0" applyBorder="0" applyAlignment="0" applyProtection="0"/>
    <xf numFmtId="290" fontId="234" fillId="0" borderId="0" applyFont="0" applyFill="0" applyBorder="0" applyAlignment="0" applyProtection="0"/>
    <xf numFmtId="0" fontId="239" fillId="16" borderId="0" applyNumberFormat="0" applyBorder="0" applyAlignment="0" applyProtection="0">
      <alignment vertical="center"/>
    </xf>
    <xf numFmtId="0" fontId="240" fillId="0" borderId="0"/>
    <xf numFmtId="0" fontId="241" fillId="10" borderId="0" applyNumberFormat="0" applyBorder="0" applyAlignment="0" applyProtection="0">
      <alignment vertical="center"/>
    </xf>
    <xf numFmtId="0" fontId="242" fillId="10" borderId="0" applyNumberFormat="0" applyBorder="0" applyAlignment="0" applyProtection="0">
      <alignment vertical="center"/>
    </xf>
    <xf numFmtId="0" fontId="243" fillId="16" borderId="0" applyNumberFormat="0" applyBorder="0" applyAlignment="0" applyProtection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6" fillId="48" borderId="0" applyNumberFormat="0" applyBorder="0" applyAlignment="0" applyProtection="0">
      <alignment vertical="center"/>
    </xf>
    <xf numFmtId="0" fontId="66" fillId="51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244" fillId="0" borderId="0" applyNumberFormat="0" applyFill="0" applyBorder="0" applyAlignment="0" applyProtection="0">
      <alignment vertical="center"/>
    </xf>
    <xf numFmtId="0" fontId="245" fillId="0" borderId="69" applyNumberFormat="0" applyFill="0" applyAlignment="0" applyProtection="0">
      <alignment vertical="center"/>
    </xf>
    <xf numFmtId="0" fontId="246" fillId="0" borderId="71" applyNumberFormat="0" applyFill="0" applyAlignment="0" applyProtection="0">
      <alignment vertical="center"/>
    </xf>
    <xf numFmtId="0" fontId="247" fillId="0" borderId="73" applyNumberFormat="0" applyFill="0" applyAlignment="0" applyProtection="0">
      <alignment vertical="center"/>
    </xf>
    <xf numFmtId="0" fontId="247" fillId="0" borderId="0" applyNumberFormat="0" applyFill="0" applyBorder="0" applyAlignment="0" applyProtection="0">
      <alignment vertical="center"/>
    </xf>
    <xf numFmtId="0" fontId="248" fillId="49" borderId="54" applyNumberFormat="0" applyAlignment="0" applyProtection="0">
      <alignment vertical="center"/>
    </xf>
    <xf numFmtId="0" fontId="249" fillId="0" borderId="0" applyNumberFormat="0" applyFill="0" applyBorder="0" applyAlignment="0" applyProtection="0">
      <alignment vertical="center"/>
    </xf>
    <xf numFmtId="0" fontId="250" fillId="0" borderId="69" applyNumberFormat="0" applyFill="0" applyAlignment="0" applyProtection="0">
      <alignment vertical="center"/>
    </xf>
    <xf numFmtId="0" fontId="251" fillId="0" borderId="71" applyNumberFormat="0" applyFill="0" applyAlignment="0" applyProtection="0">
      <alignment vertical="center"/>
    </xf>
    <xf numFmtId="0" fontId="252" fillId="0" borderId="73" applyNumberFormat="0" applyFill="0" applyAlignment="0" applyProtection="0">
      <alignment vertical="center"/>
    </xf>
    <xf numFmtId="0" fontId="252" fillId="0" borderId="0" applyNumberFormat="0" applyFill="0" applyBorder="0" applyAlignment="0" applyProtection="0">
      <alignment vertical="center"/>
    </xf>
    <xf numFmtId="0" fontId="253" fillId="49" borderId="54" applyNumberFormat="0" applyAlignment="0" applyProtection="0">
      <alignment vertical="center"/>
    </xf>
    <xf numFmtId="0" fontId="254" fillId="0" borderId="90" applyNumberFormat="0" applyFill="0" applyAlignment="0" applyProtection="0">
      <alignment vertical="center"/>
    </xf>
    <xf numFmtId="0" fontId="11" fillId="14" borderId="80" applyNumberFormat="0" applyFont="0" applyAlignment="0" applyProtection="0">
      <alignment vertical="center"/>
    </xf>
    <xf numFmtId="0" fontId="255" fillId="0" borderId="0" applyNumberFormat="0" applyFill="0" applyBorder="0" applyAlignment="0" applyProtection="0">
      <alignment vertical="center"/>
    </xf>
    <xf numFmtId="0" fontId="256" fillId="25" borderId="53" applyNumberFormat="0" applyAlignment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25" borderId="53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7" fillId="45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261" fillId="22" borderId="53" applyNumberFormat="0" applyAlignment="0" applyProtection="0">
      <alignment vertical="center"/>
    </xf>
    <xf numFmtId="0" fontId="262" fillId="25" borderId="83" applyNumberFormat="0" applyAlignment="0" applyProtection="0">
      <alignment vertical="center"/>
    </xf>
    <xf numFmtId="0" fontId="263" fillId="22" borderId="53" applyNumberFormat="0" applyAlignment="0" applyProtection="0">
      <alignment vertical="center"/>
    </xf>
    <xf numFmtId="0" fontId="264" fillId="25" borderId="83" applyNumberFormat="0" applyAlignment="0" applyProtection="0">
      <alignment vertical="center"/>
    </xf>
    <xf numFmtId="0" fontId="265" fillId="11" borderId="0" applyNumberFormat="0" applyBorder="0" applyAlignment="0" applyProtection="0">
      <alignment vertical="center"/>
    </xf>
    <xf numFmtId="0" fontId="266" fillId="0" borderId="78" applyNumberFormat="0" applyFill="0" applyAlignment="0" applyProtection="0">
      <alignment vertical="center"/>
    </xf>
    <xf numFmtId="0" fontId="267" fillId="0" borderId="78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7" borderId="0" applyNumberFormat="0" applyBorder="0" applyAlignment="0" applyProtection="0"/>
    <xf numFmtId="0" fontId="61" fillId="21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5" fillId="33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9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41" fillId="8" borderId="0" applyNumberFormat="0" applyBorder="0" applyAlignment="0" applyProtection="0"/>
    <xf numFmtId="0" fontId="45" fillId="59" borderId="27" applyNumberFormat="0" applyAlignment="0" applyProtection="0"/>
    <xf numFmtId="0" fontId="89" fillId="61" borderId="30" applyNumberFormat="0" applyAlignment="0" applyProtection="0"/>
    <xf numFmtId="0" fontId="268" fillId="0" borderId="0" applyNumberFormat="0" applyFill="0" applyBorder="0" applyAlignment="0" applyProtection="0"/>
    <xf numFmtId="0" fontId="40" fillId="68" borderId="0" applyNumberFormat="0" applyBorder="0" applyAlignment="0" applyProtection="0"/>
    <xf numFmtId="0" fontId="269" fillId="0" borderId="24" applyNumberFormat="0" applyFill="0" applyAlignment="0" applyProtection="0"/>
    <xf numFmtId="0" fontId="270" fillId="0" borderId="25" applyNumberFormat="0" applyFill="0" applyAlignment="0" applyProtection="0"/>
    <xf numFmtId="0" fontId="271" fillId="0" borderId="26" applyNumberFormat="0" applyFill="0" applyAlignment="0" applyProtection="0"/>
    <xf numFmtId="0" fontId="271" fillId="0" borderId="0" applyNumberFormat="0" applyFill="0" applyBorder="0" applyAlignment="0" applyProtection="0"/>
    <xf numFmtId="0" fontId="43" fillId="22" borderId="27" applyNumberFormat="0" applyAlignment="0" applyProtection="0"/>
    <xf numFmtId="0" fontId="272" fillId="0" borderId="29" applyNumberFormat="0" applyFill="0" applyAlignment="0" applyProtection="0"/>
    <xf numFmtId="0" fontId="42" fillId="70" borderId="0" applyNumberFormat="0" applyBorder="0" applyAlignment="0" applyProtection="0"/>
    <xf numFmtId="0" fontId="61" fillId="14" borderId="31" applyNumberFormat="0" applyFont="0" applyAlignment="0" applyProtection="0"/>
    <xf numFmtId="0" fontId="44" fillId="59" borderId="28" applyNumberFormat="0" applyAlignment="0" applyProtection="0"/>
    <xf numFmtId="0" fontId="220" fillId="0" borderId="0" applyNumberFormat="0" applyFill="0" applyBorder="0" applyAlignment="0" applyProtection="0"/>
    <xf numFmtId="0" fontId="224" fillId="0" borderId="32" applyNumberFormat="0" applyFill="0" applyAlignment="0" applyProtection="0"/>
    <xf numFmtId="0" fontId="233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3" fillId="25" borderId="80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34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7" fontId="0" fillId="0" borderId="1" xfId="0" applyNumberFormat="1" applyBorder="1"/>
    <xf numFmtId="166" fontId="0" fillId="0" borderId="0" xfId="0" applyNumberFormat="1"/>
    <xf numFmtId="0" fontId="8" fillId="0" borderId="0" xfId="0" applyFont="1"/>
    <xf numFmtId="0" fontId="3" fillId="3" borderId="0" xfId="0" applyFont="1" applyFill="1"/>
    <xf numFmtId="10" fontId="4" fillId="0" borderId="0" xfId="0" applyNumberFormat="1" applyFont="1"/>
    <xf numFmtId="166" fontId="0" fillId="0" borderId="0" xfId="0" applyNumberFormat="1" applyFont="1"/>
    <xf numFmtId="166" fontId="6" fillId="2" borderId="2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6" xfId="0" applyNumberFormat="1" applyFon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0" fontId="0" fillId="0" borderId="0" xfId="0" applyBorder="1"/>
    <xf numFmtId="10" fontId="5" fillId="0" borderId="8" xfId="0" applyNumberFormat="1" applyFont="1" applyBorder="1" applyAlignment="1">
      <alignment horizontal="center"/>
    </xf>
    <xf numFmtId="168" fontId="0" fillId="0" borderId="0" xfId="0" applyNumberFormat="1" applyFont="1"/>
    <xf numFmtId="10" fontId="5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Fill="1"/>
    <xf numFmtId="168" fontId="0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6" fillId="0" borderId="0" xfId="0" applyFont="1"/>
    <xf numFmtId="3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170" fontId="0" fillId="0" borderId="0" xfId="0" applyNumberFormat="1" applyFont="1" applyAlignment="1">
      <alignment horizontal="left"/>
    </xf>
    <xf numFmtId="9" fontId="5" fillId="0" borderId="8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10" fontId="5" fillId="0" borderId="0" xfId="0" applyNumberFormat="1" applyFont="1"/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2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0" fontId="1" fillId="5" borderId="0" xfId="0" applyFont="1" applyFill="1"/>
    <xf numFmtId="0" fontId="3" fillId="5" borderId="0" xfId="0" applyFont="1" applyFill="1"/>
    <xf numFmtId="0" fontId="7" fillId="6" borderId="0" xfId="0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0" fontId="15" fillId="0" borderId="0" xfId="0" applyFont="1"/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3" fontId="18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Border="1"/>
    <xf numFmtId="3" fontId="0" fillId="0" borderId="0" xfId="0" applyNumberFormat="1" applyFont="1"/>
    <xf numFmtId="9" fontId="0" fillId="0" borderId="0" xfId="0" applyNumberFormat="1" applyAlignment="1">
      <alignment horizontal="right"/>
    </xf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166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3" fontId="5" fillId="0" borderId="0" xfId="0" applyNumberFormat="1" applyFont="1" applyFill="1"/>
    <xf numFmtId="3" fontId="0" fillId="0" borderId="0" xfId="0" applyNumberFormat="1" applyFill="1"/>
    <xf numFmtId="3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174" fontId="0" fillId="0" borderId="0" xfId="0" applyNumberFormat="1"/>
    <xf numFmtId="0" fontId="19" fillId="0" borderId="0" xfId="0" applyFont="1" applyBorder="1"/>
    <xf numFmtId="3" fontId="19" fillId="0" borderId="0" xfId="0" applyNumberFormat="1" applyFont="1"/>
    <xf numFmtId="0" fontId="19" fillId="0" borderId="0" xfId="0" applyFont="1"/>
    <xf numFmtId="3" fontId="18" fillId="0" borderId="0" xfId="0" applyNumberFormat="1" applyFont="1" applyFill="1"/>
    <xf numFmtId="2" fontId="0" fillId="0" borderId="0" xfId="0" applyNumberFormat="1" applyAlignment="1">
      <alignment horizontal="right"/>
    </xf>
    <xf numFmtId="3" fontId="9" fillId="0" borderId="0" xfId="0" applyNumberFormat="1" applyFont="1"/>
    <xf numFmtId="3" fontId="17" fillId="0" borderId="0" xfId="0" applyNumberFormat="1" applyFont="1" applyBorder="1" applyAlignment="1">
      <alignment horizontal="right"/>
    </xf>
    <xf numFmtId="174" fontId="4" fillId="0" borderId="0" xfId="0" applyNumberFormat="1" applyFont="1"/>
    <xf numFmtId="166" fontId="0" fillId="0" borderId="0" xfId="0" applyNumberFormat="1" applyFill="1"/>
    <xf numFmtId="3" fontId="2" fillId="0" borderId="1" xfId="0" applyNumberFormat="1" applyFont="1" applyFill="1" applyBorder="1"/>
    <xf numFmtId="3" fontId="9" fillId="0" borderId="1" xfId="0" applyNumberFormat="1" applyFont="1" applyFill="1" applyBorder="1"/>
    <xf numFmtId="0" fontId="0" fillId="6" borderId="0" xfId="0" applyFill="1"/>
    <xf numFmtId="0" fontId="2" fillId="6" borderId="0" xfId="0" applyFont="1" applyFill="1"/>
    <xf numFmtId="0" fontId="1" fillId="5" borderId="0" xfId="0" quotePrefix="1" applyFont="1" applyFill="1" applyAlignment="1">
      <alignment horizontal="center"/>
    </xf>
    <xf numFmtId="4" fontId="3" fillId="5" borderId="0" xfId="0" applyNumberFormat="1" applyFont="1" applyFill="1"/>
    <xf numFmtId="0" fontId="22" fillId="5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left" indent="1"/>
    </xf>
    <xf numFmtId="0" fontId="25" fillId="0" borderId="0" xfId="0" applyFont="1"/>
    <xf numFmtId="4" fontId="0" fillId="0" borderId="0" xfId="0" applyNumberFormat="1" applyFill="1" applyBorder="1"/>
    <xf numFmtId="0" fontId="8" fillId="0" borderId="0" xfId="0" applyFont="1" applyFill="1" applyBorder="1"/>
    <xf numFmtId="3" fontId="0" fillId="0" borderId="0" xfId="0" applyNumberFormat="1" applyFill="1" applyBorder="1"/>
    <xf numFmtId="166" fontId="8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2" borderId="10" xfId="0" applyFill="1" applyBorder="1" applyAlignment="1">
      <alignment horizontal="center"/>
    </xf>
    <xf numFmtId="9" fontId="0" fillId="2" borderId="11" xfId="0" applyNumberFormat="1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3" fontId="0" fillId="2" borderId="14" xfId="0" applyNumberFormat="1" applyFill="1" applyBorder="1"/>
    <xf numFmtId="3" fontId="0" fillId="0" borderId="13" xfId="0" applyNumberFormat="1" applyBorder="1"/>
    <xf numFmtId="3" fontId="0" fillId="2" borderId="16" xfId="0" applyNumberFormat="1" applyFill="1" applyBorder="1"/>
    <xf numFmtId="3" fontId="0" fillId="2" borderId="15" xfId="0" applyNumberFormat="1" applyFill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3" fontId="0" fillId="0" borderId="19" xfId="0" applyNumberFormat="1" applyBorder="1"/>
    <xf numFmtId="0" fontId="0" fillId="0" borderId="17" xfId="0" applyBorder="1" applyAlignment="1">
      <alignment horizontal="right"/>
    </xf>
    <xf numFmtId="0" fontId="0" fillId="0" borderId="15" xfId="0" applyBorder="1" applyAlignment="1">
      <alignment horizontal="right"/>
    </xf>
    <xf numFmtId="3" fontId="0" fillId="2" borderId="23" xfId="0" applyNumberFormat="1" applyFill="1" applyBorder="1"/>
    <xf numFmtId="171" fontId="2" fillId="7" borderId="2" xfId="0" applyNumberFormat="1" applyFont="1" applyFill="1" applyBorder="1" applyAlignment="1">
      <alignment horizontal="center"/>
    </xf>
    <xf numFmtId="171" fontId="2" fillId="7" borderId="4" xfId="0" applyNumberFormat="1" applyFont="1" applyFill="1" applyBorder="1"/>
    <xf numFmtId="0" fontId="2" fillId="7" borderId="3" xfId="0" applyFont="1" applyFill="1" applyBorder="1"/>
    <xf numFmtId="165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right"/>
    </xf>
    <xf numFmtId="3" fontId="26" fillId="0" borderId="0" xfId="0" applyNumberFormat="1" applyFont="1" applyFill="1" applyBorder="1"/>
    <xf numFmtId="0" fontId="21" fillId="0" borderId="0" xfId="0" applyFont="1" applyAlignment="1">
      <alignment horizontal="center"/>
    </xf>
    <xf numFmtId="0" fontId="14" fillId="0" borderId="0" xfId="0" applyFont="1" applyFill="1"/>
    <xf numFmtId="0" fontId="1" fillId="0" borderId="0" xfId="0" applyFont="1" applyFill="1"/>
    <xf numFmtId="0" fontId="17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 indent="1"/>
    </xf>
    <xf numFmtId="0" fontId="19" fillId="0" borderId="0" xfId="0" applyFont="1" applyFill="1"/>
    <xf numFmtId="0" fontId="0" fillId="0" borderId="0" xfId="0" applyFont="1" applyFill="1"/>
    <xf numFmtId="3" fontId="0" fillId="0" borderId="0" xfId="0" applyNumberFormat="1" applyFill="1" applyBorder="1" applyAlignment="1">
      <alignment horizontal="right"/>
    </xf>
    <xf numFmtId="0" fontId="0" fillId="0" borderId="0" xfId="0" applyFont="1" applyFill="1" applyAlignment="1">
      <alignment horizontal="left" indent="1"/>
    </xf>
    <xf numFmtId="165" fontId="0" fillId="0" borderId="0" xfId="0" applyNumberFormat="1" applyAlignment="1">
      <alignment horizontal="right"/>
    </xf>
    <xf numFmtId="0" fontId="2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Alignment="1">
      <alignment horizontal="left"/>
    </xf>
    <xf numFmtId="10" fontId="4" fillId="0" borderId="0" xfId="0" applyNumberFormat="1" applyFont="1" applyFill="1"/>
    <xf numFmtId="10" fontId="7" fillId="0" borderId="0" xfId="0" applyNumberFormat="1" applyFont="1" applyAlignment="1">
      <alignment horizontal="center"/>
    </xf>
    <xf numFmtId="10" fontId="7" fillId="0" borderId="6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6" xfId="0" applyNumberFormat="1" applyFont="1" applyBorder="1" applyAlignment="1">
      <alignment horizontal="center"/>
    </xf>
    <xf numFmtId="2" fontId="4" fillId="0" borderId="0" xfId="0" applyNumberFormat="1" applyFont="1"/>
    <xf numFmtId="3" fontId="18" fillId="0" borderId="0" xfId="0" applyNumberFormat="1" applyFont="1" applyFill="1" applyBorder="1"/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Border="1"/>
    <xf numFmtId="3" fontId="7" fillId="0" borderId="0" xfId="0" applyNumberFormat="1" applyFont="1" applyBorder="1"/>
    <xf numFmtId="4" fontId="5" fillId="0" borderId="0" xfId="0" applyNumberFormat="1" applyFont="1" applyBorder="1"/>
    <xf numFmtId="3" fontId="6" fillId="0" borderId="1" xfId="0" applyNumberFormat="1" applyFont="1" applyBorder="1"/>
    <xf numFmtId="3" fontId="0" fillId="2" borderId="21" xfId="0" applyNumberFormat="1" applyFill="1" applyBorder="1"/>
    <xf numFmtId="3" fontId="0" fillId="2" borderId="20" xfId="0" applyNumberFormat="1" applyFill="1" applyBorder="1"/>
    <xf numFmtId="3" fontId="7" fillId="0" borderId="1" xfId="0" applyNumberFormat="1" applyFont="1" applyFill="1" applyBorder="1"/>
    <xf numFmtId="10" fontId="0" fillId="0" borderId="0" xfId="0" applyNumberFormat="1" applyFont="1"/>
    <xf numFmtId="9" fontId="17" fillId="0" borderId="0" xfId="0" applyNumberFormat="1" applyFont="1"/>
    <xf numFmtId="4" fontId="18" fillId="0" borderId="0" xfId="0" applyNumberFormat="1" applyFont="1" applyFill="1" applyBorder="1"/>
    <xf numFmtId="167" fontId="0" fillId="0" borderId="0" xfId="0" applyNumberFormat="1"/>
    <xf numFmtId="167" fontId="14" fillId="0" borderId="0" xfId="0" applyNumberFormat="1" applyFont="1" applyAlignment="1">
      <alignment horizontal="center"/>
    </xf>
    <xf numFmtId="9" fontId="274" fillId="0" borderId="0" xfId="0" applyNumberFormat="1" applyFont="1"/>
    <xf numFmtId="3" fontId="275" fillId="0" borderId="0" xfId="0" applyNumberFormat="1" applyFont="1" applyAlignment="1">
      <alignment horizontal="right"/>
    </xf>
    <xf numFmtId="3" fontId="0" fillId="6" borderId="0" xfId="0" applyNumberFormat="1" applyFill="1"/>
    <xf numFmtId="10" fontId="0" fillId="0" borderId="1" xfId="0" applyNumberFormat="1" applyBorder="1"/>
    <xf numFmtId="0" fontId="2" fillId="0" borderId="1" xfId="0" applyFont="1" applyBorder="1" applyAlignment="1">
      <alignment horizontal="left"/>
    </xf>
    <xf numFmtId="4" fontId="5" fillId="0" borderId="0" xfId="0" applyNumberFormat="1" applyFont="1"/>
    <xf numFmtId="166" fontId="5" fillId="0" borderId="0" xfId="0" applyNumberFormat="1" applyFont="1" applyFill="1"/>
    <xf numFmtId="166" fontId="0" fillId="0" borderId="0" xfId="0" applyNumberFormat="1" applyFill="1" applyAlignment="1">
      <alignment horizontal="center"/>
    </xf>
    <xf numFmtId="2" fontId="5" fillId="0" borderId="0" xfId="0" applyNumberFormat="1" applyFont="1" applyFill="1"/>
    <xf numFmtId="2" fontId="4" fillId="0" borderId="0" xfId="0" applyNumberFormat="1" applyFont="1" applyFill="1"/>
    <xf numFmtId="171" fontId="0" fillId="0" borderId="0" xfId="0" applyNumberFormat="1"/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19" fillId="0" borderId="1" xfId="0" applyFont="1" applyBorder="1"/>
    <xf numFmtId="9" fontId="5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indent="1"/>
    </xf>
    <xf numFmtId="172" fontId="4" fillId="0" borderId="0" xfId="0" applyNumberFormat="1" applyFont="1"/>
    <xf numFmtId="0" fontId="17" fillId="0" borderId="0" xfId="0" applyFont="1" applyBorder="1"/>
    <xf numFmtId="0" fontId="276" fillId="0" borderId="0" xfId="0" applyFont="1"/>
    <xf numFmtId="0" fontId="23" fillId="0" borderId="0" xfId="0" applyFont="1" applyBorder="1"/>
    <xf numFmtId="0" fontId="0" fillId="0" borderId="0" xfId="0" applyFill="1" applyBorder="1"/>
    <xf numFmtId="3" fontId="0" fillId="0" borderId="0" xfId="0" applyNumberFormat="1" applyBorder="1"/>
    <xf numFmtId="3" fontId="4" fillId="0" borderId="0" xfId="0" applyNumberFormat="1" applyFont="1" applyBorder="1"/>
    <xf numFmtId="3" fontId="17" fillId="0" borderId="0" xfId="0" applyNumberFormat="1" applyFont="1"/>
    <xf numFmtId="0" fontId="17" fillId="0" borderId="0" xfId="0" applyFont="1" applyBorder="1" applyAlignment="1">
      <alignment horizontal="left" indent="1"/>
    </xf>
    <xf numFmtId="3" fontId="277" fillId="0" borderId="0" xfId="0" applyNumberFormat="1" applyFont="1"/>
    <xf numFmtId="3" fontId="7" fillId="0" borderId="93" xfId="0" applyNumberFormat="1" applyFont="1" applyBorder="1"/>
    <xf numFmtId="0" fontId="17" fillId="0" borderId="0" xfId="0" applyFont="1" applyFill="1" applyAlignment="1">
      <alignment horizontal="left" indent="1"/>
    </xf>
    <xf numFmtId="3" fontId="26" fillId="0" borderId="1" xfId="0" applyNumberFormat="1" applyFont="1" applyBorder="1"/>
    <xf numFmtId="9" fontId="277" fillId="0" borderId="0" xfId="0" applyNumberFormat="1" applyFont="1"/>
    <xf numFmtId="0" fontId="17" fillId="0" borderId="0" xfId="0" applyFont="1" applyFill="1" applyBorder="1" applyAlignment="1">
      <alignment horizontal="left" indent="1"/>
    </xf>
    <xf numFmtId="10" fontId="275" fillId="0" borderId="0" xfId="0" applyNumberFormat="1" applyFont="1"/>
    <xf numFmtId="166" fontId="4" fillId="0" borderId="0" xfId="0" applyNumberFormat="1" applyFont="1" applyAlignment="1">
      <alignment horizontal="right"/>
    </xf>
    <xf numFmtId="9" fontId="17" fillId="0" borderId="0" xfId="0" applyNumberFormat="1" applyFont="1" applyAlignment="1">
      <alignment horizontal="right"/>
    </xf>
    <xf numFmtId="9" fontId="275" fillId="0" borderId="0" xfId="0" applyNumberFormat="1" applyFont="1" applyAlignment="1">
      <alignment horizontal="right"/>
    </xf>
    <xf numFmtId="10" fontId="0" fillId="0" borderId="0" xfId="0" applyNumberFormat="1" applyBorder="1"/>
    <xf numFmtId="4" fontId="0" fillId="2" borderId="94" xfId="0" applyNumberFormat="1" applyFill="1" applyBorder="1"/>
    <xf numFmtId="167" fontId="4" fillId="2" borderId="95" xfId="0" applyNumberFormat="1" applyFont="1" applyFill="1" applyBorder="1"/>
    <xf numFmtId="167" fontId="4" fillId="2" borderId="94" xfId="0" applyNumberFormat="1" applyFont="1" applyFill="1" applyBorder="1"/>
    <xf numFmtId="3" fontId="0" fillId="2" borderId="95" xfId="0" applyNumberFormat="1" applyFill="1" applyBorder="1"/>
    <xf numFmtId="3" fontId="22" fillId="5" borderId="0" xfId="0" applyNumberFormat="1" applyFont="1" applyFill="1"/>
    <xf numFmtId="3" fontId="1" fillId="5" borderId="0" xfId="0" applyNumberFormat="1" applyFont="1" applyFill="1"/>
    <xf numFmtId="293" fontId="22" fillId="5" borderId="0" xfId="0" applyNumberFormat="1" applyFont="1" applyFill="1"/>
    <xf numFmtId="293" fontId="1" fillId="5" borderId="0" xfId="0" applyNumberFormat="1" applyFont="1" applyFill="1"/>
    <xf numFmtId="3" fontId="4" fillId="78" borderId="0" xfId="0" applyNumberFormat="1" applyFont="1" applyFill="1"/>
    <xf numFmtId="3" fontId="2" fillId="0" borderId="0" xfId="0" applyNumberFormat="1" applyFont="1" applyBorder="1"/>
    <xf numFmtId="0" fontId="0" fillId="0" borderId="0" xfId="0" applyFont="1" applyFill="1" applyBorder="1" applyAlignment="1">
      <alignment horizontal="left" indent="1"/>
    </xf>
    <xf numFmtId="10" fontId="17" fillId="0" borderId="0" xfId="0" applyNumberFormat="1" applyFont="1"/>
    <xf numFmtId="3" fontId="274" fillId="0" borderId="0" xfId="0" applyNumberFormat="1" applyFont="1" applyBorder="1"/>
    <xf numFmtId="9" fontId="17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72" fontId="2" fillId="0" borderId="0" xfId="0" applyNumberFormat="1" applyFont="1" applyBorder="1"/>
    <xf numFmtId="3" fontId="4" fillId="78" borderId="0" xfId="0" applyNumberFormat="1" applyFont="1" applyFill="1" applyAlignment="1">
      <alignment horizontal="right"/>
    </xf>
    <xf numFmtId="166" fontId="17" fillId="0" borderId="0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0" fontId="0" fillId="0" borderId="0" xfId="0" applyFont="1" applyFill="1" applyAlignment="1">
      <alignment horizontal="left"/>
    </xf>
    <xf numFmtId="166" fontId="5" fillId="0" borderId="0" xfId="0" applyNumberFormat="1" applyFont="1" applyAlignment="1">
      <alignment horizontal="right"/>
    </xf>
    <xf numFmtId="3" fontId="277" fillId="0" borderId="0" xfId="0" applyNumberFormat="1" applyFont="1" applyFill="1"/>
    <xf numFmtId="174" fontId="0" fillId="0" borderId="0" xfId="0" applyNumberFormat="1" applyAlignment="1"/>
    <xf numFmtId="0" fontId="16" fillId="0" borderId="0" xfId="0" applyFont="1"/>
    <xf numFmtId="0" fontId="2" fillId="0" borderId="0" xfId="0" applyFont="1" applyFill="1" applyBorder="1" applyAlignment="1">
      <alignment horizontal="left"/>
    </xf>
    <xf numFmtId="3" fontId="6" fillId="0" borderId="0" xfId="0" applyNumberFormat="1" applyFont="1" applyBorder="1"/>
    <xf numFmtId="3" fontId="9" fillId="0" borderId="0" xfId="0" applyNumberFormat="1" applyFont="1" applyFill="1" applyBorder="1"/>
    <xf numFmtId="0" fontId="0" fillId="0" borderId="0" xfId="0" applyAlignment="1">
      <alignment horizontal="left" indent="2"/>
    </xf>
    <xf numFmtId="9" fontId="4" fillId="0" borderId="0" xfId="0" applyNumberFormat="1" applyFont="1" applyBorder="1"/>
    <xf numFmtId="0" fontId="0" fillId="0" borderId="0" xfId="0" applyBorder="1" applyAlignment="1">
      <alignment horizontal="left" indent="1"/>
    </xf>
    <xf numFmtId="9" fontId="275" fillId="0" borderId="0" xfId="0" applyNumberFormat="1" applyFont="1"/>
    <xf numFmtId="9" fontId="6" fillId="0" borderId="0" xfId="0" applyNumberFormat="1" applyFont="1"/>
    <xf numFmtId="0" fontId="0" fillId="0" borderId="0" xfId="0" applyFont="1" applyAlignment="1">
      <alignment horizontal="left" indent="2"/>
    </xf>
    <xf numFmtId="3" fontId="4" fillId="0" borderId="0" xfId="0" applyNumberFormat="1" applyFont="1" applyFill="1" applyAlignment="1">
      <alignment horizontal="left" indent="1"/>
    </xf>
    <xf numFmtId="293" fontId="0" fillId="0" borderId="0" xfId="0" applyNumberFormat="1"/>
    <xf numFmtId="293" fontId="4" fillId="0" borderId="0" xfId="0" applyNumberFormat="1" applyFont="1" applyFill="1" applyAlignment="1">
      <alignment horizontal="left" indent="1"/>
    </xf>
    <xf numFmtId="175" fontId="0" fillId="0" borderId="0" xfId="0" applyNumberFormat="1"/>
    <xf numFmtId="3" fontId="7" fillId="0" borderId="0" xfId="0" applyNumberFormat="1" applyFont="1" applyFill="1" applyBorder="1"/>
    <xf numFmtId="9" fontId="2" fillId="0" borderId="1" xfId="0" applyNumberFormat="1" applyFont="1" applyBorder="1"/>
    <xf numFmtId="9" fontId="0" fillId="0" borderId="0" xfId="0" applyNumberFormat="1" applyFont="1" applyBorder="1"/>
    <xf numFmtId="9" fontId="26" fillId="0" borderId="1" xfId="0" applyNumberFormat="1" applyFont="1" applyBorder="1"/>
    <xf numFmtId="294" fontId="4" fillId="0" borderId="0" xfId="0" applyNumberFormat="1" applyFont="1" applyAlignment="1">
      <alignment horizontal="right"/>
    </xf>
    <xf numFmtId="1" fontId="4" fillId="78" borderId="0" xfId="0" applyNumberFormat="1" applyFont="1" applyFill="1"/>
    <xf numFmtId="3" fontId="6" fillId="78" borderId="1" xfId="0" applyNumberFormat="1" applyFont="1" applyFill="1" applyBorder="1"/>
    <xf numFmtId="4" fontId="6" fillId="0" borderId="1" xfId="0" applyNumberFormat="1" applyFont="1" applyFill="1" applyBorder="1"/>
    <xf numFmtId="3" fontId="6" fillId="0" borderId="1" xfId="0" applyNumberFormat="1" applyFont="1" applyFill="1" applyBorder="1"/>
    <xf numFmtId="10" fontId="0" fillId="0" borderId="0" xfId="0" applyNumberFormat="1" applyAlignment="1">
      <alignment horizontal="right"/>
    </xf>
    <xf numFmtId="3" fontId="26" fillId="0" borderId="1" xfId="0" applyNumberFormat="1" applyFont="1" applyFill="1" applyBorder="1"/>
    <xf numFmtId="3" fontId="0" fillId="0" borderId="0" xfId="0" applyNumberFormat="1" applyFont="1" applyBorder="1"/>
    <xf numFmtId="0" fontId="17" fillId="0" borderId="0" xfId="0" applyFont="1" applyFill="1" applyBorder="1" applyAlignment="1">
      <alignment horizontal="left" indent="2"/>
    </xf>
    <xf numFmtId="0" fontId="2" fillId="0" borderId="0" xfId="0" applyFont="1" applyFill="1" applyAlignment="1">
      <alignment horizontal="left"/>
    </xf>
    <xf numFmtId="9" fontId="7" fillId="0" borderId="1" xfId="0" applyNumberFormat="1" applyFont="1" applyBorder="1"/>
    <xf numFmtId="166" fontId="17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295" fontId="0" fillId="6" borderId="0" xfId="0" applyNumberFormat="1" applyFill="1"/>
    <xf numFmtId="166" fontId="275" fillId="0" borderId="0" xfId="0" applyNumberFormat="1" applyFont="1"/>
    <xf numFmtId="3" fontId="2" fillId="0" borderId="0" xfId="0" applyNumberFormat="1" applyFont="1" applyFill="1" applyBorder="1"/>
    <xf numFmtId="3" fontId="0" fillId="78" borderId="0" xfId="0" applyNumberFormat="1" applyFill="1"/>
    <xf numFmtId="296" fontId="0" fillId="0" borderId="0" xfId="0" applyNumberFormat="1" applyAlignment="1">
      <alignment horizontal="right"/>
    </xf>
    <xf numFmtId="294" fontId="0" fillId="0" borderId="0" xfId="0" applyNumberFormat="1" applyAlignment="1">
      <alignment horizontal="right"/>
    </xf>
    <xf numFmtId="0" fontId="0" fillId="0" borderId="0" xfId="0" applyFont="1" applyFill="1" applyAlignment="1">
      <alignment horizontal="left" indent="2"/>
    </xf>
    <xf numFmtId="9" fontId="0" fillId="0" borderId="0" xfId="0" applyNumberFormat="1" applyFont="1" applyFill="1" applyBorder="1"/>
    <xf numFmtId="4" fontId="0" fillId="0" borderId="0" xfId="0" applyNumberFormat="1" applyFont="1" applyFill="1" applyBorder="1"/>
    <xf numFmtId="166" fontId="274" fillId="0" borderId="0" xfId="0" applyNumberFormat="1" applyFont="1"/>
    <xf numFmtId="9" fontId="9" fillId="0" borderId="1" xfId="0" applyNumberFormat="1" applyFont="1" applyBorder="1"/>
    <xf numFmtId="3" fontId="4" fillId="2" borderId="22" xfId="0" applyNumberFormat="1" applyFont="1" applyFill="1" applyBorder="1"/>
    <xf numFmtId="0" fontId="4" fillId="78" borderId="0" xfId="0" applyFont="1" applyFill="1"/>
    <xf numFmtId="174" fontId="4" fillId="78" borderId="0" xfId="0" applyNumberFormat="1" applyFont="1" applyFill="1"/>
    <xf numFmtId="0" fontId="0" fillId="0" borderId="36" xfId="0" applyBorder="1" applyAlignment="1">
      <alignment horizontal="left" indent="1"/>
    </xf>
    <xf numFmtId="0" fontId="0" fillId="0" borderId="36" xfId="0" applyBorder="1"/>
    <xf numFmtId="3" fontId="4" fillId="78" borderId="33" xfId="0" applyNumberFormat="1" applyFont="1" applyFill="1" applyBorder="1"/>
    <xf numFmtId="3" fontId="4" fillId="78" borderId="0" xfId="0" applyNumberFormat="1" applyFont="1" applyFill="1" applyBorder="1"/>
    <xf numFmtId="3" fontId="0" fillId="0" borderId="1" xfId="0" applyNumberFormat="1" applyFont="1" applyFill="1" applyBorder="1"/>
    <xf numFmtId="9" fontId="4" fillId="0" borderId="0" xfId="0" applyNumberFormat="1" applyFont="1" applyFill="1"/>
    <xf numFmtId="172" fontId="4" fillId="78" borderId="0" xfId="0" applyNumberFormat="1" applyFont="1" applyFill="1"/>
    <xf numFmtId="172" fontId="4" fillId="0" borderId="0" xfId="0" applyNumberFormat="1" applyFont="1" applyAlignment="1">
      <alignment horizontal="right"/>
    </xf>
    <xf numFmtId="174" fontId="277" fillId="0" borderId="0" xfId="0" applyNumberFormat="1" applyFont="1" applyFill="1"/>
    <xf numFmtId="0" fontId="0" fillId="0" borderId="33" xfId="0" applyBorder="1" applyAlignment="1">
      <alignment horizontal="left" indent="1"/>
    </xf>
    <xf numFmtId="0" fontId="0" fillId="0" borderId="33" xfId="0" applyBorder="1"/>
    <xf numFmtId="3" fontId="6" fillId="78" borderId="0" xfId="0" applyNumberFormat="1" applyFont="1" applyFill="1" applyBorder="1"/>
    <xf numFmtId="172" fontId="4" fillId="0" borderId="0" xfId="0" applyNumberFormat="1" applyFont="1" applyFill="1"/>
    <xf numFmtId="0" fontId="4" fillId="0" borderId="0" xfId="0" applyFont="1" applyFill="1"/>
    <xf numFmtId="175" fontId="4" fillId="0" borderId="0" xfId="0" applyNumberFormat="1" applyFont="1" applyFill="1"/>
    <xf numFmtId="0" fontId="23" fillId="0" borderId="0" xfId="0" applyFont="1" applyFill="1"/>
    <xf numFmtId="0" fontId="0" fillId="0" borderId="0" xfId="0" applyFont="1" applyFill="1" applyBorder="1" applyAlignment="1">
      <alignment horizontal="left" indent="2"/>
    </xf>
    <xf numFmtId="0" fontId="0" fillId="0" borderId="93" xfId="0" applyFont="1" applyFill="1" applyBorder="1" applyAlignment="1">
      <alignment horizontal="left" indent="1"/>
    </xf>
    <xf numFmtId="0" fontId="2" fillId="0" borderId="93" xfId="0" applyFont="1" applyBorder="1"/>
    <xf numFmtId="3" fontId="4" fillId="78" borderId="93" xfId="0" applyNumberFormat="1" applyFont="1" applyFill="1" applyBorder="1"/>
    <xf numFmtId="3" fontId="5" fillId="0" borderId="93" xfId="0" applyNumberFormat="1" applyFont="1" applyBorder="1"/>
    <xf numFmtId="0" fontId="6" fillId="78" borderId="93" xfId="0" applyFont="1" applyFill="1" applyBorder="1"/>
    <xf numFmtId="9" fontId="7" fillId="0" borderId="0" xfId="0" applyNumberFormat="1" applyFont="1" applyFill="1" applyBorder="1"/>
    <xf numFmtId="294" fontId="5" fillId="0" borderId="0" xfId="0" applyNumberFormat="1" applyFont="1"/>
    <xf numFmtId="174" fontId="2" fillId="0" borderId="0" xfId="0" applyNumberFormat="1" applyFont="1" applyBorder="1"/>
    <xf numFmtId="166" fontId="2" fillId="0" borderId="0" xfId="0" applyNumberFormat="1" applyFont="1" applyBorder="1"/>
    <xf numFmtId="3" fontId="26" fillId="0" borderId="0" xfId="0" applyNumberFormat="1" applyFont="1" applyBorder="1"/>
    <xf numFmtId="166" fontId="275" fillId="0" borderId="0" xfId="0" applyNumberFormat="1" applyFont="1" applyAlignment="1">
      <alignment horizontal="right"/>
    </xf>
    <xf numFmtId="4" fontId="4" fillId="78" borderId="0" xfId="0" applyNumberFormat="1" applyFont="1" applyFill="1"/>
    <xf numFmtId="2" fontId="0" fillId="0" borderId="0" xfId="0" applyNumberFormat="1" applyFill="1"/>
    <xf numFmtId="10" fontId="0" fillId="0" borderId="0" xfId="0" applyNumberFormat="1" applyFill="1"/>
    <xf numFmtId="9" fontId="0" fillId="0" borderId="0" xfId="0" applyNumberFormat="1" applyFill="1"/>
    <xf numFmtId="9" fontId="17" fillId="0" borderId="0" xfId="0" applyNumberFormat="1" applyFont="1" applyFill="1"/>
    <xf numFmtId="0" fontId="4" fillId="0" borderId="0" xfId="0" applyFont="1" applyFill="1" applyAlignment="1">
      <alignment horizontal="right"/>
    </xf>
    <xf numFmtId="9" fontId="20" fillId="0" borderId="0" xfId="0" applyNumberFormat="1" applyFont="1" applyFill="1"/>
    <xf numFmtId="0" fontId="18" fillId="0" borderId="0" xfId="0" applyFont="1" applyFill="1"/>
    <xf numFmtId="0" fontId="24" fillId="0" borderId="0" xfId="0" applyFont="1" applyBorder="1"/>
    <xf numFmtId="9" fontId="4" fillId="78" borderId="0" xfId="0" applyNumberFormat="1" applyFont="1" applyFill="1"/>
    <xf numFmtId="297" fontId="4" fillId="78" borderId="0" xfId="0" applyNumberFormat="1" applyFont="1" applyFill="1"/>
    <xf numFmtId="9" fontId="2" fillId="0" borderId="0" xfId="0" applyNumberFormat="1" applyFont="1" applyBorder="1"/>
    <xf numFmtId="298" fontId="0" fillId="0" borderId="0" xfId="0" applyNumberFormat="1"/>
    <xf numFmtId="0" fontId="2" fillId="0" borderId="93" xfId="0" applyFont="1" applyFill="1" applyBorder="1" applyAlignment="1">
      <alignment horizontal="left"/>
    </xf>
    <xf numFmtId="3" fontId="6" fillId="78" borderId="93" xfId="0" applyNumberFormat="1" applyFont="1" applyFill="1" applyBorder="1"/>
    <xf numFmtId="3" fontId="2" fillId="0" borderId="93" xfId="0" applyNumberFormat="1" applyFont="1" applyFill="1" applyBorder="1"/>
    <xf numFmtId="3" fontId="9" fillId="0" borderId="93" xfId="0" applyNumberFormat="1" applyFont="1" applyFill="1" applyBorder="1"/>
    <xf numFmtId="3" fontId="0" fillId="0" borderId="0" xfId="0" applyNumberFormat="1" applyFont="1" applyFill="1" applyBorder="1"/>
    <xf numFmtId="3" fontId="2" fillId="0" borderId="0" xfId="0" applyNumberFormat="1" applyFont="1" applyFill="1"/>
    <xf numFmtId="166" fontId="7" fillId="0" borderId="0" xfId="0" applyNumberFormat="1" applyFont="1" applyFill="1" applyBorder="1"/>
  </cellXfs>
  <cellStyles count="4386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eetMetadata" Target="metadata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World-Technology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17.453759387533303</c:v>
                </c:pt>
                <c:pt idx="1">
                  <c:v>17.205916063909996</c:v>
                </c:pt>
                <c:pt idx="2">
                  <c:v>17.767847570322242</c:v>
                </c:pt>
                <c:pt idx="3">
                  <c:v>21.420825743769456</c:v>
                </c:pt>
                <c:pt idx="4">
                  <c:v>15.064414579761264</c:v>
                </c:pt>
                <c:pt idx="5">
                  <c:v>12.283334541279425</c:v>
                </c:pt>
                <c:pt idx="6">
                  <c:v>11.507237778422699</c:v>
                </c:pt>
                <c:pt idx="7">
                  <c:v>12.371121712117059</c:v>
                </c:pt>
                <c:pt idx="8">
                  <c:v>14.506058981906175</c:v>
                </c:pt>
                <c:pt idx="9">
                  <c:v>13.203915896800043</c:v>
                </c:pt>
                <c:pt idx="10">
                  <c:v>13.249938119441936</c:v>
                </c:pt>
                <c:pt idx="11">
                  <c:v>11.170127560656576</c:v>
                </c:pt>
                <c:pt idx="12">
                  <c:v>17.986182477147128</c:v>
                </c:pt>
                <c:pt idx="13">
                  <c:v>12.076310332695046</c:v>
                </c:pt>
                <c:pt idx="14">
                  <c:v>16.697031956096691</c:v>
                </c:pt>
                <c:pt idx="15">
                  <c:v>16.140104503321894</c:v>
                </c:pt>
                <c:pt idx="16">
                  <c:v>10.866274424550083</c:v>
                </c:pt>
                <c:pt idx="17">
                  <c:v>11.568124892932982</c:v>
                </c:pt>
                <c:pt idx="18">
                  <c:v>9.9606001287195625</c:v>
                </c:pt>
                <c:pt idx="19">
                  <c:v>12.480220928628807</c:v>
                </c:pt>
                <c:pt idx="20">
                  <c:v>10.291423822573385</c:v>
                </c:pt>
                <c:pt idx="21">
                  <c:v>11.703550027232945</c:v>
                </c:pt>
                <c:pt idx="22">
                  <c:v>14.68975926385297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5-4C79-92F7-B4A2330FF31A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STATES-Technology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18.56192007086797</c:v>
                </c:pt>
                <c:pt idx="1">
                  <c:v>17.735070626065259</c:v>
                </c:pt>
                <c:pt idx="2">
                  <c:v>17.000717410669655</c:v>
                </c:pt>
                <c:pt idx="3">
                  <c:v>17.441647778385544</c:v>
                </c:pt>
                <c:pt idx="4">
                  <c:v>18.007281483233708</c:v>
                </c:pt>
                <c:pt idx="5">
                  <c:v>11.851184900426819</c:v>
                </c:pt>
                <c:pt idx="6">
                  <c:v>10.322957858009042</c:v>
                </c:pt>
                <c:pt idx="7">
                  <c:v>12.761764989568331</c:v>
                </c:pt>
                <c:pt idx="8">
                  <c:v>14.120721214416504</c:v>
                </c:pt>
                <c:pt idx="9">
                  <c:v>14.503738428126637</c:v>
                </c:pt>
                <c:pt idx="10">
                  <c:v>14.733749939303189</c:v>
                </c:pt>
                <c:pt idx="11">
                  <c:v>10.303017586171588</c:v>
                </c:pt>
                <c:pt idx="12">
                  <c:v>17.933714426642151</c:v>
                </c:pt>
                <c:pt idx="13">
                  <c:v>13.125461267698405</c:v>
                </c:pt>
                <c:pt idx="14">
                  <c:v>16.957149241775024</c:v>
                </c:pt>
                <c:pt idx="15">
                  <c:v>17.504960136719536</c:v>
                </c:pt>
                <c:pt idx="16">
                  <c:v>13.676414354593136</c:v>
                </c:pt>
                <c:pt idx="17">
                  <c:v>12.740379391713986</c:v>
                </c:pt>
                <c:pt idx="18">
                  <c:v>11.802772200139815</c:v>
                </c:pt>
                <c:pt idx="19">
                  <c:v>10.99643237200601</c:v>
                </c:pt>
                <c:pt idx="20">
                  <c:v>8.3769353647614864</c:v>
                </c:pt>
                <c:pt idx="21">
                  <c:v>11.268986435724145</c:v>
                </c:pt>
                <c:pt idx="22">
                  <c:v>15.986357142464458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5-4C79-92F7-B4A2330FF31A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World-Software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20.48356880019838</c:v>
                </c:pt>
                <c:pt idx="1">
                  <c:v>20.341424147073234</c:v>
                </c:pt>
                <c:pt idx="2">
                  <c:v>21.138487118545449</c:v>
                </c:pt>
                <c:pt idx="3">
                  <c:v>22.119871288482653</c:v>
                </c:pt>
                <c:pt idx="4">
                  <c:v>17.176512666679333</c:v>
                </c:pt>
                <c:pt idx="5">
                  <c:v>16.741947021079252</c:v>
                </c:pt>
                <c:pt idx="6">
                  <c:v>16.333691465758665</c:v>
                </c:pt>
                <c:pt idx="7">
                  <c:v>14.836331484543635</c:v>
                </c:pt>
                <c:pt idx="8">
                  <c:v>16.02537532695165</c:v>
                </c:pt>
                <c:pt idx="9">
                  <c:v>17.630133528244404</c:v>
                </c:pt>
                <c:pt idx="10">
                  <c:v>13.764024418006265</c:v>
                </c:pt>
                <c:pt idx="11">
                  <c:v>13.777257201778625</c:v>
                </c:pt>
                <c:pt idx="12">
                  <c:v>20.56540297762707</c:v>
                </c:pt>
                <c:pt idx="13">
                  <c:v>23.904219076756124</c:v>
                </c:pt>
                <c:pt idx="14">
                  <c:v>17.650295098476793</c:v>
                </c:pt>
                <c:pt idx="15">
                  <c:v>19.277194746266478</c:v>
                </c:pt>
                <c:pt idx="16">
                  <c:v>18.525152835535884</c:v>
                </c:pt>
                <c:pt idx="17">
                  <c:v>13.595495546291083</c:v>
                </c:pt>
                <c:pt idx="18">
                  <c:v>9.4411887694125642</c:v>
                </c:pt>
                <c:pt idx="19">
                  <c:v>11.78235545910978</c:v>
                </c:pt>
                <c:pt idx="20">
                  <c:v>9.5683607991192012</c:v>
                </c:pt>
                <c:pt idx="21">
                  <c:v>10.74813228900017</c:v>
                </c:pt>
                <c:pt idx="22">
                  <c:v>13.002469237861472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5-4C79-92F7-B4A2330FF31A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STATES-Software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22.864794385200298</c:v>
                </c:pt>
                <c:pt idx="1">
                  <c:v>23.416278952493716</c:v>
                </c:pt>
                <c:pt idx="2">
                  <c:v>21.627258668790805</c:v>
                </c:pt>
                <c:pt idx="3">
                  <c:v>24.915096296833266</c:v>
                </c:pt>
                <c:pt idx="4">
                  <c:v>19.850091975348828</c:v>
                </c:pt>
                <c:pt idx="5">
                  <c:v>19.650813244781475</c:v>
                </c:pt>
                <c:pt idx="6">
                  <c:v>16.348921417159648</c:v>
                </c:pt>
                <c:pt idx="7">
                  <c:v>15.535215584271382</c:v>
                </c:pt>
                <c:pt idx="8">
                  <c:v>16.036010944793464</c:v>
                </c:pt>
                <c:pt idx="9">
                  <c:v>18.205442123878889</c:v>
                </c:pt>
                <c:pt idx="10">
                  <c:v>13.905778870397754</c:v>
                </c:pt>
                <c:pt idx="11">
                  <c:v>14.208885677584306</c:v>
                </c:pt>
                <c:pt idx="12">
                  <c:v>21.132777432199532</c:v>
                </c:pt>
                <c:pt idx="13">
                  <c:v>26.301316248637015</c:v>
                </c:pt>
                <c:pt idx="14">
                  <c:v>17.802580732621365</c:v>
                </c:pt>
                <c:pt idx="15">
                  <c:v>17.943074775372242</c:v>
                </c:pt>
                <c:pt idx="16">
                  <c:v>18.178749452800286</c:v>
                </c:pt>
                <c:pt idx="17">
                  <c:v>14.046163017667121</c:v>
                </c:pt>
                <c:pt idx="18">
                  <c:v>10.091730913497409</c:v>
                </c:pt>
                <c:pt idx="19">
                  <c:v>7.629889039323734</c:v>
                </c:pt>
                <c:pt idx="20">
                  <c:v>6.0802164924068922</c:v>
                </c:pt>
                <c:pt idx="21">
                  <c:v>9.0662833642298644</c:v>
                </c:pt>
                <c:pt idx="22">
                  <c:v>12.281444248234671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15-4C79-92F7-B4A2330F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212912</xdr:colOff>
      <xdr:row>6</xdr:row>
      <xdr:rowOff>152400</xdr:rowOff>
    </xdr:from>
    <xdr:to>
      <xdr:col>51</xdr:col>
      <xdr:colOff>67235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221FF7-99C9-47DE-AFA9-309EACFBC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NSSTATS98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ealth%20Management\Investments\Research\2.%20US%20Equity\3.%20Common%20Models\Watch%20list\EA%20C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ealth%20Management\Investments\Research\1.%20Investment%20Process\Financial%20Models\Canada%20Common%20Mode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PowerPoin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b\shared\Wealth%20Management\Investments\Research\Canadian%20Equity\Oil%20and%20Gas\Common%20Model%20-%20WI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b\shared\Users\maksymom\AppData\Local\Capital%20IQ\Office%20Plug-in\Templates\Ownership\Public%20Ownershi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E"/>
      <sheetName val="GRA"/>
      <sheetName val="REGR"/>
      <sheetName val="MARG"/>
      <sheetName val="ROE"/>
      <sheetName val="DATA"/>
      <sheetName val="SUM"/>
      <sheetName val="GROW"/>
      <sheetName val="CHT"/>
      <sheetName val="EST"/>
      <sheetName val="GRA2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  <sheetName val="TAM"/>
      <sheetName val="Financials"/>
      <sheetName val="_CIQHiddenCacheSheet"/>
      <sheetName val="DCF"/>
      <sheetName val="Tearsheet"/>
      <sheetName val="Score"/>
      <sheetName val="Segments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Capital IQ Lookups"/>
      <sheetName val="Operating Lease Expenses"/>
      <sheetName val="Debt"/>
      <sheetName val="WACC"/>
    </sheetNames>
    <sheetDataSet>
      <sheetData sheetId="0"/>
      <sheetData sheetId="1"/>
      <sheetData sheetId="2"/>
      <sheetData sheetId="3"/>
      <sheetData sheetId="4">
        <row r="1">
          <cell r="F1" t="str">
            <v>USD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IQHiddenCacheSheet"/>
      <sheetName val="DCF"/>
      <sheetName val="Tearsheet"/>
      <sheetName val="Score"/>
      <sheetName val="Segments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Operating Lease Expenses"/>
      <sheetName val="Debt"/>
      <sheetName val="WACC"/>
    </sheetNames>
    <sheetDataSet>
      <sheetData sheetId="0"/>
      <sheetData sheetId="1">
        <row r="60">
          <cell r="BS60" t="str">
            <v>IQT14352303</v>
          </cell>
          <cell r="CA60" t="str">
            <v>IQT14352303</v>
          </cell>
        </row>
        <row r="61">
          <cell r="BS61" t="str">
            <v>IQT14555649</v>
          </cell>
          <cell r="CA61" t="str">
            <v>IQT14555649</v>
          </cell>
        </row>
        <row r="62">
          <cell r="BS62" t="str">
            <v>IQT27436959</v>
          </cell>
          <cell r="CA62" t="str">
            <v>IQT27436959</v>
          </cell>
        </row>
        <row r="63">
          <cell r="BS63" t="str">
            <v>IQT38873049</v>
          </cell>
          <cell r="CA63" t="str">
            <v>IQT38873049</v>
          </cell>
        </row>
        <row r="64">
          <cell r="BS64" t="str">
            <v>IQT48704345</v>
          </cell>
          <cell r="CA64" t="str">
            <v>IQT48704345</v>
          </cell>
        </row>
        <row r="65">
          <cell r="BS65" t="str">
            <v>IQT573186502</v>
          </cell>
          <cell r="CA65" t="str">
            <v>IQT244596293</v>
          </cell>
        </row>
        <row r="66">
          <cell r="BS66" t="str">
            <v>IQT573186503</v>
          </cell>
          <cell r="CA66" t="str">
            <v>IQT672821198</v>
          </cell>
        </row>
        <row r="67">
          <cell r="BS67" t="str">
            <v>IQT573186504</v>
          </cell>
          <cell r="CA67" t="str">
            <v>IQT573186504</v>
          </cell>
        </row>
        <row r="68">
          <cell r="BS68" t="str">
            <v>IQT573186505</v>
          </cell>
          <cell r="CA68" t="str">
            <v>IQT573186505</v>
          </cell>
        </row>
        <row r="69">
          <cell r="BS69" t="str">
            <v>IQT573186506</v>
          </cell>
          <cell r="CA69" t="str">
            <v>IQT573186506</v>
          </cell>
        </row>
        <row r="70">
          <cell r="BS70" t="str">
            <v>IQT573186507</v>
          </cell>
          <cell r="CA70" t="str">
            <v>IQT573186507</v>
          </cell>
        </row>
        <row r="71">
          <cell r="BS71" t="str">
            <v>IQT573186508</v>
          </cell>
          <cell r="CA71" t="str">
            <v>IQT573186508</v>
          </cell>
        </row>
        <row r="72">
          <cell r="BS72" t="str">
            <v>IQT573186509</v>
          </cell>
          <cell r="CA72" t="str">
            <v>IQT573186509</v>
          </cell>
        </row>
        <row r="73">
          <cell r="BS73" t="str">
            <v>IQT573186510</v>
          </cell>
          <cell r="CA73" t="str">
            <v>IQT573186510</v>
          </cell>
        </row>
        <row r="74">
          <cell r="BS74" t="str">
            <v>IQT573186511</v>
          </cell>
          <cell r="CA74" t="str">
            <v>IQT573186511</v>
          </cell>
        </row>
        <row r="75">
          <cell r="BS75" t="str">
            <v>IQT573186512</v>
          </cell>
          <cell r="CA75" t="str">
            <v>IQT573186512</v>
          </cell>
        </row>
        <row r="76">
          <cell r="BS76" t="str">
            <v>IQT573186513</v>
          </cell>
          <cell r="CA76" t="str">
            <v>IQT573186513</v>
          </cell>
        </row>
        <row r="77">
          <cell r="BS77" t="str">
            <v>IQT573186514</v>
          </cell>
          <cell r="CA77" t="str">
            <v>IQT573186514</v>
          </cell>
        </row>
        <row r="78">
          <cell r="BS78" t="str">
            <v>IQT573186515</v>
          </cell>
          <cell r="CA78" t="str">
            <v>IQT573186515</v>
          </cell>
        </row>
        <row r="79">
          <cell r="BS79" t="str">
            <v>IQT573186516</v>
          </cell>
          <cell r="CA79" t="str">
            <v>IQT573186516</v>
          </cell>
        </row>
        <row r="80">
          <cell r="BS80" t="str">
            <v>IQT573186517</v>
          </cell>
          <cell r="CA80" t="str">
            <v>IQT573186517</v>
          </cell>
        </row>
        <row r="81">
          <cell r="BS81" t="str">
            <v>IQT573186518</v>
          </cell>
          <cell r="CA81" t="str">
            <v>IQT573186518</v>
          </cell>
        </row>
        <row r="82">
          <cell r="BS82" t="str">
            <v>IQT233595811</v>
          </cell>
          <cell r="CA82" t="str">
            <v>IQT233595811</v>
          </cell>
        </row>
        <row r="83">
          <cell r="BS83" t="str">
            <v>IQT573186519</v>
          </cell>
          <cell r="CA83" t="str">
            <v>IQT573186519</v>
          </cell>
        </row>
        <row r="84">
          <cell r="BS84" t="str">
            <v>IQT251938129</v>
          </cell>
          <cell r="CA84" t="str">
            <v>IQT251938129</v>
          </cell>
        </row>
        <row r="85">
          <cell r="BS85" t="str">
            <v>IQT573186520</v>
          </cell>
          <cell r="CA85" t="str">
            <v>IQT573186520</v>
          </cell>
        </row>
        <row r="86">
          <cell r="BS86" t="str">
            <v>IQT261391963</v>
          </cell>
          <cell r="CA86" t="str">
            <v>IQT261391963</v>
          </cell>
        </row>
        <row r="87">
          <cell r="BS87" t="str">
            <v>IQT573186521</v>
          </cell>
          <cell r="CA87" t="str">
            <v>IQT573186521</v>
          </cell>
        </row>
        <row r="88">
          <cell r="BS88" t="str">
            <v>IQT271972220</v>
          </cell>
          <cell r="CA88" t="str">
            <v>IQT271972220</v>
          </cell>
        </row>
        <row r="89">
          <cell r="BS89" t="str">
            <v>IQT573186522</v>
          </cell>
          <cell r="CA89" t="str">
            <v>IQT573186522</v>
          </cell>
        </row>
        <row r="90">
          <cell r="BS90" t="str">
            <v>IQT573186523</v>
          </cell>
          <cell r="CA90" t="str">
            <v>IQT573186523</v>
          </cell>
        </row>
        <row r="91">
          <cell r="BS91" t="str">
            <v>IQT289127113</v>
          </cell>
          <cell r="CA91" t="str">
            <v>IQT289127113</v>
          </cell>
        </row>
        <row r="93">
          <cell r="BS93" t="str">
            <v>IQT573186524</v>
          </cell>
          <cell r="CA93" t="str">
            <v>IQT573186524</v>
          </cell>
        </row>
        <row r="94">
          <cell r="BS94" t="str">
            <v>IQT573186525</v>
          </cell>
          <cell r="CA94" t="str">
            <v>IQT573186525</v>
          </cell>
        </row>
        <row r="95">
          <cell r="BS95" t="str">
            <v>IQT573186526</v>
          </cell>
          <cell r="CA95" t="str">
            <v>IQT573186526</v>
          </cell>
        </row>
        <row r="96">
          <cell r="BS96" t="str">
            <v>IQT573186527</v>
          </cell>
          <cell r="CA96" t="str">
            <v>IQT573186527</v>
          </cell>
        </row>
        <row r="97">
          <cell r="BS97" t="str">
            <v>IQT421814472</v>
          </cell>
          <cell r="CA97" t="str">
            <v>IQT421814472</v>
          </cell>
        </row>
        <row r="98">
          <cell r="BS98" t="str">
            <v>IQT573186528</v>
          </cell>
          <cell r="CA98" t="str">
            <v>IQT573186528</v>
          </cell>
        </row>
        <row r="99">
          <cell r="BS99" t="str">
            <v>IQT573186529</v>
          </cell>
          <cell r="CA99" t="str">
            <v>IQT573186529</v>
          </cell>
        </row>
        <row r="100">
          <cell r="BS100" t="str">
            <v>IQT570144610</v>
          </cell>
          <cell r="CA100" t="str">
            <v>IQT570144610</v>
          </cell>
        </row>
        <row r="101">
          <cell r="BS101" t="str">
            <v>IQT614561915</v>
          </cell>
          <cell r="CA101" t="str">
            <v>IQT614561915</v>
          </cell>
        </row>
        <row r="102">
          <cell r="BS102" t="str">
            <v>IQT647878606</v>
          </cell>
          <cell r="CA102" t="str">
            <v>IQT647878606</v>
          </cell>
        </row>
        <row r="103">
          <cell r="BS103">
            <v>0</v>
          </cell>
          <cell r="CA103">
            <v>0</v>
          </cell>
        </row>
        <row r="104">
          <cell r="BS104">
            <v>0</v>
          </cell>
          <cell r="CA104">
            <v>0</v>
          </cell>
        </row>
        <row r="105">
          <cell r="BS105">
            <v>0</v>
          </cell>
          <cell r="CA105">
            <v>0</v>
          </cell>
        </row>
        <row r="106">
          <cell r="BS106">
            <v>0</v>
          </cell>
          <cell r="CA106">
            <v>0</v>
          </cell>
        </row>
        <row r="107">
          <cell r="BS107">
            <v>0</v>
          </cell>
          <cell r="CA107">
            <v>0</v>
          </cell>
        </row>
        <row r="108">
          <cell r="BS108">
            <v>0</v>
          </cell>
          <cell r="CA108">
            <v>0</v>
          </cell>
        </row>
        <row r="109">
          <cell r="BS109">
            <v>0</v>
          </cell>
          <cell r="CA109">
            <v>0</v>
          </cell>
        </row>
        <row r="110">
          <cell r="BS110">
            <v>0</v>
          </cell>
          <cell r="CA110">
            <v>0</v>
          </cell>
        </row>
        <row r="169">
          <cell r="X1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hers"/>
      <sheetName val="Model"/>
      <sheetName val="Initiatives"/>
      <sheetName val="Plants"/>
      <sheetName val="Ratios"/>
      <sheetName val="_CIQHiddenCacheSheet"/>
      <sheetName val="DCF"/>
      <sheetName val="Tearsheet"/>
      <sheetName val="Score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Operating Lease Expenses"/>
      <sheetName val="Debt"/>
      <sheetName val="WACC"/>
      <sheetName val="Title"/>
      <sheetName val="Prezi Stuff - 6"/>
      <sheetName val="Prezi Stuff - 5"/>
      <sheetName val="Prezi Stuff - 4"/>
      <sheetName val="Prezi Stuff - 3"/>
      <sheetName val="Prezi Stuff - 2"/>
      <sheetName val="Prezi Stuff"/>
      <sheetName val="Ratios &amp; Assumptions"/>
      <sheetName val="10YR AVGS"/>
      <sheetName val="DCF - Bull Case"/>
      <sheetName val="DCF - Bear Case"/>
      <sheetName val="DCF - Base Case"/>
      <sheetName val="Income Statement"/>
      <sheetName val="Balance Sheet"/>
      <sheetName val="Cash Flow"/>
      <sheetName val="Segments"/>
      <sheetName val="Company Specif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BS13" t="str">
            <v>IQT561008196</v>
          </cell>
        </row>
        <row r="170">
          <cell r="X170">
            <v>6.6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4">
          <cell r="A4" t="str">
            <v>IQT561008196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3">
          <cell r="BS13" t="str">
            <v>IQT60515336</v>
          </cell>
        </row>
      </sheetData>
      <sheetData sheetId="31">
        <row r="13">
          <cell r="BS13" t="str">
            <v>IQT60515336</v>
          </cell>
        </row>
      </sheetData>
      <sheetData sheetId="32">
        <row r="13">
          <cell r="BS13" t="str">
            <v>IQT60515336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IQHiddenCacheSheet"/>
      <sheetName val="DCF"/>
      <sheetName val="Tearsheet"/>
      <sheetName val="Score"/>
      <sheetName val="Segments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Operating Lease Expenses"/>
      <sheetName val="Debt"/>
      <sheetName val="WACC"/>
    </sheetNames>
    <sheetDataSet>
      <sheetData sheetId="0"/>
      <sheetData sheetId="1">
        <row r="174">
          <cell r="X174">
            <v>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wnership"/>
      <sheetName val="World Map"/>
      <sheetName val="US Map"/>
      <sheetName val="Canada Map"/>
      <sheetName val="World Map Data Table"/>
      <sheetName val="US Map Data Table"/>
      <sheetName val="Canada Map Data Table"/>
      <sheetName val="Trend Charts"/>
      <sheetName val="Tearsheet"/>
      <sheetName val="Summary Charts"/>
    </sheetNames>
    <sheetDataSet>
      <sheetData sheetId="0">
        <row r="13">
          <cell r="A13" t="str">
            <v>IQ403413</v>
          </cell>
          <cell r="B13" t="str">
            <v>BlackRock, Inc.</v>
          </cell>
          <cell r="J13">
            <v>42887</v>
          </cell>
          <cell r="K13">
            <v>1725256860</v>
          </cell>
          <cell r="M13">
            <v>930879020</v>
          </cell>
          <cell r="O13">
            <v>1725256860</v>
          </cell>
        </row>
        <row r="14">
          <cell r="A14" t="str">
            <v>IQ109783</v>
          </cell>
          <cell r="B14" t="str">
            <v>Capital Research and Management Company</v>
          </cell>
          <cell r="J14">
            <v>42887</v>
          </cell>
          <cell r="K14">
            <v>799776668</v>
          </cell>
          <cell r="M14">
            <v>680065948</v>
          </cell>
          <cell r="O14">
            <v>799776668</v>
          </cell>
        </row>
        <row r="15">
          <cell r="A15" t="str">
            <v>IQ11940612</v>
          </cell>
          <cell r="B15" t="str">
            <v>Legal &amp; General Investment Management Limited</v>
          </cell>
          <cell r="J15">
            <v>42887</v>
          </cell>
          <cell r="K15">
            <v>758987821</v>
          </cell>
          <cell r="M15">
            <v>991206514</v>
          </cell>
          <cell r="O15">
            <v>758987821</v>
          </cell>
        </row>
        <row r="16">
          <cell r="A16" t="str">
            <v>IQ417222</v>
          </cell>
          <cell r="B16" t="str">
            <v>The Vanguard Group, Inc.</v>
          </cell>
          <cell r="J16">
            <v>42887</v>
          </cell>
          <cell r="K16">
            <v>746635916</v>
          </cell>
          <cell r="M16">
            <v>704592100</v>
          </cell>
          <cell r="O16">
            <v>746635916</v>
          </cell>
        </row>
        <row r="17">
          <cell r="A17" t="str">
            <v>IQ27082288</v>
          </cell>
          <cell r="B17" t="str">
            <v>UBS Asset Management</v>
          </cell>
          <cell r="J17">
            <v>42887</v>
          </cell>
          <cell r="K17">
            <v>722203258</v>
          </cell>
          <cell r="M17">
            <v>669938183</v>
          </cell>
          <cell r="O17">
            <v>722203258</v>
          </cell>
        </row>
        <row r="18">
          <cell r="A18" t="str">
            <v>IQ823170</v>
          </cell>
          <cell r="B18" t="str">
            <v>State Street Global Advisors, Inc.</v>
          </cell>
          <cell r="J18">
            <v>42887</v>
          </cell>
          <cell r="K18">
            <v>578794797</v>
          </cell>
          <cell r="M18">
            <v>598434881</v>
          </cell>
          <cell r="O18">
            <v>578794797</v>
          </cell>
        </row>
        <row r="19">
          <cell r="A19" t="str">
            <v>IQ27081864</v>
          </cell>
          <cell r="B19" t="str">
            <v>Norges Bank Investment Management</v>
          </cell>
          <cell r="J19">
            <v>42887</v>
          </cell>
          <cell r="K19">
            <v>570185646</v>
          </cell>
          <cell r="M19">
            <v>589377118</v>
          </cell>
          <cell r="O19">
            <v>570185646</v>
          </cell>
        </row>
        <row r="20">
          <cell r="A20" t="str">
            <v>IQ28703</v>
          </cell>
          <cell r="B20" t="str">
            <v>Franklin Resources, Inc.</v>
          </cell>
          <cell r="J20">
            <v>42887</v>
          </cell>
          <cell r="K20">
            <v>550240560</v>
          </cell>
          <cell r="M20">
            <v>538352205</v>
          </cell>
          <cell r="O20">
            <v>550240560</v>
          </cell>
        </row>
        <row r="21">
          <cell r="A21" t="str">
            <v>IQ4841023</v>
          </cell>
          <cell r="B21" t="str">
            <v>BNY Mellon Asset Management</v>
          </cell>
          <cell r="J21">
            <v>42887</v>
          </cell>
          <cell r="K21">
            <v>504249012</v>
          </cell>
          <cell r="M21">
            <v>633072444</v>
          </cell>
          <cell r="O21">
            <v>504249012</v>
          </cell>
        </row>
        <row r="22">
          <cell r="A22" t="str">
            <v>IQ137703</v>
          </cell>
          <cell r="B22" t="str">
            <v>Aberdeen Asset Management PLC</v>
          </cell>
          <cell r="J22">
            <v>42887</v>
          </cell>
          <cell r="K22">
            <v>501819416</v>
          </cell>
          <cell r="M22">
            <v>506314361</v>
          </cell>
          <cell r="O22">
            <v>501819416</v>
          </cell>
        </row>
        <row r="23">
          <cell r="A23" t="str">
            <v>IQ45276676</v>
          </cell>
          <cell r="B23" t="str">
            <v>Morgan Stanley, Investment Banking and Brokerage Investments</v>
          </cell>
          <cell r="J23">
            <v>42887</v>
          </cell>
          <cell r="K23">
            <v>415768533</v>
          </cell>
          <cell r="M23">
            <v>423200650</v>
          </cell>
          <cell r="O23">
            <v>415768533</v>
          </cell>
        </row>
        <row r="24">
          <cell r="A24" t="str">
            <v>IQ5928912</v>
          </cell>
          <cell r="B24" t="str">
            <v>Standard Life Investments Limited</v>
          </cell>
          <cell r="J24">
            <v>42887</v>
          </cell>
          <cell r="K24">
            <v>372734806</v>
          </cell>
          <cell r="M24">
            <v>385342872</v>
          </cell>
          <cell r="O24">
            <v>372734806</v>
          </cell>
        </row>
        <row r="25">
          <cell r="A25" t="str">
            <v>IQ23217</v>
          </cell>
          <cell r="B25" t="str">
            <v>T. Rowe Price Group, Inc.</v>
          </cell>
          <cell r="J25">
            <v>42887</v>
          </cell>
          <cell r="K25">
            <v>366121919</v>
          </cell>
          <cell r="M25">
            <v>365473195</v>
          </cell>
          <cell r="O25">
            <v>366121919</v>
          </cell>
        </row>
        <row r="26">
          <cell r="A26" t="str">
            <v>IQ12221461</v>
          </cell>
          <cell r="B26" t="str">
            <v>Schroder Investment Management Limited</v>
          </cell>
          <cell r="J26">
            <v>42887</v>
          </cell>
          <cell r="K26">
            <v>349998344</v>
          </cell>
          <cell r="M26">
            <v>353330162</v>
          </cell>
          <cell r="O26">
            <v>349998344</v>
          </cell>
        </row>
        <row r="27">
          <cell r="A27" t="str">
            <v>IQ383724</v>
          </cell>
          <cell r="B27" t="str">
            <v>Federated Investors, Inc.</v>
          </cell>
          <cell r="J27">
            <v>42887</v>
          </cell>
          <cell r="K27">
            <v>341309427</v>
          </cell>
          <cell r="M27">
            <v>341309427</v>
          </cell>
          <cell r="O27">
            <v>341309427</v>
          </cell>
        </row>
        <row r="28">
          <cell r="A28" t="str">
            <v>IQ6489375</v>
          </cell>
          <cell r="B28" t="str">
            <v>HSBC Global Asset Management (UK) Limited</v>
          </cell>
          <cell r="J28">
            <v>42887</v>
          </cell>
          <cell r="K28">
            <v>318534966</v>
          </cell>
          <cell r="M28">
            <v>303765909</v>
          </cell>
          <cell r="O28">
            <v>318534966</v>
          </cell>
        </row>
        <row r="29">
          <cell r="A29" t="str">
            <v>IQ279974139</v>
          </cell>
          <cell r="B29" t="str">
            <v>JPMorgan Chase &amp; Co, Brokerage and Securities Investments</v>
          </cell>
          <cell r="J29">
            <v>42887</v>
          </cell>
          <cell r="K29">
            <v>305930581</v>
          </cell>
          <cell r="M29">
            <v>373496153</v>
          </cell>
          <cell r="O29">
            <v>305930581</v>
          </cell>
        </row>
        <row r="30">
          <cell r="A30" t="str">
            <v>IQ1925133</v>
          </cell>
          <cell r="B30" t="str">
            <v>J.P. Morgan Asset Management, Inc.</v>
          </cell>
          <cell r="J30">
            <v>42887</v>
          </cell>
          <cell r="K30">
            <v>291257490</v>
          </cell>
          <cell r="M30">
            <v>305510870</v>
          </cell>
          <cell r="O30">
            <v>291257490</v>
          </cell>
        </row>
        <row r="31">
          <cell r="A31" t="str">
            <v>IQ4806696</v>
          </cell>
          <cell r="B31" t="str">
            <v>Aviva Investors Global Services Limited</v>
          </cell>
          <cell r="J31">
            <v>42887</v>
          </cell>
          <cell r="K31">
            <v>276033208</v>
          </cell>
          <cell r="M31">
            <v>277271169</v>
          </cell>
          <cell r="O31">
            <v>276033208</v>
          </cell>
        </row>
        <row r="32">
          <cell r="A32" t="str">
            <v>IQ4509118</v>
          </cell>
          <cell r="B32" t="str">
            <v>Fisher Investments</v>
          </cell>
          <cell r="J32">
            <v>42916</v>
          </cell>
          <cell r="K32">
            <v>264021362</v>
          </cell>
          <cell r="M32">
            <v>151204302</v>
          </cell>
          <cell r="O32">
            <v>264021362</v>
          </cell>
        </row>
        <row r="33">
          <cell r="A33" t="str">
            <v>IQ384779</v>
          </cell>
          <cell r="B33" t="str">
            <v>Invesco Ltd.</v>
          </cell>
          <cell r="J33">
            <v>42887</v>
          </cell>
          <cell r="K33">
            <v>257994770</v>
          </cell>
          <cell r="M33">
            <v>255926069</v>
          </cell>
          <cell r="O33">
            <v>257994770</v>
          </cell>
        </row>
        <row r="34">
          <cell r="A34" t="str">
            <v>IQ3182643</v>
          </cell>
          <cell r="B34" t="str">
            <v>Dimensional Fund Advisors LP</v>
          </cell>
          <cell r="J34">
            <v>42887</v>
          </cell>
          <cell r="K34">
            <v>246420844</v>
          </cell>
          <cell r="M34">
            <v>250918934</v>
          </cell>
          <cell r="O34">
            <v>246420844</v>
          </cell>
        </row>
        <row r="35">
          <cell r="A35" t="str">
            <v>IQ26814459</v>
          </cell>
          <cell r="B35" t="str">
            <v>Causeway Capital Management LLC</v>
          </cell>
          <cell r="J35">
            <v>42887</v>
          </cell>
          <cell r="K35">
            <v>215819746</v>
          </cell>
          <cell r="M35">
            <v>210055526</v>
          </cell>
          <cell r="O35">
            <v>215819746</v>
          </cell>
        </row>
        <row r="36">
          <cell r="A36" t="str">
            <v>IQ5557540</v>
          </cell>
          <cell r="B36" t="str">
            <v>M&amp;G Investment Management Limited</v>
          </cell>
          <cell r="J36">
            <v>42887</v>
          </cell>
          <cell r="K36">
            <v>202403138</v>
          </cell>
          <cell r="M36">
            <v>204314132</v>
          </cell>
          <cell r="O36">
            <v>202403138</v>
          </cell>
        </row>
        <row r="37">
          <cell r="A37" t="str">
            <v>IQ246790716</v>
          </cell>
          <cell r="B37" t="str">
            <v>Vodafone Group plc, Share Incentive Plan</v>
          </cell>
          <cell r="J37">
            <v>42887</v>
          </cell>
          <cell r="K37">
            <v>202386586</v>
          </cell>
          <cell r="M37">
            <v>205057916</v>
          </cell>
          <cell r="O37">
            <v>202386586</v>
          </cell>
        </row>
        <row r="38">
          <cell r="A38" t="str">
            <v>IQ4629637</v>
          </cell>
          <cell r="B38" t="str">
            <v>Northern Trust Global Investments</v>
          </cell>
          <cell r="J38">
            <v>42887</v>
          </cell>
          <cell r="K38">
            <v>197482917</v>
          </cell>
          <cell r="M38">
            <v>192234454</v>
          </cell>
          <cell r="O38">
            <v>197482917</v>
          </cell>
        </row>
        <row r="39">
          <cell r="A39" t="str">
            <v>IQ28461984</v>
          </cell>
          <cell r="B39" t="str">
            <v>Government Of People's Republic Of China</v>
          </cell>
          <cell r="J39">
            <v>42887</v>
          </cell>
          <cell r="K39">
            <v>185468890</v>
          </cell>
          <cell r="M39">
            <v>189172277</v>
          </cell>
          <cell r="O39">
            <v>185468890</v>
          </cell>
        </row>
        <row r="40">
          <cell r="A40" t="str">
            <v>IQ51450685</v>
          </cell>
          <cell r="B40" t="str">
            <v>Credit Suisse, Investment Banking and Securities Investments</v>
          </cell>
          <cell r="J40">
            <v>42887</v>
          </cell>
          <cell r="K40">
            <v>176978393</v>
          </cell>
          <cell r="M40">
            <v>169559463</v>
          </cell>
          <cell r="O40">
            <v>176978393</v>
          </cell>
        </row>
        <row r="41">
          <cell r="A41" t="str">
            <v>IQ41542881</v>
          </cell>
          <cell r="B41" t="str">
            <v>Coöperatieve Centrale Raiffeisen-Boerenleenbank B.A., Asset Management Arm</v>
          </cell>
          <cell r="J41">
            <v>42887</v>
          </cell>
          <cell r="K41">
            <v>176404864</v>
          </cell>
          <cell r="M41">
            <v>124670247</v>
          </cell>
          <cell r="O41">
            <v>176404864</v>
          </cell>
        </row>
        <row r="42">
          <cell r="A42" t="str">
            <v>IQ21922514</v>
          </cell>
          <cell r="B42" t="str">
            <v>Kuwait Investment Authority</v>
          </cell>
          <cell r="J42">
            <v>42887</v>
          </cell>
          <cell r="K42">
            <v>171829911</v>
          </cell>
          <cell r="M42">
            <v>155674776</v>
          </cell>
          <cell r="O42">
            <v>171829911</v>
          </cell>
        </row>
        <row r="43">
          <cell r="A43" t="str">
            <v>IQ5114011</v>
          </cell>
          <cell r="B43" t="str">
            <v>Hotchkis and Wiley Capital Management, LLC</v>
          </cell>
          <cell r="J43">
            <v>42886</v>
          </cell>
          <cell r="K43">
            <v>169785000</v>
          </cell>
          <cell r="M43">
            <v>169784418</v>
          </cell>
          <cell r="O43">
            <v>169785000</v>
          </cell>
        </row>
        <row r="44">
          <cell r="A44" t="str">
            <v>IQ20702899</v>
          </cell>
          <cell r="B44" t="str">
            <v>Majedie Asset Management Limited</v>
          </cell>
          <cell r="J44">
            <v>42887</v>
          </cell>
          <cell r="K44">
            <v>161360807</v>
          </cell>
          <cell r="M44">
            <v>132730146</v>
          </cell>
          <cell r="O44">
            <v>161360807</v>
          </cell>
        </row>
        <row r="45">
          <cell r="A45" t="str">
            <v>IQ3796741</v>
          </cell>
          <cell r="B45" t="str">
            <v>Amundi Asset Management</v>
          </cell>
          <cell r="J45">
            <v>42887</v>
          </cell>
          <cell r="K45">
            <v>153962552</v>
          </cell>
          <cell r="M45">
            <v>127127671</v>
          </cell>
          <cell r="O45">
            <v>153962552</v>
          </cell>
        </row>
        <row r="46">
          <cell r="A46" t="str">
            <v>IQ10198746</v>
          </cell>
          <cell r="B46" t="str">
            <v>Epoch Investment Partners, Inc.</v>
          </cell>
          <cell r="J46">
            <v>42887</v>
          </cell>
          <cell r="K46">
            <v>149994016</v>
          </cell>
          <cell r="M46">
            <v>127279932</v>
          </cell>
          <cell r="O46">
            <v>149994016</v>
          </cell>
        </row>
        <row r="47">
          <cell r="A47" t="str">
            <v>IQ868981</v>
          </cell>
          <cell r="B47" t="str">
            <v>Royal London Asset Management Limited</v>
          </cell>
          <cell r="J47">
            <v>42887</v>
          </cell>
          <cell r="K47">
            <v>138424422</v>
          </cell>
          <cell r="M47">
            <v>136361342</v>
          </cell>
          <cell r="O47">
            <v>138424422</v>
          </cell>
        </row>
        <row r="48">
          <cell r="A48" t="str">
            <v>IQ37412913</v>
          </cell>
          <cell r="B48" t="str">
            <v>Charles Stanley &amp; Co. Ltd, Asset Management Arm</v>
          </cell>
          <cell r="J48">
            <v>42887</v>
          </cell>
          <cell r="K48">
            <v>133649276</v>
          </cell>
          <cell r="M48">
            <v>136165697</v>
          </cell>
          <cell r="O48">
            <v>133649276</v>
          </cell>
        </row>
        <row r="49">
          <cell r="A49" t="str">
            <v>IQ35483504</v>
          </cell>
          <cell r="B49" t="str">
            <v>DZ Bank AG, Asset Management Arm</v>
          </cell>
          <cell r="J49">
            <v>42887</v>
          </cell>
          <cell r="K49">
            <v>132766174</v>
          </cell>
          <cell r="M49">
            <v>147113220</v>
          </cell>
          <cell r="O49">
            <v>132766174</v>
          </cell>
        </row>
        <row r="50">
          <cell r="A50" t="str">
            <v>IQ31211063</v>
          </cell>
          <cell r="B50" t="str">
            <v>Deutsche Bank, Private Banking and Investment Banking Investments</v>
          </cell>
          <cell r="J50">
            <v>42887</v>
          </cell>
          <cell r="K50">
            <v>132294128</v>
          </cell>
          <cell r="M50">
            <v>66053078</v>
          </cell>
          <cell r="O50">
            <v>132294128</v>
          </cell>
        </row>
        <row r="51">
          <cell r="A51" t="str">
            <v>IQ410077483</v>
          </cell>
          <cell r="B51" t="str">
            <v>FMR LLC</v>
          </cell>
          <cell r="J51">
            <v>42887</v>
          </cell>
          <cell r="K51">
            <v>131937130</v>
          </cell>
          <cell r="M51">
            <v>130452828</v>
          </cell>
          <cell r="O51">
            <v>131937130</v>
          </cell>
        </row>
        <row r="52">
          <cell r="A52" t="str">
            <v>IQ222921084</v>
          </cell>
          <cell r="B52" t="str">
            <v>USS Investment Management Limited</v>
          </cell>
          <cell r="J52">
            <v>42887</v>
          </cell>
          <cell r="K52">
            <v>131710658</v>
          </cell>
          <cell r="M52">
            <v>131710658</v>
          </cell>
          <cell r="O52">
            <v>131710658</v>
          </cell>
        </row>
        <row r="53">
          <cell r="A53" t="str">
            <v>IQ28827734</v>
          </cell>
          <cell r="B53" t="str">
            <v>J O Hambro Capital Management Limited</v>
          </cell>
          <cell r="J53">
            <v>42887</v>
          </cell>
          <cell r="K53">
            <v>127952888</v>
          </cell>
          <cell r="M53">
            <v>89691787</v>
          </cell>
          <cell r="O53">
            <v>127952888</v>
          </cell>
        </row>
        <row r="54">
          <cell r="A54" t="str">
            <v>IQ27289249</v>
          </cell>
          <cell r="B54" t="str">
            <v>Hargreaves Lansdown Asset Management Limited</v>
          </cell>
          <cell r="J54">
            <v>42887</v>
          </cell>
          <cell r="K54">
            <v>120538846</v>
          </cell>
          <cell r="M54">
            <v>128023249</v>
          </cell>
          <cell r="O54">
            <v>120538846</v>
          </cell>
        </row>
        <row r="55">
          <cell r="A55" t="str">
            <v>IQ868792</v>
          </cell>
          <cell r="B55" t="str">
            <v>Massachusetts Financial Services Company</v>
          </cell>
          <cell r="J55">
            <v>42887</v>
          </cell>
          <cell r="K55">
            <v>113050412</v>
          </cell>
          <cell r="M55">
            <v>129102881</v>
          </cell>
          <cell r="O55">
            <v>113050412</v>
          </cell>
        </row>
        <row r="56">
          <cell r="A56" t="str">
            <v>IQ246748</v>
          </cell>
          <cell r="B56" t="str">
            <v>Teachers Insurance and Annuity Association of America - College Retirement Equities Fund</v>
          </cell>
          <cell r="J56">
            <v>42887</v>
          </cell>
          <cell r="K56">
            <v>111092885</v>
          </cell>
          <cell r="M56">
            <v>105677639</v>
          </cell>
          <cell r="O56">
            <v>111092885</v>
          </cell>
        </row>
        <row r="57">
          <cell r="A57" t="str">
            <v>IQ224620639</v>
          </cell>
          <cell r="B57" t="str">
            <v>Artemis Investment Management LLP</v>
          </cell>
          <cell r="J57">
            <v>42887</v>
          </cell>
          <cell r="K57">
            <v>108657905</v>
          </cell>
          <cell r="M57">
            <v>114562911</v>
          </cell>
          <cell r="O57">
            <v>108657905</v>
          </cell>
        </row>
        <row r="58">
          <cell r="A58" t="str">
            <v>IQ24811017</v>
          </cell>
          <cell r="B58" t="str">
            <v>Henderson Global Investors Limited</v>
          </cell>
          <cell r="J58">
            <v>42887</v>
          </cell>
          <cell r="K58">
            <v>107363878</v>
          </cell>
          <cell r="M58">
            <v>91855137</v>
          </cell>
          <cell r="O58">
            <v>107363878</v>
          </cell>
        </row>
        <row r="59">
          <cell r="A59" t="str">
            <v>IQ41575952</v>
          </cell>
          <cell r="B59" t="str">
            <v>Swiss National Bank, Asset Management Arm</v>
          </cell>
          <cell r="J59">
            <v>42887</v>
          </cell>
          <cell r="K59">
            <v>104112651</v>
          </cell>
          <cell r="M59">
            <v>111362765</v>
          </cell>
          <cell r="O59">
            <v>104112651</v>
          </cell>
        </row>
        <row r="60">
          <cell r="A60" t="str">
            <v>IQ22797693</v>
          </cell>
          <cell r="B60" t="str">
            <v>Allianz Asset Management AG</v>
          </cell>
          <cell r="J60">
            <v>42887</v>
          </cell>
          <cell r="K60">
            <v>102880950</v>
          </cell>
          <cell r="M60">
            <v>112718893</v>
          </cell>
          <cell r="O60">
            <v>102880950</v>
          </cell>
        </row>
        <row r="61">
          <cell r="A61" t="str">
            <v>IQ40208978</v>
          </cell>
          <cell r="B61" t="str">
            <v>Brewin Dolphin Limited</v>
          </cell>
          <cell r="J61">
            <v>42887</v>
          </cell>
          <cell r="K61">
            <v>102566536</v>
          </cell>
          <cell r="M61">
            <v>101320482</v>
          </cell>
          <cell r="O61">
            <v>102566536</v>
          </cell>
        </row>
        <row r="62">
          <cell r="A62" t="str">
            <v>IQ997536</v>
          </cell>
          <cell r="B62" t="str">
            <v>AXA Investment Managers S.A.</v>
          </cell>
          <cell r="J62">
            <v>42887</v>
          </cell>
          <cell r="K62">
            <v>101798748</v>
          </cell>
          <cell r="M62">
            <v>129505375</v>
          </cell>
          <cell r="O62">
            <v>101798748</v>
          </cell>
        </row>
        <row r="63">
          <cell r="A63" t="str">
            <v>IQ5074057</v>
          </cell>
          <cell r="B63" t="str">
            <v>Rathbone Investment Management Limited</v>
          </cell>
          <cell r="J63">
            <v>42887</v>
          </cell>
          <cell r="K63">
            <v>101315049</v>
          </cell>
          <cell r="M63">
            <v>103192614</v>
          </cell>
          <cell r="O63">
            <v>101315049</v>
          </cell>
        </row>
        <row r="64">
          <cell r="A64" t="str">
            <v>IQ134268671</v>
          </cell>
          <cell r="B64" t="str">
            <v>Societe Generale Group, Banking Investments</v>
          </cell>
          <cell r="J64">
            <v>42887</v>
          </cell>
          <cell r="K64">
            <v>98127459</v>
          </cell>
          <cell r="M64">
            <v>77667363</v>
          </cell>
          <cell r="O64">
            <v>98127459</v>
          </cell>
        </row>
        <row r="65">
          <cell r="A65" t="str">
            <v>IQ661650</v>
          </cell>
          <cell r="B65" t="str">
            <v>OppenheimerFunds, Inc.</v>
          </cell>
          <cell r="J65">
            <v>42887</v>
          </cell>
          <cell r="K65">
            <v>95441607</v>
          </cell>
          <cell r="M65">
            <v>98677677</v>
          </cell>
          <cell r="O65">
            <v>95441607</v>
          </cell>
        </row>
        <row r="66">
          <cell r="A66" t="str">
            <v>IQ5455123</v>
          </cell>
          <cell r="B66" t="str">
            <v>Investec Wealth &amp; Investment Limited</v>
          </cell>
          <cell r="J66">
            <v>42887</v>
          </cell>
          <cell r="K66">
            <v>94585076</v>
          </cell>
          <cell r="M66">
            <v>103240698</v>
          </cell>
          <cell r="O66">
            <v>94585076</v>
          </cell>
        </row>
        <row r="67">
          <cell r="A67" t="str">
            <v>IQ27771658</v>
          </cell>
          <cell r="B67" t="str">
            <v>Santander Asset Management, S.A., S.G.I.I.C.</v>
          </cell>
          <cell r="J67">
            <v>42916</v>
          </cell>
          <cell r="K67">
            <v>89340177</v>
          </cell>
          <cell r="M67">
            <v>50342773</v>
          </cell>
          <cell r="O67">
            <v>89340177</v>
          </cell>
        </row>
        <row r="68">
          <cell r="A68" t="str">
            <v>IQ60503615</v>
          </cell>
          <cell r="B68" t="str">
            <v>Deutsche Asset &amp; Wealth Management</v>
          </cell>
          <cell r="J68">
            <v>42887</v>
          </cell>
          <cell r="K68">
            <v>87187626</v>
          </cell>
          <cell r="M68">
            <v>125785914</v>
          </cell>
          <cell r="O68">
            <v>87187626</v>
          </cell>
        </row>
        <row r="69">
          <cell r="A69" t="str">
            <v>IQ3599336</v>
          </cell>
          <cell r="B69" t="str">
            <v>Pzena Investment Management, Inc</v>
          </cell>
          <cell r="J69">
            <v>42887</v>
          </cell>
          <cell r="K69">
            <v>80786776</v>
          </cell>
          <cell r="M69">
            <v>77470320</v>
          </cell>
          <cell r="O69">
            <v>80786776</v>
          </cell>
        </row>
        <row r="70">
          <cell r="A70" t="str">
            <v>IQ660915</v>
          </cell>
          <cell r="B70" t="str">
            <v>Wellcome Trust, Investment Division</v>
          </cell>
          <cell r="J70">
            <v>42887</v>
          </cell>
          <cell r="K70">
            <v>80000000</v>
          </cell>
          <cell r="M70">
            <v>80000000</v>
          </cell>
          <cell r="O70">
            <v>80000000</v>
          </cell>
        </row>
        <row r="71">
          <cell r="A71" t="str">
            <v>IQ280208182</v>
          </cell>
          <cell r="B71" t="str">
            <v>Wells Fargo &amp; Company, Securities and Brokerage Investments</v>
          </cell>
          <cell r="J71">
            <v>42825</v>
          </cell>
          <cell r="K71">
            <v>78695970</v>
          </cell>
          <cell r="M71">
            <v>78695970</v>
          </cell>
          <cell r="O71">
            <v>78695970</v>
          </cell>
        </row>
        <row r="72">
          <cell r="A72" t="str">
            <v>IQ796830</v>
          </cell>
          <cell r="B72" t="str">
            <v>GIC Pte. Ltd.</v>
          </cell>
          <cell r="J72">
            <v>42887</v>
          </cell>
          <cell r="K72">
            <v>77758423</v>
          </cell>
          <cell r="M72">
            <v>81668287</v>
          </cell>
          <cell r="O72">
            <v>77758423</v>
          </cell>
        </row>
        <row r="73">
          <cell r="A73" t="str">
            <v>IQ54496609</v>
          </cell>
          <cell r="B73" t="str">
            <v>Commerzbank AG, Asset Management Arm</v>
          </cell>
          <cell r="J73">
            <v>42887</v>
          </cell>
          <cell r="K73">
            <v>77437950</v>
          </cell>
          <cell r="M73">
            <v>63311909</v>
          </cell>
          <cell r="O73">
            <v>77437950</v>
          </cell>
        </row>
        <row r="74">
          <cell r="A74" t="str">
            <v>IQ45466394</v>
          </cell>
          <cell r="B74" t="str">
            <v>BNP Paribas, Private &amp; Investment Banking Investments</v>
          </cell>
          <cell r="J74">
            <v>42887</v>
          </cell>
          <cell r="K74">
            <v>76203450</v>
          </cell>
          <cell r="M74">
            <v>130571237</v>
          </cell>
          <cell r="O74">
            <v>76203450</v>
          </cell>
        </row>
        <row r="75">
          <cell r="A75" t="str">
            <v>IQ4792614</v>
          </cell>
          <cell r="B75" t="str">
            <v>Thornburg Investment Management, Inc.</v>
          </cell>
          <cell r="J75">
            <v>42887</v>
          </cell>
          <cell r="K75">
            <v>75109324</v>
          </cell>
          <cell r="M75">
            <v>75109324</v>
          </cell>
          <cell r="O75">
            <v>75109324</v>
          </cell>
        </row>
        <row r="76">
          <cell r="A76" t="str">
            <v>IQ5449290</v>
          </cell>
          <cell r="B76" t="str">
            <v>Ignis Investment Services Limited</v>
          </cell>
          <cell r="J76">
            <v>42887</v>
          </cell>
          <cell r="K76">
            <v>72450004</v>
          </cell>
          <cell r="M76">
            <v>72450004</v>
          </cell>
          <cell r="O76">
            <v>72450004</v>
          </cell>
        </row>
        <row r="77">
          <cell r="A77" t="str">
            <v>IQ24886433</v>
          </cell>
          <cell r="B77" t="str">
            <v>Raymond James Financial Inc., Asset Management Arm</v>
          </cell>
          <cell r="J77">
            <v>42825</v>
          </cell>
          <cell r="K77">
            <v>68615130</v>
          </cell>
          <cell r="M77">
            <v>68615130</v>
          </cell>
          <cell r="O77">
            <v>68615130</v>
          </cell>
        </row>
        <row r="78">
          <cell r="A78" t="str">
            <v>IQ20405404</v>
          </cell>
          <cell r="B78" t="str">
            <v>Kames Capital plc</v>
          </cell>
          <cell r="J78">
            <v>42887</v>
          </cell>
          <cell r="K78">
            <v>67218723</v>
          </cell>
          <cell r="M78">
            <v>70188737</v>
          </cell>
          <cell r="O78">
            <v>67218723</v>
          </cell>
        </row>
        <row r="79">
          <cell r="A79" t="str">
            <v>IQ35159421</v>
          </cell>
          <cell r="B79" t="str">
            <v>Merrill Lynch &amp; Co. Inc., Banking Investments</v>
          </cell>
          <cell r="J79">
            <v>42887</v>
          </cell>
          <cell r="K79">
            <v>67201411</v>
          </cell>
          <cell r="M79">
            <v>45091469</v>
          </cell>
          <cell r="O79">
            <v>67201411</v>
          </cell>
        </row>
        <row r="80">
          <cell r="A80" t="str">
            <v>IQ5068102</v>
          </cell>
          <cell r="B80" t="str">
            <v>Altrinsic Global Advisors, LLC</v>
          </cell>
          <cell r="J80">
            <v>42825</v>
          </cell>
          <cell r="K80">
            <v>66730530</v>
          </cell>
          <cell r="M80">
            <v>66392180</v>
          </cell>
          <cell r="O80">
            <v>66730530</v>
          </cell>
        </row>
        <row r="81">
          <cell r="A81" t="str">
            <v>IQ20726731</v>
          </cell>
          <cell r="B81" t="str">
            <v>Old Mutual Global Investors</v>
          </cell>
          <cell r="J81">
            <v>42887</v>
          </cell>
          <cell r="K81">
            <v>66311654</v>
          </cell>
          <cell r="M81">
            <v>67280005</v>
          </cell>
          <cell r="O81">
            <v>66311654</v>
          </cell>
        </row>
        <row r="82">
          <cell r="A82" t="str">
            <v>IQ4853228</v>
          </cell>
          <cell r="B82" t="str">
            <v>Sound Shore Management, Inc.</v>
          </cell>
          <cell r="J82">
            <v>42825</v>
          </cell>
          <cell r="K82">
            <v>66206810</v>
          </cell>
          <cell r="M82">
            <v>66206810</v>
          </cell>
          <cell r="O82">
            <v>66206810</v>
          </cell>
        </row>
        <row r="83">
          <cell r="A83" t="str">
            <v>IQ45511281</v>
          </cell>
          <cell r="B83" t="str">
            <v>Sumitomo Mitsui Financial Group Inc., Asset Management Arm</v>
          </cell>
          <cell r="J83">
            <v>42887</v>
          </cell>
          <cell r="K83">
            <v>66053579</v>
          </cell>
          <cell r="M83">
            <v>67978472</v>
          </cell>
          <cell r="O83">
            <v>66053579</v>
          </cell>
        </row>
        <row r="84">
          <cell r="A84" t="str">
            <v>IQ39100647</v>
          </cell>
          <cell r="B84" t="str">
            <v>Managed Account Advisors LLC</v>
          </cell>
          <cell r="J84">
            <v>42825</v>
          </cell>
          <cell r="K84">
            <v>65792940</v>
          </cell>
          <cell r="M84">
            <v>65792940</v>
          </cell>
          <cell r="O84">
            <v>65792940</v>
          </cell>
        </row>
        <row r="85">
          <cell r="A85" t="str">
            <v>IQ26914859</v>
          </cell>
          <cell r="B85" t="str">
            <v>Toronto-Dominion Bank, Securities Investments</v>
          </cell>
          <cell r="J85">
            <v>42887</v>
          </cell>
          <cell r="K85">
            <v>64467436</v>
          </cell>
          <cell r="M85">
            <v>69079848</v>
          </cell>
          <cell r="O85">
            <v>64467436</v>
          </cell>
        </row>
        <row r="86">
          <cell r="A86" t="str">
            <v>IQ45275521</v>
          </cell>
          <cell r="B86" t="str">
            <v>Barclays Bank PLC, Wealth and Investment Management Division</v>
          </cell>
          <cell r="J86">
            <v>42887</v>
          </cell>
          <cell r="K86">
            <v>64197831</v>
          </cell>
          <cell r="M86">
            <v>77564527</v>
          </cell>
          <cell r="O86">
            <v>64197831</v>
          </cell>
        </row>
        <row r="87">
          <cell r="A87" t="str">
            <v>IQ28606822</v>
          </cell>
          <cell r="B87" t="str">
            <v>Sanderson Partners Ltd</v>
          </cell>
          <cell r="J87">
            <v>42887</v>
          </cell>
          <cell r="K87">
            <v>63603917</v>
          </cell>
          <cell r="M87">
            <v>64180655</v>
          </cell>
          <cell r="O87">
            <v>63603917</v>
          </cell>
        </row>
        <row r="88">
          <cell r="A88" t="str">
            <v>IQ4161650</v>
          </cell>
          <cell r="B88" t="str">
            <v>AllianceBernstein L.P.</v>
          </cell>
          <cell r="J88">
            <v>42887</v>
          </cell>
          <cell r="K88">
            <v>62761700</v>
          </cell>
          <cell r="M88">
            <v>75439020</v>
          </cell>
          <cell r="O88">
            <v>62761700</v>
          </cell>
        </row>
        <row r="89">
          <cell r="A89" t="str">
            <v>IQ946225</v>
          </cell>
          <cell r="B89" t="str">
            <v>Capital Group International Inc.</v>
          </cell>
          <cell r="J89">
            <v>42887</v>
          </cell>
          <cell r="K89">
            <v>61375980</v>
          </cell>
          <cell r="M89">
            <v>108355805</v>
          </cell>
          <cell r="O89">
            <v>61375980</v>
          </cell>
        </row>
        <row r="90">
          <cell r="A90" t="str">
            <v>IQ161245</v>
          </cell>
          <cell r="B90" t="str">
            <v>California Public Employees' Retirement System</v>
          </cell>
          <cell r="J90">
            <v>42887</v>
          </cell>
          <cell r="K90">
            <v>60089825</v>
          </cell>
          <cell r="M90">
            <v>58825279</v>
          </cell>
          <cell r="O90">
            <v>60089825</v>
          </cell>
        </row>
        <row r="91">
          <cell r="A91" t="str">
            <v>IQ172314482</v>
          </cell>
          <cell r="B91" t="str">
            <v>NFU Mutual Investment Services Limited</v>
          </cell>
          <cell r="J91">
            <v>42887</v>
          </cell>
          <cell r="K91">
            <v>59034090</v>
          </cell>
          <cell r="M91">
            <v>60709718</v>
          </cell>
          <cell r="O91">
            <v>59034090</v>
          </cell>
        </row>
        <row r="92">
          <cell r="A92" t="str">
            <v>IQ6771322</v>
          </cell>
          <cell r="B92" t="str">
            <v>Employees Provident Fund of Malaysia</v>
          </cell>
          <cell r="J92">
            <v>42887</v>
          </cell>
          <cell r="K92">
            <v>58767000</v>
          </cell>
          <cell r="M92">
            <v>52220000</v>
          </cell>
          <cell r="O92">
            <v>58767000</v>
          </cell>
        </row>
        <row r="93">
          <cell r="A93" t="str">
            <v>IQ5407888</v>
          </cell>
          <cell r="B93" t="str">
            <v>Quilter Cheviot Limited</v>
          </cell>
          <cell r="J93">
            <v>42887</v>
          </cell>
          <cell r="K93">
            <v>57756185</v>
          </cell>
          <cell r="M93">
            <v>59130801</v>
          </cell>
          <cell r="O93">
            <v>57756185</v>
          </cell>
        </row>
        <row r="94">
          <cell r="A94" t="str">
            <v>IQ10517918</v>
          </cell>
          <cell r="B94" t="str">
            <v>Geode Capital Management, LLC</v>
          </cell>
          <cell r="J94">
            <v>42886</v>
          </cell>
          <cell r="K94">
            <v>57231279</v>
          </cell>
          <cell r="M94">
            <v>52033430</v>
          </cell>
          <cell r="O94">
            <v>57231279</v>
          </cell>
        </row>
        <row r="95">
          <cell r="A95" t="str">
            <v>IQ29463671</v>
          </cell>
          <cell r="B95" t="str">
            <v>LBBW Asset Management Investmentgesellschaft mbH</v>
          </cell>
          <cell r="J95">
            <v>42887</v>
          </cell>
          <cell r="K95">
            <v>56335155</v>
          </cell>
          <cell r="M95">
            <v>31367491</v>
          </cell>
          <cell r="O95">
            <v>56335155</v>
          </cell>
        </row>
        <row r="96">
          <cell r="A96" t="str">
            <v>IQ517678</v>
          </cell>
          <cell r="B96" t="str">
            <v>D. E. Shaw &amp; Co., L.P.</v>
          </cell>
          <cell r="J96">
            <v>42825</v>
          </cell>
          <cell r="K96">
            <v>55718840</v>
          </cell>
          <cell r="M96">
            <v>55718840</v>
          </cell>
          <cell r="O96">
            <v>55718840</v>
          </cell>
        </row>
        <row r="97">
          <cell r="A97" t="str">
            <v>IQ45324448</v>
          </cell>
          <cell r="B97" t="str">
            <v>ING Groep NV, Insurance and Banking Investments</v>
          </cell>
          <cell r="J97">
            <v>42916</v>
          </cell>
          <cell r="K97">
            <v>53464797</v>
          </cell>
          <cell r="M97">
            <v>52200024</v>
          </cell>
          <cell r="O97">
            <v>53464797</v>
          </cell>
        </row>
        <row r="98">
          <cell r="A98" t="str">
            <v>IQ4849059</v>
          </cell>
          <cell r="B98" t="str">
            <v>Barrow, Hanley, Mewhinney &amp; Strauss, Inc.</v>
          </cell>
          <cell r="J98">
            <v>42916</v>
          </cell>
          <cell r="K98">
            <v>52465400</v>
          </cell>
          <cell r="M98">
            <v>52465400</v>
          </cell>
          <cell r="O98">
            <v>52465400</v>
          </cell>
        </row>
        <row r="99">
          <cell r="A99" t="str">
            <v>IQ3071217</v>
          </cell>
          <cell r="B99" t="str">
            <v>Renaissance Technologies Corp.</v>
          </cell>
          <cell r="J99">
            <v>42825</v>
          </cell>
          <cell r="K99">
            <v>51742000</v>
          </cell>
          <cell r="M99">
            <v>51742000</v>
          </cell>
          <cell r="O99">
            <v>51742000</v>
          </cell>
        </row>
        <row r="100">
          <cell r="A100" t="str">
            <v>IQ27814715</v>
          </cell>
          <cell r="B100" t="str">
            <v>Smith &amp; Williamson Investment Services Limited</v>
          </cell>
          <cell r="J100">
            <v>42887</v>
          </cell>
          <cell r="K100">
            <v>51051672</v>
          </cell>
          <cell r="M100">
            <v>51851946</v>
          </cell>
          <cell r="O100">
            <v>51051672</v>
          </cell>
        </row>
        <row r="101">
          <cell r="A101" t="str">
            <v>IQ10079204</v>
          </cell>
          <cell r="B101" t="str">
            <v>Deka Investment GmbH</v>
          </cell>
          <cell r="J101">
            <v>42887</v>
          </cell>
          <cell r="K101">
            <v>50770124</v>
          </cell>
          <cell r="M101">
            <v>54316153</v>
          </cell>
          <cell r="O101">
            <v>50770124</v>
          </cell>
        </row>
        <row r="102">
          <cell r="A102" t="str">
            <v>IQ974641</v>
          </cell>
          <cell r="B102" t="str">
            <v>Jupiter Asset Management Limited</v>
          </cell>
          <cell r="J102">
            <v>42887</v>
          </cell>
          <cell r="K102">
            <v>48804100</v>
          </cell>
          <cell r="M102">
            <v>55513619</v>
          </cell>
          <cell r="O102">
            <v>48804100</v>
          </cell>
        </row>
        <row r="103">
          <cell r="A103" t="str">
            <v>IQ2410680</v>
          </cell>
          <cell r="B103" t="str">
            <v>J.M. Finn &amp; Co. Ltd.</v>
          </cell>
          <cell r="J103">
            <v>42887</v>
          </cell>
          <cell r="K103">
            <v>48001201</v>
          </cell>
          <cell r="M103">
            <v>47667462</v>
          </cell>
          <cell r="O103">
            <v>48001201</v>
          </cell>
        </row>
        <row r="104">
          <cell r="A104" t="str">
            <v>IQ24765759</v>
          </cell>
          <cell r="B104" t="str">
            <v>Troy Asset Management Limited</v>
          </cell>
          <cell r="J104">
            <v>42887</v>
          </cell>
          <cell r="K104">
            <v>47703397</v>
          </cell>
          <cell r="M104">
            <v>47703397</v>
          </cell>
          <cell r="O104">
            <v>47703397</v>
          </cell>
        </row>
        <row r="105">
          <cell r="A105" t="str">
            <v>IQ24587069</v>
          </cell>
          <cell r="B105" t="str">
            <v>BP Investment Management Limited</v>
          </cell>
          <cell r="J105">
            <v>42887</v>
          </cell>
          <cell r="K105">
            <v>46722455</v>
          </cell>
          <cell r="M105">
            <v>49344560</v>
          </cell>
          <cell r="O105">
            <v>46722455</v>
          </cell>
        </row>
        <row r="106">
          <cell r="A106" t="str">
            <v>IQ302550702</v>
          </cell>
          <cell r="B106" t="str">
            <v>Caisse des dépôts et consignations, Asset Management Arm</v>
          </cell>
          <cell r="J106">
            <v>42887</v>
          </cell>
          <cell r="K106">
            <v>46495519</v>
          </cell>
          <cell r="M106">
            <v>46495519</v>
          </cell>
          <cell r="O106">
            <v>46495519</v>
          </cell>
        </row>
        <row r="107">
          <cell r="A107" t="str">
            <v>IQ27920058</v>
          </cell>
          <cell r="B107" t="str">
            <v>Mitsubishi UFJ Kokusai Asset Management Co., Ltd.</v>
          </cell>
          <cell r="J107">
            <v>42887</v>
          </cell>
          <cell r="K107">
            <v>46277224</v>
          </cell>
          <cell r="M107">
            <v>49243602</v>
          </cell>
          <cell r="O107">
            <v>46277224</v>
          </cell>
        </row>
        <row r="108">
          <cell r="A108" t="str">
            <v>IQ7827260</v>
          </cell>
          <cell r="B108" t="str">
            <v>Invesco PowerShares Capital Management LLC</v>
          </cell>
          <cell r="J108">
            <v>42887</v>
          </cell>
          <cell r="K108">
            <v>45458899</v>
          </cell>
          <cell r="M108">
            <v>44397896</v>
          </cell>
          <cell r="O108">
            <v>45458899</v>
          </cell>
        </row>
        <row r="109">
          <cell r="A109" t="str">
            <v>IQ1726073</v>
          </cell>
          <cell r="B109" t="str">
            <v>TD Asset Management, Inc.</v>
          </cell>
          <cell r="J109">
            <v>42887</v>
          </cell>
          <cell r="K109">
            <v>44438583</v>
          </cell>
          <cell r="M109">
            <v>45146358</v>
          </cell>
          <cell r="O109">
            <v>44438583</v>
          </cell>
        </row>
        <row r="110">
          <cell r="A110" t="str">
            <v>IQ3546822</v>
          </cell>
          <cell r="B110" t="str">
            <v>Goldman Sachs Asset Management, L.P.</v>
          </cell>
          <cell r="J110">
            <v>42855</v>
          </cell>
          <cell r="K110">
            <v>44340107</v>
          </cell>
          <cell r="M110">
            <v>45208022</v>
          </cell>
          <cell r="O110">
            <v>44340107</v>
          </cell>
        </row>
        <row r="111">
          <cell r="A111" t="str">
            <v>IQ23023177</v>
          </cell>
          <cell r="B111" t="str">
            <v>Swedbank Robur Fonder AB</v>
          </cell>
          <cell r="J111">
            <v>42887</v>
          </cell>
          <cell r="K111">
            <v>42540285</v>
          </cell>
          <cell r="M111">
            <v>61014069</v>
          </cell>
          <cell r="O111">
            <v>42540285</v>
          </cell>
        </row>
        <row r="112">
          <cell r="A112" t="str">
            <v>IQ41951543</v>
          </cell>
          <cell r="B112" t="str">
            <v>The Bank of Nova Scotia, Banking Investments</v>
          </cell>
          <cell r="J112">
            <v>42887</v>
          </cell>
          <cell r="K112">
            <v>42471700</v>
          </cell>
          <cell r="M112">
            <v>51021445</v>
          </cell>
          <cell r="O112">
            <v>42471700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4">
          <cell r="A74" t="str">
            <v>BlackRock, Inc.</v>
          </cell>
          <cell r="C74">
            <v>1725256860</v>
          </cell>
          <cell r="J74">
            <v>-232218693</v>
          </cell>
        </row>
        <row r="75">
          <cell r="A75" t="str">
            <v>Capital Research and Management Company</v>
          </cell>
          <cell r="C75">
            <v>799776668</v>
          </cell>
          <cell r="J75">
            <v>-128823432</v>
          </cell>
        </row>
        <row r="76">
          <cell r="A76" t="str">
            <v>Fisher Investments</v>
          </cell>
          <cell r="C76">
            <v>264021362</v>
          </cell>
          <cell r="J76">
            <v>-67565572</v>
          </cell>
        </row>
        <row r="77">
          <cell r="A77" t="str">
            <v>Deutsche Bank, Private Banking and Investment Banking Investments</v>
          </cell>
          <cell r="C77">
            <v>132294128</v>
          </cell>
          <cell r="J77">
            <v>-67177722</v>
          </cell>
        </row>
        <row r="78">
          <cell r="A78" t="str">
            <v>UBS Asset Management</v>
          </cell>
          <cell r="C78">
            <v>722203258</v>
          </cell>
          <cell r="J78">
            <v>-54367787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6" tint="-0.499984740745262"/>
    <pageSetUpPr autoPageBreaks="0"/>
  </sheetPr>
  <dimension ref="B2:XFC169"/>
  <sheetViews>
    <sheetView showGridLines="0" tabSelected="1" zoomScale="85" zoomScaleNormal="85" workbookViewId="0">
      <selection activeCell="A2" sqref="A2"/>
    </sheetView>
  </sheetViews>
  <sheetFormatPr defaultRowHeight="15" outlineLevelRow="1" outlineLevelCol="1"/>
  <cols>
    <col min="2" max="2" width="25.28515625" bestFit="1" customWidth="1"/>
    <col min="3" max="13" width="9.7109375" customWidth="1"/>
    <col min="15" max="15" width="15.7109375" customWidth="1"/>
    <col min="16" max="16" width="28.5703125" customWidth="1"/>
    <col min="18" max="18" width="24.28515625" hidden="1" customWidth="1" outlineLevel="1"/>
    <col min="19" max="41" width="9.140625" hidden="1" customWidth="1" outlineLevel="1"/>
    <col min="42" max="42" width="9.140625" collapsed="1"/>
  </cols>
  <sheetData>
    <row r="2" spans="2:41">
      <c r="B2" s="52" t="s">
        <v>101</v>
      </c>
      <c r="C2" s="52"/>
      <c r="D2" s="52"/>
      <c r="E2" s="52"/>
    </row>
    <row r="3" spans="2:41" ht="5.0999999999999996" customHeight="1"/>
    <row r="4" spans="2:41">
      <c r="B4" s="3" t="s">
        <v>92</v>
      </c>
      <c r="C4" s="43">
        <f ca="1">TODAY()</f>
        <v>44579</v>
      </c>
    </row>
    <row r="5" spans="2:41">
      <c r="B5" s="3" t="s">
        <v>93</v>
      </c>
      <c r="C5" s="152" t="s">
        <v>234</v>
      </c>
    </row>
    <row r="6" spans="2:41">
      <c r="B6" s="3" t="s">
        <v>94</v>
      </c>
      <c r="C6" s="152" t="s">
        <v>233</v>
      </c>
    </row>
    <row r="7" spans="2:41" ht="5.0999999999999996" customHeight="1"/>
    <row r="8" spans="2:41">
      <c r="B8" s="52" t="s">
        <v>89</v>
      </c>
      <c r="C8" s="52"/>
      <c r="D8" s="52"/>
      <c r="E8" s="52"/>
      <c r="G8" s="52" t="s">
        <v>58</v>
      </c>
      <c r="H8" s="53"/>
      <c r="I8" s="53"/>
      <c r="J8" s="53"/>
      <c r="K8" s="53"/>
      <c r="L8" s="53"/>
      <c r="M8" s="53"/>
      <c r="O8" s="52" t="s">
        <v>87</v>
      </c>
      <c r="P8" s="53"/>
      <c r="Q8" s="53"/>
      <c r="R8" s="16" t="s">
        <v>86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2:41" ht="5.0999999999999996" customHeight="1"/>
    <row r="10" spans="2:41">
      <c r="C10" s="21" t="s">
        <v>65</v>
      </c>
      <c r="D10" s="21" t="s">
        <v>65</v>
      </c>
      <c r="E10" s="21" t="s">
        <v>64</v>
      </c>
      <c r="G10" s="40"/>
      <c r="J10" s="21" t="s">
        <v>88</v>
      </c>
      <c r="K10" s="31" t="s">
        <v>59</v>
      </c>
      <c r="L10" s="31" t="s">
        <v>59</v>
      </c>
      <c r="M10" s="31" t="s">
        <v>59</v>
      </c>
      <c r="O10" s="3" t="s">
        <v>68</v>
      </c>
      <c r="P10" s="6" t="s">
        <v>79</v>
      </c>
      <c r="Q10" s="6"/>
      <c r="S10" s="6">
        <v>1996</v>
      </c>
      <c r="T10">
        <f>+S10+1</f>
        <v>1997</v>
      </c>
      <c r="U10">
        <f t="shared" ref="U10:AO10" si="0">+T10+1</f>
        <v>1998</v>
      </c>
      <c r="V10">
        <f t="shared" si="0"/>
        <v>1999</v>
      </c>
      <c r="W10">
        <f t="shared" si="0"/>
        <v>2000</v>
      </c>
      <c r="X10">
        <f t="shared" si="0"/>
        <v>2001</v>
      </c>
      <c r="Y10">
        <f t="shared" si="0"/>
        <v>2002</v>
      </c>
      <c r="Z10">
        <f t="shared" si="0"/>
        <v>2003</v>
      </c>
      <c r="AA10">
        <f t="shared" si="0"/>
        <v>2004</v>
      </c>
      <c r="AB10">
        <f t="shared" si="0"/>
        <v>2005</v>
      </c>
      <c r="AC10">
        <f t="shared" si="0"/>
        <v>2006</v>
      </c>
      <c r="AD10">
        <f t="shared" si="0"/>
        <v>2007</v>
      </c>
      <c r="AE10">
        <f t="shared" si="0"/>
        <v>2008</v>
      </c>
      <c r="AF10">
        <f t="shared" si="0"/>
        <v>2009</v>
      </c>
      <c r="AG10">
        <f t="shared" si="0"/>
        <v>2010</v>
      </c>
      <c r="AH10">
        <f t="shared" si="0"/>
        <v>2011</v>
      </c>
      <c r="AI10">
        <f t="shared" si="0"/>
        <v>2012</v>
      </c>
      <c r="AJ10">
        <f t="shared" si="0"/>
        <v>2013</v>
      </c>
      <c r="AK10">
        <f t="shared" si="0"/>
        <v>2014</v>
      </c>
      <c r="AL10">
        <f t="shared" si="0"/>
        <v>2015</v>
      </c>
      <c r="AM10">
        <f t="shared" si="0"/>
        <v>2016</v>
      </c>
      <c r="AN10">
        <f t="shared" si="0"/>
        <v>2017</v>
      </c>
      <c r="AO10">
        <f t="shared" si="0"/>
        <v>2018</v>
      </c>
    </row>
    <row r="11" spans="2:41">
      <c r="C11" s="21" t="s">
        <v>0</v>
      </c>
      <c r="D11" s="21" t="s">
        <v>66</v>
      </c>
      <c r="E11" s="34">
        <f ca="1">+C82</f>
        <v>26.628670800449658</v>
      </c>
      <c r="G11" s="40"/>
      <c r="J11" s="21" t="s">
        <v>54</v>
      </c>
      <c r="K11" s="21" t="s">
        <v>57</v>
      </c>
      <c r="L11" s="21" t="s">
        <v>56</v>
      </c>
      <c r="M11" s="21" t="s">
        <v>99</v>
      </c>
      <c r="O11" s="3" t="s">
        <v>69</v>
      </c>
      <c r="P11" s="6" t="s">
        <v>395</v>
      </c>
      <c r="Q11" s="6"/>
      <c r="R11" s="5" t="str">
        <f>("World-"&amp;$P$10)</f>
        <v>World-Technology</v>
      </c>
      <c r="S11" s="4">
        <v>17.453759387533303</v>
      </c>
      <c r="T11" s="4">
        <v>17.205916063909996</v>
      </c>
      <c r="U11" s="4">
        <v>17.767847570322242</v>
      </c>
      <c r="V11" s="4">
        <v>21.420825743769456</v>
      </c>
      <c r="W11" s="4">
        <v>15.064414579761264</v>
      </c>
      <c r="X11" s="4">
        <v>12.283334541279425</v>
      </c>
      <c r="Y11" s="4">
        <v>11.507237778422699</v>
      </c>
      <c r="Z11" s="4">
        <v>12.371121712117059</v>
      </c>
      <c r="AA11" s="4">
        <v>14.506058981906175</v>
      </c>
      <c r="AB11" s="4">
        <v>13.203915896800043</v>
      </c>
      <c r="AC11" s="4">
        <v>13.249938119441936</v>
      </c>
      <c r="AD11" s="4">
        <v>11.170127560656576</v>
      </c>
      <c r="AE11" s="4">
        <v>17.986182477147128</v>
      </c>
      <c r="AF11" s="4">
        <v>12.076310332695046</v>
      </c>
      <c r="AG11" s="4">
        <v>16.697031956096691</v>
      </c>
      <c r="AH11" s="4">
        <v>16.140104503321894</v>
      </c>
      <c r="AI11" s="4">
        <v>10.866274424550083</v>
      </c>
      <c r="AJ11" s="4">
        <v>11.568124892932982</v>
      </c>
      <c r="AK11" s="4">
        <v>9.9606001287195625</v>
      </c>
      <c r="AL11" s="4">
        <v>12.480220928628807</v>
      </c>
      <c r="AM11" s="4">
        <v>10.291423822573385</v>
      </c>
      <c r="AN11" s="4">
        <v>11.703550027232945</v>
      </c>
      <c r="AO11" s="4">
        <v>14.68975926385297</v>
      </c>
    </row>
    <row r="12" spans="2:41" ht="15.75" thickBot="1">
      <c r="B12" s="3" t="s">
        <v>61</v>
      </c>
      <c r="C12" s="32">
        <f t="array" ref="C12:C14">TRANSPOSE(J23:L23)</f>
        <v>14.478229451929503</v>
      </c>
      <c r="D12" s="33">
        <f t="array" ref="D12:D14">TRANSPOSE(J36:L36)</f>
        <v>2.5000000000000001E-2</v>
      </c>
      <c r="E12" s="48">
        <f t="dataTable" ref="E12:E14" dt2D="0" dtr="0" r1="L85" ca="1"/>
        <v>23.061538592017605</v>
      </c>
      <c r="G12" s="3" t="str">
        <f>("World-"&amp;$P$10)</f>
        <v>World-Technology</v>
      </c>
      <c r="J12" s="41">
        <v>92</v>
      </c>
      <c r="K12" s="42">
        <v>0.13411714614360545</v>
      </c>
      <c r="L12" s="42">
        <v>0.13985394812768334</v>
      </c>
      <c r="M12" s="42">
        <v>0.34671235067667672</v>
      </c>
      <c r="O12" s="3" t="s">
        <v>70</v>
      </c>
      <c r="P12" s="6" t="s">
        <v>81</v>
      </c>
      <c r="Q12" s="6"/>
      <c r="R12" s="5" t="str">
        <f>($P$12&amp;"-"&amp;$P$10)</f>
        <v>UNITED STATES-Technology</v>
      </c>
      <c r="S12" s="4">
        <v>18.56192007086797</v>
      </c>
      <c r="T12" s="4">
        <v>17.735070626065259</v>
      </c>
      <c r="U12" s="4">
        <v>17.000717410669655</v>
      </c>
      <c r="V12" s="4">
        <v>17.441647778385544</v>
      </c>
      <c r="W12" s="4">
        <v>18.007281483233708</v>
      </c>
      <c r="X12" s="4">
        <v>11.851184900426819</v>
      </c>
      <c r="Y12" s="4">
        <v>10.322957858009042</v>
      </c>
      <c r="Z12" s="4">
        <v>12.761764989568331</v>
      </c>
      <c r="AA12" s="4">
        <v>14.120721214416504</v>
      </c>
      <c r="AB12" s="4">
        <v>14.503738428126637</v>
      </c>
      <c r="AC12" s="4">
        <v>14.733749939303189</v>
      </c>
      <c r="AD12" s="4">
        <v>10.303017586171588</v>
      </c>
      <c r="AE12" s="4">
        <v>17.933714426642151</v>
      </c>
      <c r="AF12" s="4">
        <v>13.125461267698405</v>
      </c>
      <c r="AG12" s="4">
        <v>16.957149241775024</v>
      </c>
      <c r="AH12" s="4">
        <v>17.504960136719536</v>
      </c>
      <c r="AI12" s="4">
        <v>13.676414354593136</v>
      </c>
      <c r="AJ12" s="4">
        <v>12.740379391713986</v>
      </c>
      <c r="AK12" s="4">
        <v>11.802772200139815</v>
      </c>
      <c r="AL12" s="4">
        <v>10.99643237200601</v>
      </c>
      <c r="AM12" s="4">
        <v>8.3769353647614864</v>
      </c>
      <c r="AN12" s="4">
        <v>11.268986435724145</v>
      </c>
      <c r="AO12" s="4">
        <v>15.986357142464458</v>
      </c>
    </row>
    <row r="13" spans="2:41" ht="15.75" thickBot="1">
      <c r="B13" s="3" t="s">
        <v>63</v>
      </c>
      <c r="C13" s="32">
        <v>16.855342657773654</v>
      </c>
      <c r="D13" s="33">
        <v>0.03</v>
      </c>
      <c r="E13" s="132">
        <v>26.628671458038948</v>
      </c>
      <c r="G13" s="3" t="str">
        <f>($P$12&amp;"-"&amp;$P$10)</f>
        <v>UNITED STATES-Technology</v>
      </c>
      <c r="J13" s="41">
        <v>50.695652173913047</v>
      </c>
      <c r="K13" s="42">
        <v>0.15980124704661147</v>
      </c>
      <c r="L13" s="42">
        <v>0.14248405853020973</v>
      </c>
      <c r="M13" s="42">
        <v>0.15661139045238037</v>
      </c>
      <c r="O13" s="3" t="s">
        <v>72</v>
      </c>
      <c r="P13" s="6" t="s">
        <v>55</v>
      </c>
      <c r="Q13" s="6"/>
      <c r="R13" s="5" t="str">
        <f>("World-"&amp;$P$11)</f>
        <v>World-Software</v>
      </c>
      <c r="S13" s="4">
        <v>20.48356880019838</v>
      </c>
      <c r="T13" s="4">
        <v>20.341424147073234</v>
      </c>
      <c r="U13" s="4">
        <v>21.138487118545449</v>
      </c>
      <c r="V13" s="4">
        <v>22.119871288482653</v>
      </c>
      <c r="W13" s="4">
        <v>17.176512666679333</v>
      </c>
      <c r="X13" s="4">
        <v>16.741947021079252</v>
      </c>
      <c r="Y13" s="4">
        <v>16.333691465758665</v>
      </c>
      <c r="Z13" s="4">
        <v>14.836331484543635</v>
      </c>
      <c r="AA13" s="4">
        <v>16.02537532695165</v>
      </c>
      <c r="AB13" s="4">
        <v>17.630133528244404</v>
      </c>
      <c r="AC13" s="4">
        <v>13.764024418006265</v>
      </c>
      <c r="AD13" s="4">
        <v>13.777257201778625</v>
      </c>
      <c r="AE13" s="4">
        <v>20.56540297762707</v>
      </c>
      <c r="AF13" s="4">
        <v>23.904219076756124</v>
      </c>
      <c r="AG13" s="4">
        <v>17.650295098476793</v>
      </c>
      <c r="AH13" s="4">
        <v>19.277194746266478</v>
      </c>
      <c r="AI13" s="4">
        <v>18.525152835535884</v>
      </c>
      <c r="AJ13" s="4">
        <v>13.595495546291083</v>
      </c>
      <c r="AK13" s="4">
        <v>9.4411887694125642</v>
      </c>
      <c r="AL13" s="4">
        <v>11.78235545910978</v>
      </c>
      <c r="AM13" s="4">
        <v>9.5683607991192012</v>
      </c>
      <c r="AN13" s="4">
        <v>10.74813228900017</v>
      </c>
      <c r="AO13" s="4">
        <v>13.002469237861472</v>
      </c>
    </row>
    <row r="14" spans="2:41">
      <c r="B14" s="3" t="s">
        <v>62</v>
      </c>
      <c r="C14" s="32">
        <v>19.33959072728501</v>
      </c>
      <c r="D14" s="33">
        <v>3.5000000000000003E-2</v>
      </c>
      <c r="E14" s="48">
        <v>30.359163787532868</v>
      </c>
      <c r="G14" s="3" t="str">
        <f>("World-"&amp;$P$11)</f>
        <v>World-Software</v>
      </c>
      <c r="J14" s="41">
        <v>32.304347826086953</v>
      </c>
      <c r="K14" s="42">
        <v>0.1569106292199316</v>
      </c>
      <c r="L14" s="42">
        <v>0.16453430056643403</v>
      </c>
      <c r="M14" s="42">
        <v>0.2867749814911974</v>
      </c>
      <c r="R14" s="5" t="str">
        <f>($P$12&amp;"-"&amp;$P$11)</f>
        <v>UNITED STATES-Software</v>
      </c>
      <c r="S14" s="4">
        <v>22.864794385200298</v>
      </c>
      <c r="T14" s="4">
        <v>23.416278952493716</v>
      </c>
      <c r="U14" s="4">
        <v>21.627258668790805</v>
      </c>
      <c r="V14" s="4">
        <v>24.915096296833266</v>
      </c>
      <c r="W14" s="4">
        <v>19.850091975348828</v>
      </c>
      <c r="X14" s="4">
        <v>19.650813244781475</v>
      </c>
      <c r="Y14" s="4">
        <v>16.348921417159648</v>
      </c>
      <c r="Z14" s="4">
        <v>15.535215584271382</v>
      </c>
      <c r="AA14" s="4">
        <v>16.036010944793464</v>
      </c>
      <c r="AB14" s="4">
        <v>18.205442123878889</v>
      </c>
      <c r="AC14" s="4">
        <v>13.905778870397754</v>
      </c>
      <c r="AD14" s="4">
        <v>14.208885677584306</v>
      </c>
      <c r="AE14" s="4">
        <v>21.132777432199532</v>
      </c>
      <c r="AF14" s="4">
        <v>26.301316248637015</v>
      </c>
      <c r="AG14" s="4">
        <v>17.802580732621365</v>
      </c>
      <c r="AH14" s="4">
        <v>17.943074775372242</v>
      </c>
      <c r="AI14" s="4">
        <v>18.178749452800286</v>
      </c>
      <c r="AJ14" s="4">
        <v>14.046163017667121</v>
      </c>
      <c r="AK14" s="4">
        <v>10.091730913497409</v>
      </c>
      <c r="AL14" s="4">
        <v>7.629889039323734</v>
      </c>
      <c r="AM14" s="4">
        <v>6.0802164924068922</v>
      </c>
      <c r="AN14" s="4">
        <v>9.0662833642298644</v>
      </c>
      <c r="AO14" s="4">
        <v>12.281444248234671</v>
      </c>
    </row>
    <row r="15" spans="2:41">
      <c r="G15" s="3" t="str">
        <f>($P$12&amp;"-"&amp;$P$11)</f>
        <v>UNITED STATES-Software</v>
      </c>
      <c r="J15" s="41">
        <v>20.869565217391305</v>
      </c>
      <c r="K15" s="42">
        <v>0.17662572138868179</v>
      </c>
      <c r="L15" s="42">
        <v>0.16831252776457573</v>
      </c>
      <c r="M15" s="42">
        <v>0.35010519404427048</v>
      </c>
    </row>
    <row r="16" spans="2:41">
      <c r="G16" s="3" t="s">
        <v>60</v>
      </c>
      <c r="J16" s="118"/>
      <c r="K16" s="119"/>
      <c r="L16" s="119"/>
      <c r="M16" s="120"/>
    </row>
    <row r="17" spans="2:22">
      <c r="G17" s="3" t="s">
        <v>85</v>
      </c>
      <c r="J17" s="139" t="s">
        <v>41</v>
      </c>
      <c r="K17" s="139" t="s">
        <v>41</v>
      </c>
      <c r="L17" s="49">
        <f>+K40</f>
        <v>0.10932827515112511</v>
      </c>
      <c r="M17" s="49">
        <f ca="1">IFERROR(-M65/M61,"na")</f>
        <v>0.56743402108779417</v>
      </c>
    </row>
    <row r="18" spans="2:22" ht="5.0999999999999996" customHeight="1"/>
    <row r="19" spans="2:22">
      <c r="B19" s="52" t="s">
        <v>11</v>
      </c>
      <c r="C19" s="53"/>
      <c r="D19" s="53"/>
      <c r="E19" s="53"/>
      <c r="G19" s="52" t="s">
        <v>48</v>
      </c>
      <c r="H19" s="53"/>
      <c r="I19" s="53"/>
      <c r="J19" s="53"/>
      <c r="K19" s="53"/>
      <c r="L19" s="53"/>
      <c r="M19" s="53"/>
    </row>
    <row r="20" spans="2:22" ht="5.0999999999999996" customHeight="1"/>
    <row r="21" spans="2:22">
      <c r="B21" t="s">
        <v>30</v>
      </c>
      <c r="C21" s="40">
        <v>2022</v>
      </c>
      <c r="J21" s="21" t="s">
        <v>42</v>
      </c>
      <c r="K21" s="190" t="s">
        <v>43</v>
      </c>
      <c r="L21" s="190" t="s">
        <v>44</v>
      </c>
    </row>
    <row r="22" spans="2:22">
      <c r="B22" t="s">
        <v>31</v>
      </c>
      <c r="C22" s="51">
        <v>0.02</v>
      </c>
      <c r="G22" t="s">
        <v>53</v>
      </c>
      <c r="J22" s="35">
        <f>+J36</f>
        <v>2.5000000000000001E-2</v>
      </c>
      <c r="K22" s="191">
        <f>+K36</f>
        <v>0.03</v>
      </c>
      <c r="L22" s="191">
        <f>+L36</f>
        <v>3.5000000000000003E-2</v>
      </c>
    </row>
    <row r="23" spans="2:22">
      <c r="B23" t="s">
        <v>32</v>
      </c>
      <c r="C23" s="51">
        <v>0.06</v>
      </c>
      <c r="G23" s="36" t="s">
        <v>0</v>
      </c>
      <c r="H23" s="36"/>
      <c r="I23" s="37">
        <f ca="1">+$L$83</f>
        <v>16.855342704344938</v>
      </c>
      <c r="J23" s="38">
        <f t="dataTable" ref="J23:L23" dt2D="0" dtr="1" r1="L85" ca="1"/>
        <v>14.478229451929503</v>
      </c>
      <c r="K23" s="192">
        <v>16.855342657773654</v>
      </c>
      <c r="L23" s="192">
        <v>19.33959072728501</v>
      </c>
    </row>
    <row r="24" spans="2:22">
      <c r="B24" t="s">
        <v>3</v>
      </c>
      <c r="C24" s="161">
        <v>1</v>
      </c>
      <c r="G24" s="36"/>
      <c r="H24" s="36"/>
      <c r="I24" s="36"/>
      <c r="J24" s="39"/>
      <c r="K24" s="39"/>
      <c r="L24" s="39"/>
    </row>
    <row r="25" spans="2:22">
      <c r="B25" t="s">
        <v>2</v>
      </c>
      <c r="C25" s="1">
        <f>+C22+C23*C24</f>
        <v>0.08</v>
      </c>
      <c r="G25" s="52" t="s">
        <v>207</v>
      </c>
      <c r="H25" s="53"/>
      <c r="I25" s="53"/>
      <c r="J25" s="53"/>
      <c r="K25" s="53"/>
      <c r="L25" s="53"/>
      <c r="M25" s="53"/>
    </row>
    <row r="26" spans="2:22">
      <c r="B26" t="s">
        <v>33</v>
      </c>
      <c r="C26" s="17">
        <v>0.04</v>
      </c>
      <c r="G26" s="143" t="s">
        <v>208</v>
      </c>
      <c r="H26" s="36"/>
      <c r="I26" s="36"/>
      <c r="J26" s="36"/>
      <c r="K26" s="38">
        <f>Model!AN177</f>
        <v>0.89999999999999991</v>
      </c>
      <c r="L26" s="36"/>
      <c r="M26" s="36"/>
    </row>
    <row r="27" spans="2:22">
      <c r="B27" t="s">
        <v>98</v>
      </c>
      <c r="C27" s="51">
        <v>0.02</v>
      </c>
      <c r="G27" s="143" t="s">
        <v>209</v>
      </c>
      <c r="H27" s="36"/>
      <c r="I27" s="36"/>
      <c r="J27" s="36"/>
      <c r="K27" s="42">
        <f ca="1">IFERROR((-L76)/L75,0.1)</f>
        <v>0.10532936084852126</v>
      </c>
      <c r="L27" s="36"/>
      <c r="M27" s="36"/>
    </row>
    <row r="28" spans="2:22">
      <c r="B28" t="s">
        <v>100</v>
      </c>
      <c r="C28" s="17">
        <v>2.5000000000000001E-2</v>
      </c>
      <c r="G28" s="143" t="s">
        <v>206</v>
      </c>
      <c r="H28" s="36"/>
      <c r="I28" s="36"/>
      <c r="J28" s="36"/>
      <c r="K28" s="186">
        <f ca="1">+K27*C33+D37*C26+(1-K27-D37)*C25</f>
        <v>7.5175915273137731E-2</v>
      </c>
      <c r="L28" s="36"/>
      <c r="M28" s="36"/>
    </row>
    <row r="29" spans="2:22">
      <c r="B29" t="s">
        <v>34</v>
      </c>
      <c r="C29" s="47">
        <f>+C27+C28</f>
        <v>4.4999999999999998E-2</v>
      </c>
      <c r="G29" s="36"/>
      <c r="H29" s="36"/>
      <c r="I29" s="36"/>
      <c r="J29" s="36"/>
      <c r="K29" s="36"/>
      <c r="L29" s="36"/>
      <c r="M29" s="36"/>
      <c r="O29" s="3"/>
      <c r="P29" s="24"/>
      <c r="Q29" s="24"/>
      <c r="R29" s="24"/>
      <c r="S29" s="24"/>
      <c r="T29" s="24"/>
      <c r="U29" s="24"/>
      <c r="V29" s="24"/>
    </row>
    <row r="30" spans="2:22" ht="5.0999999999999996" customHeight="1">
      <c r="C30" s="109"/>
      <c r="G30" s="36"/>
      <c r="H30" s="36"/>
      <c r="I30" s="36"/>
      <c r="J30" s="36"/>
      <c r="K30" s="36"/>
      <c r="L30" s="36"/>
      <c r="M30" s="36"/>
      <c r="P30" s="24"/>
    </row>
    <row r="31" spans="2:22">
      <c r="B31" t="s">
        <v>5</v>
      </c>
      <c r="C31" s="153">
        <v>0.24</v>
      </c>
      <c r="G31" s="52" t="s">
        <v>49</v>
      </c>
      <c r="H31" s="53"/>
      <c r="I31" s="53"/>
      <c r="J31" s="53"/>
      <c r="K31" s="53"/>
      <c r="L31" s="53"/>
      <c r="M31" s="53"/>
      <c r="O31" s="3"/>
      <c r="P31" s="24"/>
      <c r="Q31" s="24"/>
      <c r="R31" s="24"/>
      <c r="S31" s="24"/>
      <c r="T31" s="24"/>
      <c r="U31" s="24"/>
      <c r="V31" s="24"/>
    </row>
    <row r="32" spans="2:22" ht="5.0999999999999996" customHeight="1"/>
    <row r="33" spans="2:22">
      <c r="B33" t="s">
        <v>35</v>
      </c>
      <c r="C33" s="216">
        <f>+C29*(1-C31)</f>
        <v>3.4200000000000001E-2</v>
      </c>
      <c r="J33" s="21" t="s">
        <v>42</v>
      </c>
      <c r="K33" s="22" t="s">
        <v>43</v>
      </c>
      <c r="L33" s="21" t="s">
        <v>44</v>
      </c>
    </row>
    <row r="34" spans="2:22">
      <c r="B34" t="s">
        <v>22</v>
      </c>
      <c r="C34" s="217">
        <f>Model!AD88</f>
        <v>200.16900000000001</v>
      </c>
      <c r="D34" s="14"/>
      <c r="G34" t="s">
        <v>31</v>
      </c>
      <c r="I34" s="29"/>
      <c r="J34" s="30">
        <f>+$C$22</f>
        <v>0.02</v>
      </c>
      <c r="K34" s="25">
        <f>+$C$22</f>
        <v>0.02</v>
      </c>
      <c r="L34" s="30">
        <f>+$C$22</f>
        <v>0.02</v>
      </c>
      <c r="M34" s="27"/>
    </row>
    <row r="35" spans="2:22">
      <c r="B35" t="s">
        <v>36</v>
      </c>
      <c r="C35" s="218">
        <v>9.0500000000000007</v>
      </c>
      <c r="D35" s="14"/>
      <c r="E35" s="177"/>
      <c r="G35" t="s">
        <v>97</v>
      </c>
      <c r="I35" s="29"/>
      <c r="J35" s="159">
        <v>5.0000000000000001E-3</v>
      </c>
      <c r="K35" s="160">
        <v>0.01</v>
      </c>
      <c r="L35" s="159">
        <v>1.4999999999999999E-2</v>
      </c>
      <c r="M35" s="27"/>
    </row>
    <row r="36" spans="2:22">
      <c r="B36" t="s">
        <v>21</v>
      </c>
      <c r="C36" s="7">
        <f>+C35*C34</f>
        <v>1811.5294500000002</v>
      </c>
      <c r="D36" s="14">
        <f>+C36/SUM($C$36:$C$38)</f>
        <v>0.98533351858351759</v>
      </c>
      <c r="G36" t="s">
        <v>53</v>
      </c>
      <c r="I36" s="29"/>
      <c r="J36" s="154">
        <f>+J34+J35</f>
        <v>2.5000000000000001E-2</v>
      </c>
      <c r="K36" s="155">
        <f>+K34+K35</f>
        <v>0.03</v>
      </c>
      <c r="L36" s="154">
        <f>+L34+L35</f>
        <v>3.5000000000000003E-2</v>
      </c>
      <c r="M36" s="27"/>
    </row>
    <row r="37" spans="2:22">
      <c r="B37" t="s">
        <v>37</v>
      </c>
      <c r="C37" s="219">
        <v>0</v>
      </c>
      <c r="D37" s="14">
        <f>+C37/SUM($C$36:$C$38)</f>
        <v>0</v>
      </c>
      <c r="G37" t="s">
        <v>90</v>
      </c>
      <c r="I37" s="27"/>
      <c r="J37" s="44">
        <f>+J36/J40</f>
        <v>0.3151461436968534</v>
      </c>
      <c r="K37" s="45">
        <f>+K36/K40</f>
        <v>0.27440293884204087</v>
      </c>
      <c r="L37" s="46">
        <f>+L36/L40</f>
        <v>0.25120529168997874</v>
      </c>
      <c r="M37" s="27"/>
    </row>
    <row r="38" spans="2:22">
      <c r="B38" t="s">
        <v>38</v>
      </c>
      <c r="C38" s="220">
        <f>Model!AC170</f>
        <v>26.964233442530286</v>
      </c>
      <c r="D38" s="14">
        <f>+C38/SUM($C$36:$C$38)</f>
        <v>1.4666481416482474E-2</v>
      </c>
      <c r="G38" t="s">
        <v>51</v>
      </c>
      <c r="I38" s="27"/>
      <c r="J38" s="28">
        <f>+$C$42</f>
        <v>7.9328275151125116E-2</v>
      </c>
      <c r="K38" s="25">
        <f>+$C$42</f>
        <v>7.9328275151125116E-2</v>
      </c>
      <c r="L38" s="26">
        <f>+$C$42</f>
        <v>7.9328275151125116E-2</v>
      </c>
      <c r="M38" s="27"/>
    </row>
    <row r="39" spans="2:22" ht="15.75" customHeight="1">
      <c r="G39" t="s">
        <v>52</v>
      </c>
      <c r="I39" s="27"/>
      <c r="J39" s="156">
        <v>0</v>
      </c>
      <c r="K39" s="157">
        <v>0.03</v>
      </c>
      <c r="L39" s="158">
        <v>0.06</v>
      </c>
      <c r="M39" s="27"/>
    </row>
    <row r="40" spans="2:22" ht="15.75" thickBot="1">
      <c r="B40" t="s">
        <v>11</v>
      </c>
      <c r="C40" s="18">
        <f>+(D36*C25)+(D37*C26)+(C33*D38)</f>
        <v>7.9328275151125116E-2</v>
      </c>
      <c r="G40" s="2" t="s">
        <v>67</v>
      </c>
      <c r="H40" s="2"/>
      <c r="I40" s="2"/>
      <c r="J40" s="23">
        <f>+J39+J38</f>
        <v>7.9328275151125116E-2</v>
      </c>
      <c r="K40" s="23">
        <f>+K39+K38</f>
        <v>0.10932827515112511</v>
      </c>
      <c r="L40" s="23">
        <f>+L39+L38</f>
        <v>0.13932827515112511</v>
      </c>
    </row>
    <row r="41" spans="2:22" ht="15.75" thickBot="1">
      <c r="B41" t="s">
        <v>39</v>
      </c>
      <c r="C41" s="19"/>
      <c r="G41" s="3" t="s">
        <v>91</v>
      </c>
      <c r="J41" s="35">
        <f ca="1">(18.94-23.62*(-$M$65/$M$61)+12.19*((-$M$65/$M$61)^2))/100</f>
        <v>9.4621613013353534E-2</v>
      </c>
      <c r="K41" s="35">
        <f ca="1">(18.94-23.62*(-$M$65/$M$61)+12.19*((-$M$65/$M$61)^2))/100</f>
        <v>9.4621613013353534E-2</v>
      </c>
      <c r="L41" s="35">
        <f ca="1">(18.94-23.62*(-$M$65/$M$61)+12.19*((-$M$65/$M$61)^2))/100</f>
        <v>9.4621613013353534E-2</v>
      </c>
    </row>
    <row r="42" spans="2:22">
      <c r="B42" t="s">
        <v>40</v>
      </c>
      <c r="C42" s="20">
        <f>+IF(ISBLANK(C41)=TRUE,C40,C41)</f>
        <v>7.9328275151125116E-2</v>
      </c>
      <c r="O42" s="3"/>
      <c r="P42" s="24"/>
      <c r="Q42" s="24"/>
      <c r="R42" s="24"/>
      <c r="S42" s="24"/>
      <c r="T42" s="24"/>
      <c r="U42" s="24"/>
      <c r="V42" s="24"/>
    </row>
    <row r="43" spans="2:22" ht="5.0999999999999996" customHeight="1"/>
    <row r="44" spans="2:22">
      <c r="B44" s="52" t="s">
        <v>29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</row>
    <row r="45" spans="2:22" ht="5.0999999999999996" customHeight="1"/>
    <row r="46" spans="2:22">
      <c r="B46" s="5" t="s">
        <v>11</v>
      </c>
      <c r="C46" s="185">
        <f>+C42</f>
        <v>7.9328275151125116E-2</v>
      </c>
      <c r="D46" s="185">
        <f ca="1">C46-($C$46-$L$46)/8</f>
        <v>7.8809230166376698E-2</v>
      </c>
      <c r="E46" s="185">
        <f t="shared" ref="E46:K46" ca="1" si="1">D46-($C$46-$L$46)/8</f>
        <v>7.829018518162828E-2</v>
      </c>
      <c r="F46" s="185">
        <f t="shared" ca="1" si="1"/>
        <v>7.7771140196879862E-2</v>
      </c>
      <c r="G46" s="185">
        <f t="shared" ca="1" si="1"/>
        <v>7.7252095212131444E-2</v>
      </c>
      <c r="H46" s="185">
        <f t="shared" ca="1" si="1"/>
        <v>7.6733050227383026E-2</v>
      </c>
      <c r="I46" s="185">
        <f t="shared" ca="1" si="1"/>
        <v>7.6214005242634608E-2</v>
      </c>
      <c r="J46" s="185">
        <f t="shared" ca="1" si="1"/>
        <v>7.569496025788619E-2</v>
      </c>
      <c r="K46" s="185">
        <f t="shared" ca="1" si="1"/>
        <v>7.5175915273137772E-2</v>
      </c>
      <c r="L46" s="51">
        <f ca="1">+K28</f>
        <v>7.5175915273137731E-2</v>
      </c>
      <c r="M46" s="185">
        <f ca="1">+L46</f>
        <v>7.5175915273137731E-2</v>
      </c>
    </row>
    <row r="47" spans="2:22">
      <c r="B47" s="5" t="s">
        <v>14</v>
      </c>
      <c r="C47" s="187">
        <v>0</v>
      </c>
      <c r="D47" s="36"/>
    </row>
    <row r="48" spans="2:22">
      <c r="B48" t="s">
        <v>13</v>
      </c>
      <c r="C48" s="188">
        <v>0.5</v>
      </c>
      <c r="D48" s="36"/>
      <c r="O48" s="15"/>
      <c r="P48" s="15"/>
      <c r="Q48" s="15"/>
      <c r="R48" s="15"/>
      <c r="S48" s="15"/>
      <c r="T48" s="15"/>
      <c r="U48" s="15"/>
      <c r="V48" s="15"/>
    </row>
    <row r="49" spans="2:16383" ht="5.0999999999999996" customHeight="1"/>
    <row r="50" spans="2:16383">
      <c r="B50" s="54" t="s">
        <v>9</v>
      </c>
      <c r="C50" s="54">
        <v>1</v>
      </c>
      <c r="D50" s="54">
        <f t="shared" ref="D50:M50" si="2">+C50+1</f>
        <v>2</v>
      </c>
      <c r="E50" s="54">
        <f t="shared" si="2"/>
        <v>3</v>
      </c>
      <c r="F50" s="54">
        <f t="shared" si="2"/>
        <v>4</v>
      </c>
      <c r="G50" s="54">
        <f t="shared" si="2"/>
        <v>5</v>
      </c>
      <c r="H50" s="54">
        <f t="shared" si="2"/>
        <v>6</v>
      </c>
      <c r="I50" s="54">
        <f t="shared" si="2"/>
        <v>7</v>
      </c>
      <c r="J50" s="54">
        <f t="shared" si="2"/>
        <v>8</v>
      </c>
      <c r="K50" s="54">
        <f t="shared" si="2"/>
        <v>9</v>
      </c>
      <c r="L50" s="54">
        <f t="shared" si="2"/>
        <v>10</v>
      </c>
      <c r="M50" s="54">
        <f t="shared" si="2"/>
        <v>11</v>
      </c>
    </row>
    <row r="51" spans="2:16383">
      <c r="B51" s="54" t="s">
        <v>8</v>
      </c>
      <c r="C51" s="54">
        <f>+C21</f>
        <v>2022</v>
      </c>
      <c r="D51" s="54">
        <f>+C51+1</f>
        <v>2023</v>
      </c>
      <c r="E51" s="54">
        <f t="shared" ref="E51:L51" si="3">+D51+1</f>
        <v>2024</v>
      </c>
      <c r="F51" s="54">
        <f t="shared" si="3"/>
        <v>2025</v>
      </c>
      <c r="G51" s="54">
        <f>+F51+1</f>
        <v>2026</v>
      </c>
      <c r="H51" s="54">
        <f t="shared" si="3"/>
        <v>2027</v>
      </c>
      <c r="I51" s="54">
        <f t="shared" si="3"/>
        <v>2028</v>
      </c>
      <c r="J51" s="54">
        <f t="shared" si="3"/>
        <v>2029</v>
      </c>
      <c r="K51" s="54">
        <f t="shared" si="3"/>
        <v>2030</v>
      </c>
      <c r="L51" s="54">
        <f t="shared" si="3"/>
        <v>2031</v>
      </c>
      <c r="M51" s="54">
        <f>+L51+1</f>
        <v>2032</v>
      </c>
      <c r="O51" s="15"/>
      <c r="P51" s="15"/>
      <c r="Q51" s="15"/>
      <c r="R51" s="15"/>
      <c r="S51" s="15"/>
      <c r="T51" s="15"/>
      <c r="U51" s="15"/>
      <c r="V51" s="15"/>
    </row>
    <row r="52" spans="2:16383" ht="5.0999999999999996" customHeight="1"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2:16383">
      <c r="B53" t="s">
        <v>25</v>
      </c>
      <c r="C53" s="113">
        <f>+INDEX(Model!$A:$AQ,MATCH("EPS",Model!$A:$A,0),MATCH(DCF!C$51,Model!$3:$3,0))</f>
        <v>0.10996915363673047</v>
      </c>
      <c r="D53" s="113">
        <f>+INDEX(Model!$A:$AQ,MATCH("EPS",Model!$A:$A,0),MATCH(DCF!D$51,Model!$3:$3,0))</f>
        <v>0.25281423882367515</v>
      </c>
      <c r="E53" s="113">
        <f ca="1">+INDEX(Model!$A:$AQ,MATCH("EPS",Model!$A:$A,0),MATCH(DCF!E$51,Model!$3:$3,0))</f>
        <v>0.4417063696893937</v>
      </c>
      <c r="F53" s="113">
        <f ca="1">+INDEX(Model!$A:$AQ,MATCH("EPS",Model!$A:$A,0),MATCH(DCF!F$51,Model!$3:$3,0))</f>
        <v>0.67132076588836254</v>
      </c>
      <c r="G53" s="113">
        <f ca="1">+INDEX(Model!$A:$AQ,MATCH("EPS",Model!$A:$A,0),MATCH(DCF!G$51,Model!$3:$3,0))</f>
        <v>0.9542145585753038</v>
      </c>
      <c r="H53" s="113">
        <f ca="1">+INDEX(Model!$A:$AQ,MATCH("EPS",Model!$A:$A,0),MATCH(DCF!H$51,Model!$3:$3,0))</f>
        <v>1.2963519727893467</v>
      </c>
      <c r="I53" s="113">
        <f ca="1">+INDEX(Model!$A:$AQ,MATCH("EPS",Model!$A:$A,0),MATCH(DCF!I$51,Model!$3:$3,0))</f>
        <v>1.6692664179578987</v>
      </c>
      <c r="J53" s="113">
        <f ca="1">+INDEX(Model!$A:$AQ,MATCH("EPS",Model!$A:$A,0),MATCH(DCF!J$51,Model!$3:$3,0))</f>
        <v>2.0910546558800043</v>
      </c>
      <c r="K53" s="113">
        <f ca="1">+INDEX(Model!$A:$AQ,MATCH("EPS",Model!$A:$A,0),MATCH(DCF!K$51,Model!$3:$3,0))</f>
        <v>2.5415016483688357</v>
      </c>
      <c r="L53" s="113">
        <f ca="1">+INDEX(Model!$A:$AQ,MATCH("EPS",Model!$A:$A,0),MATCH(DCF!L$51,Model!$3:$3,0))</f>
        <v>3.0350394250242196</v>
      </c>
      <c r="M53" s="176">
        <f ca="1">+L53*(1+$K$36)</f>
        <v>3.1260906077749464</v>
      </c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5"/>
      <c r="XDU53" s="15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15"/>
      <c r="XEH53" s="15"/>
      <c r="XEI53" s="15"/>
      <c r="XEJ53" s="15"/>
      <c r="XEK53" s="15"/>
      <c r="XEL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15"/>
      <c r="XEY53" s="15"/>
      <c r="XEZ53" s="15"/>
      <c r="XFA53" s="15"/>
      <c r="XFB53" s="15"/>
      <c r="XFC53" s="15"/>
    </row>
    <row r="54" spans="2:16383" s="15" customFormat="1">
      <c r="B54" s="136" t="s">
        <v>27</v>
      </c>
      <c r="C54" s="114"/>
      <c r="D54" s="116">
        <f>IFERROR(D53/C53-1,"na")</f>
        <v>1.2989559386699998</v>
      </c>
      <c r="E54" s="116">
        <f t="shared" ref="E54:M54" ca="1" si="4">IFERROR(E53/D53-1,"na")</f>
        <v>0.74715780149337641</v>
      </c>
      <c r="F54" s="116">
        <f t="shared" ca="1" si="4"/>
        <v>0.5198349219198104</v>
      </c>
      <c r="G54" s="116">
        <f t="shared" ca="1" si="4"/>
        <v>0.421398841003505</v>
      </c>
      <c r="H54" s="116">
        <f t="shared" ca="1" si="4"/>
        <v>0.35855396581338406</v>
      </c>
      <c r="I54" s="116">
        <f t="shared" ca="1" si="4"/>
        <v>0.2876645023852249</v>
      </c>
      <c r="J54" s="116">
        <f t="shared" ca="1" si="4"/>
        <v>0.25267880152893829</v>
      </c>
      <c r="K54" s="116">
        <f t="shared" ca="1" si="4"/>
        <v>0.21541617347121145</v>
      </c>
      <c r="L54" s="116">
        <f t="shared" ca="1" si="4"/>
        <v>0.1941914052946383</v>
      </c>
      <c r="M54" s="116">
        <f t="shared" ca="1" si="4"/>
        <v>3.0000000000000027E-2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192</v>
      </c>
      <c r="C55" s="115">
        <f>+INDEX(Model!$A:$AQ,MATCH("Gross Revenue",Model!$A:$A,0),MATCH(DCF!C$51,Model!$3:$3,0))</f>
        <v>2150.083386972874</v>
      </c>
      <c r="D55" s="115">
        <f>+INDEX(Model!$A:$AQ,MATCH("Gross Revenue",Model!$A:$A,0),MATCH(DCF!D$51,Model!$3:$3,0))</f>
        <v>2852.6265943650415</v>
      </c>
      <c r="E55" s="115">
        <f>+INDEX(Model!$A:$AQ,MATCH("Gross Revenue",Model!$A:$A,0),MATCH(DCF!E$51,Model!$3:$3,0))</f>
        <v>3773.6000916537305</v>
      </c>
      <c r="F55" s="115">
        <f>+INDEX(Model!$A:$AQ,MATCH("Gross Revenue",Model!$A:$A,0),MATCH(DCF!F$51,Model!$3:$3,0))</f>
        <v>4839.7892948157842</v>
      </c>
      <c r="G55" s="115">
        <f>+INDEX(Model!$A:$AQ,MATCH("Gross Revenue",Model!$A:$A,0),MATCH(DCF!G$51,Model!$3:$3,0))</f>
        <v>5964.2426576024818</v>
      </c>
      <c r="H55" s="115">
        <f>+INDEX(Model!$A:$AQ,MATCH("Gross Revenue",Model!$A:$A,0),MATCH(DCF!H$51,Model!$3:$3,0))</f>
        <v>7142.2235733441521</v>
      </c>
      <c r="I55" s="115">
        <f>+INDEX(Model!$A:$AQ,MATCH("Gross Revenue",Model!$A:$A,0),MATCH(DCF!I$51,Model!$3:$3,0))</f>
        <v>8356.3502744644284</v>
      </c>
      <c r="J55" s="115">
        <f>+INDEX(Model!$A:$AQ,MATCH("Gross Revenue",Model!$A:$A,0),MATCH(DCF!J$51,Model!$3:$3,0))</f>
        <v>9600.3681556398788</v>
      </c>
      <c r="K55" s="115">
        <f>+INDEX(Model!$A:$AQ,MATCH("Gross Revenue",Model!$A:$A,0),MATCH(DCF!K$51,Model!$3:$3,0))</f>
        <v>10872.375518752677</v>
      </c>
      <c r="L55" s="115">
        <f>+INDEX(Model!$A:$AQ,MATCH("Gross Revenue",Model!$A:$A,0),MATCH(DCF!L$51,Model!$3:$3,0))</f>
        <v>12193.82302912773</v>
      </c>
      <c r="M55" s="162">
        <f>+L55*(1+$K$36)</f>
        <v>12559.637720001563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5"/>
      <c r="AOH55" s="15"/>
      <c r="AOI55" s="15"/>
      <c r="AOJ55" s="15"/>
      <c r="AOK55" s="15"/>
      <c r="AOL55" s="15"/>
      <c r="AOM55" s="15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15"/>
      <c r="AOZ55" s="15"/>
      <c r="APA55" s="15"/>
      <c r="APB55" s="15"/>
      <c r="APC55" s="15"/>
      <c r="APD55" s="15"/>
      <c r="APE55" s="15"/>
      <c r="APF55" s="15"/>
      <c r="APG55" s="15"/>
      <c r="APH55" s="15"/>
      <c r="API55" s="15"/>
      <c r="APJ55" s="15"/>
      <c r="APK55" s="15"/>
      <c r="APL55" s="15"/>
      <c r="APM55" s="15"/>
      <c r="APN55" s="15"/>
      <c r="APO55" s="15"/>
      <c r="APP55" s="15"/>
      <c r="APQ55" s="15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15"/>
      <c r="AQD55" s="15"/>
      <c r="AQE55" s="15"/>
      <c r="AQF55" s="15"/>
      <c r="AQG55" s="15"/>
      <c r="AQH55" s="15"/>
      <c r="AQI55" s="15"/>
      <c r="AQJ55" s="15"/>
      <c r="AQK55" s="15"/>
      <c r="AQL55" s="15"/>
      <c r="AQM55" s="15"/>
      <c r="AQN55" s="15"/>
      <c r="AQO55" s="15"/>
      <c r="AQP55" s="15"/>
      <c r="AQQ55" s="15"/>
      <c r="AQR55" s="15"/>
      <c r="AQS55" s="15"/>
      <c r="AQT55" s="15"/>
      <c r="AQU55" s="15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15"/>
      <c r="ARH55" s="15"/>
      <c r="ARI55" s="15"/>
      <c r="ARJ55" s="15"/>
      <c r="ARK55" s="15"/>
      <c r="ARL55" s="15"/>
      <c r="ARM55" s="15"/>
      <c r="ARN55" s="15"/>
      <c r="ARO55" s="15"/>
      <c r="ARP55" s="15"/>
      <c r="ARQ55" s="15"/>
      <c r="ARR55" s="15"/>
      <c r="ARS55" s="15"/>
      <c r="ART55" s="15"/>
      <c r="ARU55" s="15"/>
      <c r="ARV55" s="15"/>
      <c r="ARW55" s="15"/>
      <c r="ARX55" s="15"/>
      <c r="ARY55" s="15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15"/>
      <c r="ASL55" s="15"/>
      <c r="ASM55" s="15"/>
      <c r="ASN55" s="15"/>
      <c r="ASO55" s="15"/>
      <c r="ASP55" s="15"/>
      <c r="ASQ55" s="15"/>
      <c r="ASR55" s="15"/>
      <c r="ASS55" s="15"/>
      <c r="AST55" s="15"/>
      <c r="ASU55" s="15"/>
      <c r="ASV55" s="15"/>
      <c r="ASW55" s="15"/>
      <c r="ASX55" s="15"/>
      <c r="ASY55" s="15"/>
      <c r="ASZ55" s="15"/>
      <c r="ATA55" s="15"/>
      <c r="ATB55" s="15"/>
      <c r="ATC55" s="15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15"/>
      <c r="ATP55" s="15"/>
      <c r="ATQ55" s="15"/>
      <c r="ATR55" s="15"/>
      <c r="ATS55" s="15"/>
      <c r="ATT55" s="15"/>
      <c r="ATU55" s="15"/>
      <c r="ATV55" s="15"/>
      <c r="ATW55" s="15"/>
      <c r="ATX55" s="15"/>
      <c r="ATY55" s="15"/>
      <c r="ATZ55" s="15"/>
      <c r="AUA55" s="15"/>
      <c r="AUB55" s="15"/>
      <c r="AUC55" s="15"/>
      <c r="AUD55" s="15"/>
      <c r="AUE55" s="15"/>
      <c r="AUF55" s="15"/>
      <c r="AUG55" s="15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15"/>
      <c r="AUT55" s="15"/>
      <c r="AUU55" s="15"/>
      <c r="AUV55" s="15"/>
      <c r="AUW55" s="15"/>
      <c r="AUX55" s="15"/>
      <c r="AUY55" s="15"/>
      <c r="AUZ55" s="15"/>
      <c r="AVA55" s="15"/>
      <c r="AVB55" s="15"/>
      <c r="AVC55" s="15"/>
      <c r="AVD55" s="15"/>
      <c r="AVE55" s="15"/>
      <c r="AVF55" s="15"/>
      <c r="AVG55" s="15"/>
      <c r="AVH55" s="15"/>
      <c r="AVI55" s="15"/>
      <c r="AVJ55" s="15"/>
      <c r="AVK55" s="15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15"/>
      <c r="AVX55" s="15"/>
      <c r="AVY55" s="15"/>
      <c r="AVZ55" s="15"/>
      <c r="AWA55" s="15"/>
      <c r="AWB55" s="15"/>
      <c r="AWC55" s="15"/>
      <c r="AWD55" s="15"/>
      <c r="AWE55" s="15"/>
      <c r="AWF55" s="15"/>
      <c r="AWG55" s="15"/>
      <c r="AWH55" s="15"/>
      <c r="AWI55" s="15"/>
      <c r="AWJ55" s="15"/>
      <c r="AWK55" s="15"/>
      <c r="AWL55" s="15"/>
      <c r="AWM55" s="15"/>
      <c r="AWN55" s="15"/>
      <c r="AWO55" s="15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15"/>
      <c r="AXB55" s="15"/>
      <c r="AXC55" s="15"/>
      <c r="AXD55" s="15"/>
      <c r="AXE55" s="15"/>
      <c r="AXF55" s="15"/>
      <c r="AXG55" s="15"/>
      <c r="AXH55" s="15"/>
      <c r="AXI55" s="15"/>
      <c r="AXJ55" s="15"/>
      <c r="AXK55" s="15"/>
      <c r="AXL55" s="15"/>
      <c r="AXM55" s="15"/>
      <c r="AXN55" s="15"/>
      <c r="AXO55" s="15"/>
      <c r="AXP55" s="15"/>
      <c r="AXQ55" s="15"/>
      <c r="AXR55" s="15"/>
      <c r="AXS55" s="15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15"/>
      <c r="AYF55" s="15"/>
      <c r="AYG55" s="15"/>
      <c r="AYH55" s="15"/>
      <c r="AYI55" s="15"/>
      <c r="AYJ55" s="15"/>
      <c r="AYK55" s="15"/>
      <c r="AYL55" s="15"/>
      <c r="AYM55" s="15"/>
      <c r="AYN55" s="15"/>
      <c r="AYO55" s="15"/>
      <c r="AYP55" s="15"/>
      <c r="AYQ55" s="15"/>
      <c r="AYR55" s="15"/>
      <c r="AYS55" s="15"/>
      <c r="AYT55" s="15"/>
      <c r="AYU55" s="15"/>
      <c r="AYV55" s="15"/>
      <c r="AYW55" s="15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15"/>
      <c r="AZJ55" s="15"/>
      <c r="AZK55" s="15"/>
      <c r="AZL55" s="15"/>
      <c r="AZM55" s="15"/>
      <c r="AZN55" s="15"/>
      <c r="AZO55" s="15"/>
      <c r="AZP55" s="15"/>
      <c r="AZQ55" s="15"/>
      <c r="AZR55" s="15"/>
      <c r="AZS55" s="15"/>
      <c r="AZT55" s="15"/>
      <c r="AZU55" s="15"/>
      <c r="AZV55" s="15"/>
      <c r="AZW55" s="15"/>
      <c r="AZX55" s="15"/>
      <c r="AZY55" s="15"/>
      <c r="AZZ55" s="15"/>
      <c r="BAA55" s="15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15"/>
      <c r="BAN55" s="15"/>
      <c r="BAO55" s="15"/>
      <c r="BAP55" s="15"/>
      <c r="BAQ55" s="15"/>
      <c r="BAR55" s="15"/>
      <c r="BAS55" s="15"/>
      <c r="BAT55" s="15"/>
      <c r="BAU55" s="15"/>
      <c r="BAV55" s="15"/>
      <c r="BAW55" s="15"/>
      <c r="BAX55" s="15"/>
      <c r="BAY55" s="15"/>
      <c r="BAZ55" s="15"/>
      <c r="BBA55" s="15"/>
      <c r="BBB55" s="15"/>
      <c r="BBC55" s="15"/>
      <c r="BBD55" s="15"/>
      <c r="BBE55" s="15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15"/>
      <c r="BBR55" s="15"/>
      <c r="BBS55" s="15"/>
      <c r="BBT55" s="15"/>
      <c r="BBU55" s="15"/>
      <c r="BBV55" s="15"/>
      <c r="BBW55" s="15"/>
      <c r="BBX55" s="15"/>
      <c r="BBY55" s="15"/>
      <c r="BBZ55" s="15"/>
      <c r="BCA55" s="15"/>
      <c r="BCB55" s="15"/>
      <c r="BCC55" s="15"/>
      <c r="BCD55" s="15"/>
      <c r="BCE55" s="15"/>
      <c r="BCF55" s="15"/>
      <c r="BCG55" s="15"/>
      <c r="BCH55" s="15"/>
      <c r="BCI55" s="15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15"/>
      <c r="BCV55" s="15"/>
      <c r="BCW55" s="15"/>
      <c r="BCX55" s="15"/>
      <c r="BCY55" s="15"/>
      <c r="BCZ55" s="15"/>
      <c r="BDA55" s="15"/>
      <c r="BDB55" s="15"/>
      <c r="BDC55" s="15"/>
      <c r="BDD55" s="15"/>
      <c r="BDE55" s="15"/>
      <c r="BDF55" s="15"/>
      <c r="BDG55" s="15"/>
      <c r="BDH55" s="15"/>
      <c r="BDI55" s="15"/>
      <c r="BDJ55" s="15"/>
      <c r="BDK55" s="15"/>
      <c r="BDL55" s="15"/>
      <c r="BDM55" s="15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15"/>
      <c r="BDZ55" s="15"/>
      <c r="BEA55" s="15"/>
      <c r="BEB55" s="15"/>
      <c r="BEC55" s="15"/>
      <c r="BED55" s="15"/>
      <c r="BEE55" s="15"/>
      <c r="BEF55" s="15"/>
      <c r="BEG55" s="15"/>
      <c r="BEH55" s="15"/>
      <c r="BEI55" s="15"/>
      <c r="BEJ55" s="15"/>
      <c r="BEK55" s="15"/>
      <c r="BEL55" s="15"/>
      <c r="BEM55" s="15"/>
      <c r="BEN55" s="15"/>
      <c r="BEO55" s="15"/>
      <c r="BEP55" s="15"/>
      <c r="BEQ55" s="15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15"/>
      <c r="BFD55" s="15"/>
      <c r="BFE55" s="15"/>
      <c r="BFF55" s="15"/>
      <c r="BFG55" s="15"/>
      <c r="BFH55" s="15"/>
      <c r="BFI55" s="15"/>
      <c r="BFJ55" s="15"/>
      <c r="BFK55" s="15"/>
      <c r="BFL55" s="15"/>
      <c r="BFM55" s="15"/>
      <c r="BFN55" s="15"/>
      <c r="BFO55" s="15"/>
      <c r="BFP55" s="15"/>
      <c r="BFQ55" s="15"/>
      <c r="BFR55" s="15"/>
      <c r="BFS55" s="15"/>
      <c r="BFT55" s="15"/>
      <c r="BFU55" s="15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15"/>
      <c r="BGH55" s="15"/>
      <c r="BGI55" s="15"/>
      <c r="BGJ55" s="15"/>
      <c r="BGK55" s="15"/>
      <c r="BGL55" s="15"/>
      <c r="BGM55" s="15"/>
      <c r="BGN55" s="15"/>
      <c r="BGO55" s="15"/>
      <c r="BGP55" s="15"/>
      <c r="BGQ55" s="15"/>
      <c r="BGR55" s="15"/>
      <c r="BGS55" s="15"/>
      <c r="BGT55" s="15"/>
      <c r="BGU55" s="15"/>
      <c r="BGV55" s="15"/>
      <c r="BGW55" s="15"/>
      <c r="BGX55" s="15"/>
      <c r="BGY55" s="15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15"/>
      <c r="BHL55" s="15"/>
      <c r="BHM55" s="15"/>
      <c r="BHN55" s="15"/>
      <c r="BHO55" s="15"/>
      <c r="BHP55" s="15"/>
      <c r="BHQ55" s="15"/>
      <c r="BHR55" s="15"/>
      <c r="BHS55" s="15"/>
      <c r="BHT55" s="15"/>
      <c r="BHU55" s="15"/>
      <c r="BHV55" s="15"/>
      <c r="BHW55" s="15"/>
      <c r="BHX55" s="15"/>
      <c r="BHY55" s="15"/>
      <c r="BHZ55" s="15"/>
      <c r="BIA55" s="15"/>
      <c r="BIB55" s="15"/>
      <c r="BIC55" s="15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15"/>
      <c r="BIP55" s="15"/>
      <c r="BIQ55" s="15"/>
      <c r="BIR55" s="15"/>
      <c r="BIS55" s="15"/>
      <c r="BIT55" s="15"/>
      <c r="BIU55" s="15"/>
      <c r="BIV55" s="15"/>
      <c r="BIW55" s="15"/>
      <c r="BIX55" s="15"/>
      <c r="BIY55" s="15"/>
      <c r="BIZ55" s="15"/>
      <c r="BJA55" s="15"/>
      <c r="BJB55" s="15"/>
      <c r="BJC55" s="15"/>
      <c r="BJD55" s="15"/>
      <c r="BJE55" s="15"/>
      <c r="BJF55" s="15"/>
      <c r="BJG55" s="15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15"/>
      <c r="BJT55" s="15"/>
      <c r="BJU55" s="15"/>
      <c r="BJV55" s="15"/>
      <c r="BJW55" s="15"/>
      <c r="BJX55" s="15"/>
      <c r="BJY55" s="15"/>
      <c r="BJZ55" s="15"/>
      <c r="BKA55" s="15"/>
      <c r="BKB55" s="15"/>
      <c r="BKC55" s="15"/>
      <c r="BKD55" s="15"/>
      <c r="BKE55" s="15"/>
      <c r="BKF55" s="15"/>
      <c r="BKG55" s="15"/>
      <c r="BKH55" s="15"/>
      <c r="BKI55" s="15"/>
      <c r="BKJ55" s="15"/>
      <c r="BKK55" s="15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15"/>
      <c r="BKX55" s="15"/>
      <c r="BKY55" s="15"/>
      <c r="BKZ55" s="15"/>
      <c r="BLA55" s="15"/>
      <c r="BLB55" s="15"/>
      <c r="BLC55" s="15"/>
      <c r="BLD55" s="15"/>
      <c r="BLE55" s="15"/>
      <c r="BLF55" s="15"/>
      <c r="BLG55" s="15"/>
      <c r="BLH55" s="15"/>
      <c r="BLI55" s="15"/>
      <c r="BLJ55" s="15"/>
      <c r="BLK55" s="15"/>
      <c r="BLL55" s="15"/>
      <c r="BLM55" s="15"/>
      <c r="BLN55" s="15"/>
      <c r="BLO55" s="15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15"/>
      <c r="BMB55" s="15"/>
      <c r="BMC55" s="15"/>
      <c r="BMD55" s="15"/>
      <c r="BME55" s="15"/>
      <c r="BMF55" s="15"/>
      <c r="BMG55" s="15"/>
      <c r="BMH55" s="15"/>
      <c r="BMI55" s="15"/>
      <c r="BMJ55" s="15"/>
      <c r="BMK55" s="15"/>
      <c r="BML55" s="15"/>
      <c r="BMM55" s="15"/>
      <c r="BMN55" s="15"/>
      <c r="BMO55" s="15"/>
      <c r="BMP55" s="15"/>
      <c r="BMQ55" s="15"/>
      <c r="BMR55" s="15"/>
      <c r="BMS55" s="15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15"/>
      <c r="BNF55" s="15"/>
      <c r="BNG55" s="15"/>
      <c r="BNH55" s="15"/>
      <c r="BNI55" s="15"/>
      <c r="BNJ55" s="15"/>
      <c r="BNK55" s="15"/>
      <c r="BNL55" s="15"/>
      <c r="BNM55" s="15"/>
      <c r="BNN55" s="15"/>
      <c r="BNO55" s="15"/>
      <c r="BNP55" s="15"/>
      <c r="BNQ55" s="15"/>
      <c r="BNR55" s="15"/>
      <c r="BNS55" s="15"/>
      <c r="BNT55" s="15"/>
      <c r="BNU55" s="15"/>
      <c r="BNV55" s="15"/>
      <c r="BNW55" s="15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15"/>
      <c r="BOJ55" s="15"/>
      <c r="BOK55" s="15"/>
      <c r="BOL55" s="15"/>
      <c r="BOM55" s="15"/>
      <c r="BON55" s="15"/>
      <c r="BOO55" s="15"/>
      <c r="BOP55" s="15"/>
      <c r="BOQ55" s="15"/>
      <c r="BOR55" s="15"/>
      <c r="BOS55" s="15"/>
      <c r="BOT55" s="15"/>
      <c r="BOU55" s="15"/>
      <c r="BOV55" s="15"/>
      <c r="BOW55" s="15"/>
      <c r="BOX55" s="15"/>
      <c r="BOY55" s="15"/>
      <c r="BOZ55" s="15"/>
      <c r="BPA55" s="15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15"/>
      <c r="BPN55" s="15"/>
      <c r="BPO55" s="15"/>
      <c r="BPP55" s="15"/>
      <c r="BPQ55" s="15"/>
      <c r="BPR55" s="15"/>
      <c r="BPS55" s="15"/>
      <c r="BPT55" s="15"/>
      <c r="BPU55" s="15"/>
      <c r="BPV55" s="15"/>
      <c r="BPW55" s="15"/>
      <c r="BPX55" s="15"/>
      <c r="BPY55" s="15"/>
      <c r="BPZ55" s="15"/>
      <c r="BQA55" s="15"/>
      <c r="BQB55" s="15"/>
      <c r="BQC55" s="15"/>
      <c r="BQD55" s="15"/>
      <c r="BQE55" s="15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15"/>
      <c r="BQR55" s="15"/>
      <c r="BQS55" s="15"/>
      <c r="BQT55" s="15"/>
      <c r="BQU55" s="15"/>
      <c r="BQV55" s="15"/>
      <c r="BQW55" s="15"/>
      <c r="BQX55" s="15"/>
      <c r="BQY55" s="15"/>
      <c r="BQZ55" s="15"/>
      <c r="BRA55" s="15"/>
      <c r="BRB55" s="15"/>
      <c r="BRC55" s="15"/>
      <c r="BRD55" s="15"/>
      <c r="BRE55" s="15"/>
      <c r="BRF55" s="15"/>
      <c r="BRG55" s="15"/>
      <c r="BRH55" s="15"/>
      <c r="BRI55" s="15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15"/>
      <c r="BRV55" s="15"/>
      <c r="BRW55" s="15"/>
      <c r="BRX55" s="15"/>
      <c r="BRY55" s="15"/>
      <c r="BRZ55" s="15"/>
      <c r="BSA55" s="15"/>
      <c r="BSB55" s="15"/>
      <c r="BSC55" s="15"/>
      <c r="BSD55" s="15"/>
      <c r="BSE55" s="15"/>
      <c r="BSF55" s="15"/>
      <c r="BSG55" s="15"/>
      <c r="BSH55" s="15"/>
      <c r="BSI55" s="15"/>
      <c r="BSJ55" s="15"/>
      <c r="BSK55" s="15"/>
      <c r="BSL55" s="15"/>
      <c r="BSM55" s="15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15"/>
      <c r="BSZ55" s="15"/>
      <c r="BTA55" s="15"/>
      <c r="BTB55" s="15"/>
      <c r="BTC55" s="15"/>
      <c r="BTD55" s="15"/>
      <c r="BTE55" s="15"/>
      <c r="BTF55" s="15"/>
      <c r="BTG55" s="15"/>
      <c r="BTH55" s="15"/>
      <c r="BTI55" s="15"/>
      <c r="BTJ55" s="15"/>
      <c r="BTK55" s="15"/>
      <c r="BTL55" s="15"/>
      <c r="BTM55" s="15"/>
      <c r="BTN55" s="15"/>
      <c r="BTO55" s="15"/>
      <c r="BTP55" s="15"/>
      <c r="BTQ55" s="15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15"/>
      <c r="BUD55" s="15"/>
      <c r="BUE55" s="15"/>
      <c r="BUF55" s="15"/>
      <c r="BUG55" s="15"/>
      <c r="BUH55" s="15"/>
      <c r="BUI55" s="15"/>
      <c r="BUJ55" s="15"/>
      <c r="BUK55" s="15"/>
      <c r="BUL55" s="15"/>
      <c r="BUM55" s="15"/>
      <c r="BUN55" s="15"/>
      <c r="BUO55" s="15"/>
      <c r="BUP55" s="15"/>
      <c r="BUQ55" s="15"/>
      <c r="BUR55" s="15"/>
      <c r="BUS55" s="15"/>
      <c r="BUT55" s="15"/>
      <c r="BUU55" s="15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15"/>
      <c r="BVH55" s="15"/>
      <c r="BVI55" s="15"/>
      <c r="BVJ55" s="15"/>
      <c r="BVK55" s="15"/>
      <c r="BVL55" s="15"/>
      <c r="BVM55" s="15"/>
      <c r="BVN55" s="15"/>
      <c r="BVO55" s="15"/>
      <c r="BVP55" s="15"/>
      <c r="BVQ55" s="15"/>
      <c r="BVR55" s="15"/>
      <c r="BVS55" s="15"/>
      <c r="BVT55" s="15"/>
      <c r="BVU55" s="15"/>
      <c r="BVV55" s="15"/>
      <c r="BVW55" s="15"/>
      <c r="BVX55" s="15"/>
      <c r="BVY55" s="15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15"/>
      <c r="BWL55" s="15"/>
      <c r="BWM55" s="15"/>
      <c r="BWN55" s="15"/>
      <c r="BWO55" s="15"/>
      <c r="BWP55" s="15"/>
      <c r="BWQ55" s="15"/>
      <c r="BWR55" s="15"/>
      <c r="BWS55" s="15"/>
      <c r="BWT55" s="15"/>
      <c r="BWU55" s="15"/>
      <c r="BWV55" s="15"/>
      <c r="BWW55" s="15"/>
      <c r="BWX55" s="15"/>
      <c r="BWY55" s="15"/>
      <c r="BWZ55" s="15"/>
      <c r="BXA55" s="15"/>
      <c r="BXB55" s="15"/>
      <c r="BXC55" s="15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15"/>
      <c r="BXP55" s="15"/>
      <c r="BXQ55" s="15"/>
      <c r="BXR55" s="15"/>
      <c r="BXS55" s="15"/>
      <c r="BXT55" s="15"/>
      <c r="BXU55" s="15"/>
      <c r="BXV55" s="15"/>
      <c r="BXW55" s="15"/>
      <c r="BXX55" s="15"/>
      <c r="BXY55" s="15"/>
      <c r="BXZ55" s="15"/>
      <c r="BYA55" s="15"/>
      <c r="BYB55" s="15"/>
      <c r="BYC55" s="15"/>
      <c r="BYD55" s="15"/>
      <c r="BYE55" s="15"/>
      <c r="BYF55" s="15"/>
      <c r="BYG55" s="15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15"/>
      <c r="BYT55" s="15"/>
      <c r="BYU55" s="15"/>
      <c r="BYV55" s="15"/>
      <c r="BYW55" s="15"/>
      <c r="BYX55" s="15"/>
      <c r="BYY55" s="15"/>
      <c r="BYZ55" s="15"/>
      <c r="BZA55" s="15"/>
      <c r="BZB55" s="15"/>
      <c r="BZC55" s="15"/>
      <c r="BZD55" s="15"/>
      <c r="BZE55" s="15"/>
      <c r="BZF55" s="15"/>
      <c r="BZG55" s="15"/>
      <c r="BZH55" s="15"/>
      <c r="BZI55" s="15"/>
      <c r="BZJ55" s="15"/>
      <c r="BZK55" s="15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15"/>
      <c r="BZX55" s="15"/>
      <c r="BZY55" s="15"/>
      <c r="BZZ55" s="15"/>
      <c r="CAA55" s="15"/>
      <c r="CAB55" s="15"/>
      <c r="CAC55" s="15"/>
      <c r="CAD55" s="15"/>
      <c r="CAE55" s="15"/>
      <c r="CAF55" s="15"/>
      <c r="CAG55" s="15"/>
      <c r="CAH55" s="15"/>
      <c r="CAI55" s="15"/>
      <c r="CAJ55" s="15"/>
      <c r="CAK55" s="15"/>
      <c r="CAL55" s="15"/>
      <c r="CAM55" s="15"/>
      <c r="CAN55" s="15"/>
      <c r="CAO55" s="15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15"/>
      <c r="CBB55" s="15"/>
      <c r="CBC55" s="15"/>
      <c r="CBD55" s="15"/>
      <c r="CBE55" s="15"/>
      <c r="CBF55" s="15"/>
      <c r="CBG55" s="15"/>
      <c r="CBH55" s="15"/>
      <c r="CBI55" s="15"/>
      <c r="CBJ55" s="15"/>
      <c r="CBK55" s="15"/>
      <c r="CBL55" s="15"/>
      <c r="CBM55" s="15"/>
      <c r="CBN55" s="15"/>
      <c r="CBO55" s="15"/>
      <c r="CBP55" s="15"/>
      <c r="CBQ55" s="15"/>
      <c r="CBR55" s="15"/>
      <c r="CBS55" s="15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15"/>
      <c r="CCF55" s="15"/>
      <c r="CCG55" s="15"/>
      <c r="CCH55" s="15"/>
      <c r="CCI55" s="15"/>
      <c r="CCJ55" s="15"/>
      <c r="CCK55" s="15"/>
      <c r="CCL55" s="15"/>
      <c r="CCM55" s="15"/>
      <c r="CCN55" s="15"/>
      <c r="CCO55" s="15"/>
      <c r="CCP55" s="15"/>
      <c r="CCQ55" s="15"/>
      <c r="CCR55" s="15"/>
      <c r="CCS55" s="15"/>
      <c r="CCT55" s="15"/>
      <c r="CCU55" s="15"/>
      <c r="CCV55" s="15"/>
      <c r="CCW55" s="15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15"/>
      <c r="CDJ55" s="15"/>
      <c r="CDK55" s="15"/>
      <c r="CDL55" s="15"/>
      <c r="CDM55" s="15"/>
      <c r="CDN55" s="15"/>
      <c r="CDO55" s="15"/>
      <c r="CDP55" s="15"/>
      <c r="CDQ55" s="15"/>
      <c r="CDR55" s="15"/>
      <c r="CDS55" s="15"/>
      <c r="CDT55" s="15"/>
      <c r="CDU55" s="15"/>
      <c r="CDV55" s="15"/>
      <c r="CDW55" s="15"/>
      <c r="CDX55" s="15"/>
      <c r="CDY55" s="15"/>
      <c r="CDZ55" s="15"/>
      <c r="CEA55" s="15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15"/>
      <c r="CEN55" s="15"/>
      <c r="CEO55" s="15"/>
      <c r="CEP55" s="15"/>
      <c r="CEQ55" s="15"/>
      <c r="CER55" s="15"/>
      <c r="CES55" s="15"/>
      <c r="CET55" s="15"/>
      <c r="CEU55" s="15"/>
      <c r="CEV55" s="15"/>
      <c r="CEW55" s="15"/>
      <c r="CEX55" s="15"/>
      <c r="CEY55" s="15"/>
      <c r="CEZ55" s="15"/>
      <c r="CFA55" s="15"/>
      <c r="CFB55" s="15"/>
      <c r="CFC55" s="15"/>
      <c r="CFD55" s="15"/>
      <c r="CFE55" s="15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15"/>
      <c r="CFR55" s="15"/>
      <c r="CFS55" s="15"/>
      <c r="CFT55" s="15"/>
      <c r="CFU55" s="15"/>
      <c r="CFV55" s="15"/>
      <c r="CFW55" s="15"/>
      <c r="CFX55" s="15"/>
      <c r="CFY55" s="15"/>
      <c r="CFZ55" s="15"/>
      <c r="CGA55" s="15"/>
      <c r="CGB55" s="15"/>
      <c r="CGC55" s="15"/>
      <c r="CGD55" s="15"/>
      <c r="CGE55" s="15"/>
      <c r="CGF55" s="15"/>
      <c r="CGG55" s="15"/>
      <c r="CGH55" s="15"/>
      <c r="CGI55" s="15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15"/>
      <c r="CGV55" s="15"/>
      <c r="CGW55" s="15"/>
      <c r="CGX55" s="15"/>
      <c r="CGY55" s="15"/>
      <c r="CGZ55" s="15"/>
      <c r="CHA55" s="15"/>
      <c r="CHB55" s="15"/>
      <c r="CHC55" s="15"/>
      <c r="CHD55" s="15"/>
      <c r="CHE55" s="15"/>
      <c r="CHF55" s="15"/>
      <c r="CHG55" s="15"/>
      <c r="CHH55" s="15"/>
      <c r="CHI55" s="15"/>
      <c r="CHJ55" s="15"/>
      <c r="CHK55" s="15"/>
      <c r="CHL55" s="15"/>
      <c r="CHM55" s="15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15"/>
      <c r="CHZ55" s="15"/>
      <c r="CIA55" s="15"/>
      <c r="CIB55" s="15"/>
      <c r="CIC55" s="15"/>
      <c r="CID55" s="15"/>
      <c r="CIE55" s="15"/>
      <c r="CIF55" s="15"/>
      <c r="CIG55" s="15"/>
      <c r="CIH55" s="15"/>
      <c r="CII55" s="15"/>
      <c r="CIJ55" s="15"/>
      <c r="CIK55" s="15"/>
      <c r="CIL55" s="15"/>
      <c r="CIM55" s="15"/>
      <c r="CIN55" s="15"/>
      <c r="CIO55" s="15"/>
      <c r="CIP55" s="15"/>
      <c r="CIQ55" s="15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15"/>
      <c r="CJD55" s="15"/>
      <c r="CJE55" s="15"/>
      <c r="CJF55" s="15"/>
      <c r="CJG55" s="15"/>
      <c r="CJH55" s="15"/>
      <c r="CJI55" s="15"/>
      <c r="CJJ55" s="15"/>
      <c r="CJK55" s="15"/>
      <c r="CJL55" s="15"/>
      <c r="CJM55" s="15"/>
      <c r="CJN55" s="15"/>
      <c r="CJO55" s="15"/>
      <c r="CJP55" s="15"/>
      <c r="CJQ55" s="15"/>
      <c r="CJR55" s="15"/>
      <c r="CJS55" s="15"/>
      <c r="CJT55" s="15"/>
      <c r="CJU55" s="15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15"/>
      <c r="CKH55" s="15"/>
      <c r="CKI55" s="15"/>
      <c r="CKJ55" s="15"/>
      <c r="CKK55" s="15"/>
      <c r="CKL55" s="15"/>
      <c r="CKM55" s="15"/>
      <c r="CKN55" s="15"/>
      <c r="CKO55" s="15"/>
      <c r="CKP55" s="15"/>
      <c r="CKQ55" s="15"/>
      <c r="CKR55" s="15"/>
      <c r="CKS55" s="15"/>
      <c r="CKT55" s="15"/>
      <c r="CKU55" s="15"/>
      <c r="CKV55" s="15"/>
      <c r="CKW55" s="15"/>
      <c r="CKX55" s="15"/>
      <c r="CKY55" s="15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15"/>
      <c r="CLL55" s="15"/>
      <c r="CLM55" s="15"/>
      <c r="CLN55" s="15"/>
      <c r="CLO55" s="15"/>
      <c r="CLP55" s="15"/>
      <c r="CLQ55" s="15"/>
      <c r="CLR55" s="15"/>
      <c r="CLS55" s="15"/>
      <c r="CLT55" s="15"/>
      <c r="CLU55" s="15"/>
      <c r="CLV55" s="15"/>
      <c r="CLW55" s="15"/>
      <c r="CLX55" s="15"/>
      <c r="CLY55" s="15"/>
      <c r="CLZ55" s="15"/>
      <c r="CMA55" s="15"/>
      <c r="CMB55" s="15"/>
      <c r="CMC55" s="15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15"/>
      <c r="CMP55" s="15"/>
      <c r="CMQ55" s="15"/>
      <c r="CMR55" s="15"/>
      <c r="CMS55" s="15"/>
      <c r="CMT55" s="15"/>
      <c r="CMU55" s="15"/>
      <c r="CMV55" s="15"/>
      <c r="CMW55" s="15"/>
      <c r="CMX55" s="15"/>
      <c r="CMY55" s="15"/>
      <c r="CMZ55" s="15"/>
      <c r="CNA55" s="15"/>
      <c r="CNB55" s="15"/>
      <c r="CNC55" s="15"/>
      <c r="CND55" s="15"/>
      <c r="CNE55" s="15"/>
      <c r="CNF55" s="15"/>
      <c r="CNG55" s="15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15"/>
      <c r="CNT55" s="15"/>
      <c r="CNU55" s="15"/>
      <c r="CNV55" s="15"/>
      <c r="CNW55" s="15"/>
      <c r="CNX55" s="15"/>
      <c r="CNY55" s="15"/>
      <c r="CNZ55" s="15"/>
      <c r="COA55" s="15"/>
      <c r="COB55" s="15"/>
      <c r="COC55" s="15"/>
      <c r="COD55" s="15"/>
      <c r="COE55" s="15"/>
      <c r="COF55" s="15"/>
      <c r="COG55" s="15"/>
      <c r="COH55" s="15"/>
      <c r="COI55" s="15"/>
      <c r="COJ55" s="15"/>
      <c r="COK55" s="15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15"/>
      <c r="COX55" s="15"/>
      <c r="COY55" s="15"/>
      <c r="COZ55" s="15"/>
      <c r="CPA55" s="15"/>
      <c r="CPB55" s="15"/>
      <c r="CPC55" s="15"/>
      <c r="CPD55" s="15"/>
      <c r="CPE55" s="15"/>
      <c r="CPF55" s="15"/>
      <c r="CPG55" s="15"/>
      <c r="CPH55" s="15"/>
      <c r="CPI55" s="15"/>
      <c r="CPJ55" s="15"/>
      <c r="CPK55" s="15"/>
      <c r="CPL55" s="15"/>
      <c r="CPM55" s="15"/>
      <c r="CPN55" s="15"/>
      <c r="CPO55" s="15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15"/>
      <c r="CQB55" s="15"/>
      <c r="CQC55" s="15"/>
      <c r="CQD55" s="15"/>
      <c r="CQE55" s="15"/>
      <c r="CQF55" s="15"/>
      <c r="CQG55" s="15"/>
      <c r="CQH55" s="15"/>
      <c r="CQI55" s="15"/>
      <c r="CQJ55" s="15"/>
      <c r="CQK55" s="15"/>
      <c r="CQL55" s="15"/>
      <c r="CQM55" s="15"/>
      <c r="CQN55" s="15"/>
      <c r="CQO55" s="15"/>
      <c r="CQP55" s="15"/>
      <c r="CQQ55" s="15"/>
      <c r="CQR55" s="15"/>
      <c r="CQS55" s="15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15"/>
      <c r="CRF55" s="15"/>
      <c r="CRG55" s="15"/>
      <c r="CRH55" s="15"/>
      <c r="CRI55" s="15"/>
      <c r="CRJ55" s="15"/>
      <c r="CRK55" s="15"/>
      <c r="CRL55" s="15"/>
      <c r="CRM55" s="15"/>
      <c r="CRN55" s="15"/>
      <c r="CRO55" s="15"/>
      <c r="CRP55" s="15"/>
      <c r="CRQ55" s="15"/>
      <c r="CRR55" s="15"/>
      <c r="CRS55" s="15"/>
      <c r="CRT55" s="15"/>
      <c r="CRU55" s="15"/>
      <c r="CRV55" s="15"/>
      <c r="CRW55" s="15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15"/>
      <c r="CSJ55" s="15"/>
      <c r="CSK55" s="15"/>
      <c r="CSL55" s="15"/>
      <c r="CSM55" s="15"/>
      <c r="CSN55" s="15"/>
      <c r="CSO55" s="15"/>
      <c r="CSP55" s="15"/>
      <c r="CSQ55" s="15"/>
      <c r="CSR55" s="15"/>
      <c r="CSS55" s="15"/>
      <c r="CST55" s="15"/>
      <c r="CSU55" s="15"/>
      <c r="CSV55" s="15"/>
      <c r="CSW55" s="15"/>
      <c r="CSX55" s="15"/>
      <c r="CSY55" s="15"/>
      <c r="CSZ55" s="15"/>
      <c r="CTA55" s="15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15"/>
      <c r="CTN55" s="15"/>
      <c r="CTO55" s="15"/>
      <c r="CTP55" s="15"/>
      <c r="CTQ55" s="15"/>
      <c r="CTR55" s="15"/>
      <c r="CTS55" s="15"/>
      <c r="CTT55" s="15"/>
      <c r="CTU55" s="15"/>
      <c r="CTV55" s="15"/>
      <c r="CTW55" s="15"/>
      <c r="CTX55" s="15"/>
      <c r="CTY55" s="15"/>
      <c r="CTZ55" s="15"/>
      <c r="CUA55" s="15"/>
      <c r="CUB55" s="15"/>
      <c r="CUC55" s="15"/>
      <c r="CUD55" s="15"/>
      <c r="CUE55" s="15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15"/>
      <c r="CUR55" s="15"/>
      <c r="CUS55" s="15"/>
      <c r="CUT55" s="15"/>
      <c r="CUU55" s="15"/>
      <c r="CUV55" s="15"/>
      <c r="CUW55" s="15"/>
      <c r="CUX55" s="15"/>
      <c r="CUY55" s="15"/>
      <c r="CUZ55" s="15"/>
      <c r="CVA55" s="15"/>
      <c r="CVB55" s="15"/>
      <c r="CVC55" s="15"/>
      <c r="CVD55" s="15"/>
      <c r="CVE55" s="15"/>
      <c r="CVF55" s="15"/>
      <c r="CVG55" s="15"/>
      <c r="CVH55" s="15"/>
      <c r="CVI55" s="15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15"/>
      <c r="CVV55" s="15"/>
      <c r="CVW55" s="15"/>
      <c r="CVX55" s="15"/>
      <c r="CVY55" s="15"/>
      <c r="CVZ55" s="15"/>
      <c r="CWA55" s="15"/>
      <c r="CWB55" s="15"/>
      <c r="CWC55" s="15"/>
      <c r="CWD55" s="15"/>
      <c r="CWE55" s="15"/>
      <c r="CWF55" s="15"/>
      <c r="CWG55" s="15"/>
      <c r="CWH55" s="15"/>
      <c r="CWI55" s="15"/>
      <c r="CWJ55" s="15"/>
      <c r="CWK55" s="15"/>
      <c r="CWL55" s="15"/>
      <c r="CWM55" s="15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15"/>
      <c r="CWZ55" s="15"/>
      <c r="CXA55" s="15"/>
      <c r="CXB55" s="15"/>
      <c r="CXC55" s="15"/>
      <c r="CXD55" s="15"/>
      <c r="CXE55" s="15"/>
      <c r="CXF55" s="15"/>
      <c r="CXG55" s="15"/>
      <c r="CXH55" s="15"/>
      <c r="CXI55" s="15"/>
      <c r="CXJ55" s="15"/>
      <c r="CXK55" s="15"/>
      <c r="CXL55" s="15"/>
      <c r="CXM55" s="15"/>
      <c r="CXN55" s="15"/>
      <c r="CXO55" s="15"/>
      <c r="CXP55" s="15"/>
      <c r="CXQ55" s="15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15"/>
      <c r="CYD55" s="15"/>
      <c r="CYE55" s="15"/>
      <c r="CYF55" s="15"/>
      <c r="CYG55" s="15"/>
      <c r="CYH55" s="15"/>
      <c r="CYI55" s="15"/>
      <c r="CYJ55" s="15"/>
      <c r="CYK55" s="15"/>
      <c r="CYL55" s="15"/>
      <c r="CYM55" s="15"/>
      <c r="CYN55" s="15"/>
      <c r="CYO55" s="15"/>
      <c r="CYP55" s="15"/>
      <c r="CYQ55" s="15"/>
      <c r="CYR55" s="15"/>
      <c r="CYS55" s="15"/>
      <c r="CYT55" s="15"/>
      <c r="CYU55" s="15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15"/>
      <c r="CZH55" s="15"/>
      <c r="CZI55" s="15"/>
      <c r="CZJ55" s="15"/>
      <c r="CZK55" s="15"/>
      <c r="CZL55" s="15"/>
      <c r="CZM55" s="15"/>
      <c r="CZN55" s="15"/>
      <c r="CZO55" s="15"/>
      <c r="CZP55" s="15"/>
      <c r="CZQ55" s="15"/>
      <c r="CZR55" s="15"/>
      <c r="CZS55" s="15"/>
      <c r="CZT55" s="15"/>
      <c r="CZU55" s="15"/>
      <c r="CZV55" s="15"/>
      <c r="CZW55" s="15"/>
      <c r="CZX55" s="15"/>
      <c r="CZY55" s="15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15"/>
      <c r="DAL55" s="15"/>
      <c r="DAM55" s="15"/>
      <c r="DAN55" s="15"/>
      <c r="DAO55" s="15"/>
      <c r="DAP55" s="15"/>
      <c r="DAQ55" s="15"/>
      <c r="DAR55" s="15"/>
      <c r="DAS55" s="15"/>
      <c r="DAT55" s="15"/>
      <c r="DAU55" s="15"/>
      <c r="DAV55" s="15"/>
      <c r="DAW55" s="15"/>
      <c r="DAX55" s="15"/>
      <c r="DAY55" s="15"/>
      <c r="DAZ55" s="15"/>
      <c r="DBA55" s="15"/>
      <c r="DBB55" s="15"/>
      <c r="DBC55" s="15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15"/>
      <c r="DBP55" s="15"/>
      <c r="DBQ55" s="15"/>
      <c r="DBR55" s="15"/>
      <c r="DBS55" s="15"/>
      <c r="DBT55" s="15"/>
      <c r="DBU55" s="15"/>
      <c r="DBV55" s="15"/>
      <c r="DBW55" s="15"/>
      <c r="DBX55" s="15"/>
      <c r="DBY55" s="15"/>
      <c r="DBZ55" s="15"/>
      <c r="DCA55" s="15"/>
      <c r="DCB55" s="15"/>
      <c r="DCC55" s="15"/>
      <c r="DCD55" s="15"/>
      <c r="DCE55" s="15"/>
      <c r="DCF55" s="15"/>
      <c r="DCG55" s="15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15"/>
      <c r="DCT55" s="15"/>
      <c r="DCU55" s="15"/>
      <c r="DCV55" s="15"/>
      <c r="DCW55" s="15"/>
      <c r="DCX55" s="15"/>
      <c r="DCY55" s="15"/>
      <c r="DCZ55" s="15"/>
      <c r="DDA55" s="15"/>
      <c r="DDB55" s="15"/>
      <c r="DDC55" s="15"/>
      <c r="DDD55" s="15"/>
      <c r="DDE55" s="15"/>
      <c r="DDF55" s="15"/>
      <c r="DDG55" s="15"/>
      <c r="DDH55" s="15"/>
      <c r="DDI55" s="15"/>
      <c r="DDJ55" s="15"/>
      <c r="DDK55" s="15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15"/>
      <c r="DDX55" s="15"/>
      <c r="DDY55" s="15"/>
      <c r="DDZ55" s="15"/>
      <c r="DEA55" s="15"/>
      <c r="DEB55" s="15"/>
      <c r="DEC55" s="15"/>
      <c r="DED55" s="15"/>
      <c r="DEE55" s="15"/>
      <c r="DEF55" s="15"/>
      <c r="DEG55" s="15"/>
      <c r="DEH55" s="15"/>
      <c r="DEI55" s="15"/>
      <c r="DEJ55" s="15"/>
      <c r="DEK55" s="15"/>
      <c r="DEL55" s="15"/>
      <c r="DEM55" s="15"/>
      <c r="DEN55" s="15"/>
      <c r="DEO55" s="15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15"/>
      <c r="DFB55" s="15"/>
      <c r="DFC55" s="15"/>
      <c r="DFD55" s="15"/>
      <c r="DFE55" s="15"/>
      <c r="DFF55" s="15"/>
      <c r="DFG55" s="15"/>
      <c r="DFH55" s="15"/>
      <c r="DFI55" s="15"/>
      <c r="DFJ55" s="15"/>
      <c r="DFK55" s="15"/>
      <c r="DFL55" s="15"/>
      <c r="DFM55" s="15"/>
      <c r="DFN55" s="15"/>
      <c r="DFO55" s="15"/>
      <c r="DFP55" s="15"/>
      <c r="DFQ55" s="15"/>
      <c r="DFR55" s="15"/>
      <c r="DFS55" s="15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15"/>
      <c r="DGF55" s="15"/>
      <c r="DGG55" s="15"/>
      <c r="DGH55" s="15"/>
      <c r="DGI55" s="15"/>
      <c r="DGJ55" s="15"/>
      <c r="DGK55" s="15"/>
      <c r="DGL55" s="15"/>
      <c r="DGM55" s="15"/>
      <c r="DGN55" s="15"/>
      <c r="DGO55" s="15"/>
      <c r="DGP55" s="15"/>
      <c r="DGQ55" s="15"/>
      <c r="DGR55" s="15"/>
      <c r="DGS55" s="15"/>
      <c r="DGT55" s="15"/>
      <c r="DGU55" s="15"/>
      <c r="DGV55" s="15"/>
      <c r="DGW55" s="15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15"/>
      <c r="DHJ55" s="15"/>
      <c r="DHK55" s="15"/>
      <c r="DHL55" s="15"/>
      <c r="DHM55" s="15"/>
      <c r="DHN55" s="15"/>
      <c r="DHO55" s="15"/>
      <c r="DHP55" s="15"/>
      <c r="DHQ55" s="15"/>
      <c r="DHR55" s="15"/>
      <c r="DHS55" s="15"/>
      <c r="DHT55" s="15"/>
      <c r="DHU55" s="15"/>
      <c r="DHV55" s="15"/>
      <c r="DHW55" s="15"/>
      <c r="DHX55" s="15"/>
      <c r="DHY55" s="15"/>
      <c r="DHZ55" s="15"/>
      <c r="DIA55" s="15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15"/>
      <c r="DIN55" s="15"/>
      <c r="DIO55" s="15"/>
      <c r="DIP55" s="15"/>
      <c r="DIQ55" s="15"/>
      <c r="DIR55" s="15"/>
      <c r="DIS55" s="15"/>
      <c r="DIT55" s="15"/>
      <c r="DIU55" s="15"/>
      <c r="DIV55" s="15"/>
      <c r="DIW55" s="15"/>
      <c r="DIX55" s="15"/>
      <c r="DIY55" s="15"/>
      <c r="DIZ55" s="15"/>
      <c r="DJA55" s="15"/>
      <c r="DJB55" s="15"/>
      <c r="DJC55" s="15"/>
      <c r="DJD55" s="15"/>
      <c r="DJE55" s="15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15"/>
      <c r="DJR55" s="15"/>
      <c r="DJS55" s="15"/>
      <c r="DJT55" s="15"/>
      <c r="DJU55" s="15"/>
      <c r="DJV55" s="15"/>
      <c r="DJW55" s="15"/>
      <c r="DJX55" s="15"/>
      <c r="DJY55" s="15"/>
      <c r="DJZ55" s="15"/>
      <c r="DKA55" s="15"/>
      <c r="DKB55" s="15"/>
      <c r="DKC55" s="15"/>
      <c r="DKD55" s="15"/>
      <c r="DKE55" s="15"/>
      <c r="DKF55" s="15"/>
      <c r="DKG55" s="15"/>
      <c r="DKH55" s="15"/>
      <c r="DKI55" s="15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15"/>
      <c r="DKV55" s="15"/>
      <c r="DKW55" s="15"/>
      <c r="DKX55" s="15"/>
      <c r="DKY55" s="15"/>
      <c r="DKZ55" s="15"/>
      <c r="DLA55" s="15"/>
      <c r="DLB55" s="15"/>
      <c r="DLC55" s="15"/>
      <c r="DLD55" s="15"/>
      <c r="DLE55" s="15"/>
      <c r="DLF55" s="15"/>
      <c r="DLG55" s="15"/>
      <c r="DLH55" s="15"/>
      <c r="DLI55" s="15"/>
      <c r="DLJ55" s="15"/>
      <c r="DLK55" s="15"/>
      <c r="DLL55" s="15"/>
      <c r="DLM55" s="15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15"/>
      <c r="DLZ55" s="15"/>
      <c r="DMA55" s="15"/>
      <c r="DMB55" s="15"/>
      <c r="DMC55" s="15"/>
      <c r="DMD55" s="15"/>
      <c r="DME55" s="15"/>
      <c r="DMF55" s="15"/>
      <c r="DMG55" s="15"/>
      <c r="DMH55" s="15"/>
      <c r="DMI55" s="15"/>
      <c r="DMJ55" s="15"/>
      <c r="DMK55" s="15"/>
      <c r="DML55" s="15"/>
      <c r="DMM55" s="15"/>
      <c r="DMN55" s="15"/>
      <c r="DMO55" s="15"/>
      <c r="DMP55" s="15"/>
      <c r="DMQ55" s="15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15"/>
      <c r="DND55" s="15"/>
      <c r="DNE55" s="15"/>
      <c r="DNF55" s="15"/>
      <c r="DNG55" s="15"/>
      <c r="DNH55" s="15"/>
      <c r="DNI55" s="15"/>
      <c r="DNJ55" s="15"/>
      <c r="DNK55" s="15"/>
      <c r="DNL55" s="15"/>
      <c r="DNM55" s="15"/>
      <c r="DNN55" s="15"/>
      <c r="DNO55" s="15"/>
      <c r="DNP55" s="15"/>
      <c r="DNQ55" s="15"/>
      <c r="DNR55" s="15"/>
      <c r="DNS55" s="15"/>
      <c r="DNT55" s="15"/>
      <c r="DNU55" s="15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15"/>
      <c r="DOH55" s="15"/>
      <c r="DOI55" s="15"/>
      <c r="DOJ55" s="15"/>
      <c r="DOK55" s="15"/>
      <c r="DOL55" s="15"/>
      <c r="DOM55" s="15"/>
      <c r="DON55" s="15"/>
      <c r="DOO55" s="15"/>
      <c r="DOP55" s="15"/>
      <c r="DOQ55" s="15"/>
      <c r="DOR55" s="15"/>
      <c r="DOS55" s="15"/>
      <c r="DOT55" s="15"/>
      <c r="DOU55" s="15"/>
      <c r="DOV55" s="15"/>
      <c r="DOW55" s="15"/>
      <c r="DOX55" s="15"/>
      <c r="DOY55" s="15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15"/>
      <c r="DPL55" s="15"/>
      <c r="DPM55" s="15"/>
      <c r="DPN55" s="15"/>
      <c r="DPO55" s="15"/>
      <c r="DPP55" s="15"/>
      <c r="DPQ55" s="15"/>
      <c r="DPR55" s="15"/>
      <c r="DPS55" s="15"/>
      <c r="DPT55" s="15"/>
      <c r="DPU55" s="15"/>
      <c r="DPV55" s="15"/>
      <c r="DPW55" s="15"/>
      <c r="DPX55" s="15"/>
      <c r="DPY55" s="15"/>
      <c r="DPZ55" s="15"/>
      <c r="DQA55" s="15"/>
      <c r="DQB55" s="15"/>
      <c r="DQC55" s="15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15"/>
      <c r="DQP55" s="15"/>
      <c r="DQQ55" s="15"/>
      <c r="DQR55" s="15"/>
      <c r="DQS55" s="15"/>
      <c r="DQT55" s="15"/>
      <c r="DQU55" s="15"/>
      <c r="DQV55" s="15"/>
      <c r="DQW55" s="15"/>
      <c r="DQX55" s="15"/>
      <c r="DQY55" s="15"/>
      <c r="DQZ55" s="15"/>
      <c r="DRA55" s="15"/>
      <c r="DRB55" s="15"/>
      <c r="DRC55" s="15"/>
      <c r="DRD55" s="15"/>
      <c r="DRE55" s="15"/>
      <c r="DRF55" s="15"/>
      <c r="DRG55" s="15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15"/>
      <c r="DRT55" s="15"/>
      <c r="DRU55" s="15"/>
      <c r="DRV55" s="15"/>
      <c r="DRW55" s="15"/>
      <c r="DRX55" s="15"/>
      <c r="DRY55" s="15"/>
      <c r="DRZ55" s="15"/>
      <c r="DSA55" s="15"/>
      <c r="DSB55" s="15"/>
      <c r="DSC55" s="15"/>
      <c r="DSD55" s="15"/>
      <c r="DSE55" s="15"/>
      <c r="DSF55" s="15"/>
      <c r="DSG55" s="15"/>
      <c r="DSH55" s="15"/>
      <c r="DSI55" s="15"/>
      <c r="DSJ55" s="15"/>
      <c r="DSK55" s="15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15"/>
      <c r="DSX55" s="15"/>
      <c r="DSY55" s="15"/>
      <c r="DSZ55" s="15"/>
      <c r="DTA55" s="15"/>
      <c r="DTB55" s="15"/>
      <c r="DTC55" s="15"/>
      <c r="DTD55" s="15"/>
      <c r="DTE55" s="15"/>
      <c r="DTF55" s="15"/>
      <c r="DTG55" s="15"/>
      <c r="DTH55" s="15"/>
      <c r="DTI55" s="15"/>
      <c r="DTJ55" s="15"/>
      <c r="DTK55" s="15"/>
      <c r="DTL55" s="15"/>
      <c r="DTM55" s="15"/>
      <c r="DTN55" s="15"/>
      <c r="DTO55" s="15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15"/>
      <c r="DUB55" s="15"/>
      <c r="DUC55" s="15"/>
      <c r="DUD55" s="15"/>
      <c r="DUE55" s="15"/>
      <c r="DUF55" s="15"/>
      <c r="DUG55" s="15"/>
      <c r="DUH55" s="15"/>
      <c r="DUI55" s="15"/>
      <c r="DUJ55" s="15"/>
      <c r="DUK55" s="15"/>
      <c r="DUL55" s="15"/>
      <c r="DUM55" s="15"/>
      <c r="DUN55" s="15"/>
      <c r="DUO55" s="15"/>
      <c r="DUP55" s="15"/>
      <c r="DUQ55" s="15"/>
      <c r="DUR55" s="15"/>
      <c r="DUS55" s="15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15"/>
      <c r="DVF55" s="15"/>
      <c r="DVG55" s="15"/>
      <c r="DVH55" s="15"/>
      <c r="DVI55" s="15"/>
      <c r="DVJ55" s="15"/>
      <c r="DVK55" s="15"/>
      <c r="DVL55" s="15"/>
      <c r="DVM55" s="15"/>
      <c r="DVN55" s="15"/>
      <c r="DVO55" s="15"/>
      <c r="DVP55" s="15"/>
      <c r="DVQ55" s="15"/>
      <c r="DVR55" s="15"/>
      <c r="DVS55" s="15"/>
      <c r="DVT55" s="15"/>
      <c r="DVU55" s="15"/>
      <c r="DVV55" s="15"/>
      <c r="DVW55" s="15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15"/>
      <c r="DWJ55" s="15"/>
      <c r="DWK55" s="15"/>
      <c r="DWL55" s="15"/>
      <c r="DWM55" s="15"/>
      <c r="DWN55" s="15"/>
      <c r="DWO55" s="15"/>
      <c r="DWP55" s="15"/>
      <c r="DWQ55" s="15"/>
      <c r="DWR55" s="15"/>
      <c r="DWS55" s="15"/>
      <c r="DWT55" s="15"/>
      <c r="DWU55" s="15"/>
      <c r="DWV55" s="15"/>
      <c r="DWW55" s="15"/>
      <c r="DWX55" s="15"/>
      <c r="DWY55" s="15"/>
      <c r="DWZ55" s="15"/>
      <c r="DXA55" s="15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15"/>
      <c r="DXN55" s="15"/>
      <c r="DXO55" s="15"/>
      <c r="DXP55" s="15"/>
      <c r="DXQ55" s="15"/>
      <c r="DXR55" s="15"/>
      <c r="DXS55" s="15"/>
      <c r="DXT55" s="15"/>
      <c r="DXU55" s="15"/>
      <c r="DXV55" s="15"/>
      <c r="DXW55" s="15"/>
      <c r="DXX55" s="15"/>
      <c r="DXY55" s="15"/>
      <c r="DXZ55" s="15"/>
      <c r="DYA55" s="15"/>
      <c r="DYB55" s="15"/>
      <c r="DYC55" s="15"/>
      <c r="DYD55" s="15"/>
      <c r="DYE55" s="15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15"/>
      <c r="DYR55" s="15"/>
      <c r="DYS55" s="15"/>
      <c r="DYT55" s="15"/>
      <c r="DYU55" s="15"/>
      <c r="DYV55" s="15"/>
      <c r="DYW55" s="15"/>
      <c r="DYX55" s="15"/>
      <c r="DYY55" s="15"/>
      <c r="DYZ55" s="15"/>
      <c r="DZA55" s="15"/>
      <c r="DZB55" s="15"/>
      <c r="DZC55" s="15"/>
      <c r="DZD55" s="15"/>
      <c r="DZE55" s="15"/>
      <c r="DZF55" s="15"/>
      <c r="DZG55" s="15"/>
      <c r="DZH55" s="15"/>
      <c r="DZI55" s="15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15"/>
      <c r="DZV55" s="15"/>
      <c r="DZW55" s="15"/>
      <c r="DZX55" s="15"/>
      <c r="DZY55" s="15"/>
      <c r="DZZ55" s="15"/>
      <c r="EAA55" s="15"/>
      <c r="EAB55" s="15"/>
      <c r="EAC55" s="15"/>
      <c r="EAD55" s="15"/>
      <c r="EAE55" s="15"/>
      <c r="EAF55" s="15"/>
      <c r="EAG55" s="15"/>
      <c r="EAH55" s="15"/>
      <c r="EAI55" s="15"/>
      <c r="EAJ55" s="15"/>
      <c r="EAK55" s="15"/>
      <c r="EAL55" s="15"/>
      <c r="EAM55" s="15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15"/>
      <c r="EAZ55" s="15"/>
      <c r="EBA55" s="15"/>
      <c r="EBB55" s="15"/>
      <c r="EBC55" s="15"/>
      <c r="EBD55" s="15"/>
      <c r="EBE55" s="15"/>
      <c r="EBF55" s="15"/>
      <c r="EBG55" s="15"/>
      <c r="EBH55" s="15"/>
      <c r="EBI55" s="15"/>
      <c r="EBJ55" s="15"/>
      <c r="EBK55" s="15"/>
      <c r="EBL55" s="15"/>
      <c r="EBM55" s="15"/>
      <c r="EBN55" s="15"/>
      <c r="EBO55" s="15"/>
      <c r="EBP55" s="15"/>
      <c r="EBQ55" s="15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15"/>
      <c r="ECD55" s="15"/>
      <c r="ECE55" s="15"/>
      <c r="ECF55" s="15"/>
      <c r="ECG55" s="15"/>
      <c r="ECH55" s="15"/>
      <c r="ECI55" s="15"/>
      <c r="ECJ55" s="15"/>
      <c r="ECK55" s="15"/>
      <c r="ECL55" s="15"/>
      <c r="ECM55" s="15"/>
      <c r="ECN55" s="15"/>
      <c r="ECO55" s="15"/>
      <c r="ECP55" s="15"/>
      <c r="ECQ55" s="15"/>
      <c r="ECR55" s="15"/>
      <c r="ECS55" s="15"/>
      <c r="ECT55" s="15"/>
      <c r="ECU55" s="15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15"/>
      <c r="EDH55" s="15"/>
      <c r="EDI55" s="15"/>
      <c r="EDJ55" s="15"/>
      <c r="EDK55" s="15"/>
      <c r="EDL55" s="15"/>
      <c r="EDM55" s="15"/>
      <c r="EDN55" s="15"/>
      <c r="EDO55" s="15"/>
      <c r="EDP55" s="15"/>
      <c r="EDQ55" s="15"/>
      <c r="EDR55" s="15"/>
      <c r="EDS55" s="15"/>
      <c r="EDT55" s="15"/>
      <c r="EDU55" s="15"/>
      <c r="EDV55" s="15"/>
      <c r="EDW55" s="15"/>
      <c r="EDX55" s="15"/>
      <c r="EDY55" s="15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15"/>
      <c r="EEL55" s="15"/>
      <c r="EEM55" s="15"/>
      <c r="EEN55" s="15"/>
      <c r="EEO55" s="15"/>
      <c r="EEP55" s="15"/>
      <c r="EEQ55" s="15"/>
      <c r="EER55" s="15"/>
      <c r="EES55" s="15"/>
      <c r="EET55" s="15"/>
      <c r="EEU55" s="15"/>
      <c r="EEV55" s="15"/>
      <c r="EEW55" s="15"/>
      <c r="EEX55" s="15"/>
      <c r="EEY55" s="15"/>
      <c r="EEZ55" s="15"/>
      <c r="EFA55" s="15"/>
      <c r="EFB55" s="15"/>
      <c r="EFC55" s="15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15"/>
      <c r="EFP55" s="15"/>
      <c r="EFQ55" s="15"/>
      <c r="EFR55" s="15"/>
      <c r="EFS55" s="15"/>
      <c r="EFT55" s="15"/>
      <c r="EFU55" s="15"/>
      <c r="EFV55" s="15"/>
      <c r="EFW55" s="15"/>
      <c r="EFX55" s="15"/>
      <c r="EFY55" s="15"/>
      <c r="EFZ55" s="15"/>
      <c r="EGA55" s="15"/>
      <c r="EGB55" s="15"/>
      <c r="EGC55" s="15"/>
      <c r="EGD55" s="15"/>
      <c r="EGE55" s="15"/>
      <c r="EGF55" s="15"/>
      <c r="EGG55" s="15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15"/>
      <c r="EGT55" s="15"/>
      <c r="EGU55" s="15"/>
      <c r="EGV55" s="15"/>
      <c r="EGW55" s="15"/>
      <c r="EGX55" s="15"/>
      <c r="EGY55" s="15"/>
      <c r="EGZ55" s="15"/>
      <c r="EHA55" s="15"/>
      <c r="EHB55" s="15"/>
      <c r="EHC55" s="15"/>
      <c r="EHD55" s="15"/>
      <c r="EHE55" s="15"/>
      <c r="EHF55" s="15"/>
      <c r="EHG55" s="15"/>
      <c r="EHH55" s="15"/>
      <c r="EHI55" s="15"/>
      <c r="EHJ55" s="15"/>
      <c r="EHK55" s="15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15"/>
      <c r="EHX55" s="15"/>
      <c r="EHY55" s="15"/>
      <c r="EHZ55" s="15"/>
      <c r="EIA55" s="15"/>
      <c r="EIB55" s="15"/>
      <c r="EIC55" s="15"/>
      <c r="EID55" s="15"/>
      <c r="EIE55" s="15"/>
      <c r="EIF55" s="15"/>
      <c r="EIG55" s="15"/>
      <c r="EIH55" s="15"/>
      <c r="EII55" s="15"/>
      <c r="EIJ55" s="15"/>
      <c r="EIK55" s="15"/>
      <c r="EIL55" s="15"/>
      <c r="EIM55" s="15"/>
      <c r="EIN55" s="15"/>
      <c r="EIO55" s="15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15"/>
      <c r="EJB55" s="15"/>
      <c r="EJC55" s="15"/>
      <c r="EJD55" s="15"/>
      <c r="EJE55" s="15"/>
      <c r="EJF55" s="15"/>
      <c r="EJG55" s="15"/>
      <c r="EJH55" s="15"/>
      <c r="EJI55" s="15"/>
      <c r="EJJ55" s="15"/>
      <c r="EJK55" s="15"/>
      <c r="EJL55" s="15"/>
      <c r="EJM55" s="15"/>
      <c r="EJN55" s="15"/>
      <c r="EJO55" s="15"/>
      <c r="EJP55" s="15"/>
      <c r="EJQ55" s="15"/>
      <c r="EJR55" s="15"/>
      <c r="EJS55" s="15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15"/>
      <c r="EKF55" s="15"/>
      <c r="EKG55" s="15"/>
      <c r="EKH55" s="15"/>
      <c r="EKI55" s="15"/>
      <c r="EKJ55" s="15"/>
      <c r="EKK55" s="15"/>
      <c r="EKL55" s="15"/>
      <c r="EKM55" s="15"/>
      <c r="EKN55" s="15"/>
      <c r="EKO55" s="15"/>
      <c r="EKP55" s="15"/>
      <c r="EKQ55" s="15"/>
      <c r="EKR55" s="15"/>
      <c r="EKS55" s="15"/>
      <c r="EKT55" s="15"/>
      <c r="EKU55" s="15"/>
      <c r="EKV55" s="15"/>
      <c r="EKW55" s="15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15"/>
      <c r="ELJ55" s="15"/>
      <c r="ELK55" s="15"/>
      <c r="ELL55" s="15"/>
      <c r="ELM55" s="15"/>
      <c r="ELN55" s="15"/>
      <c r="ELO55" s="15"/>
      <c r="ELP55" s="15"/>
      <c r="ELQ55" s="15"/>
      <c r="ELR55" s="15"/>
      <c r="ELS55" s="15"/>
      <c r="ELT55" s="15"/>
      <c r="ELU55" s="15"/>
      <c r="ELV55" s="15"/>
      <c r="ELW55" s="15"/>
      <c r="ELX55" s="15"/>
      <c r="ELY55" s="15"/>
      <c r="ELZ55" s="15"/>
      <c r="EMA55" s="15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15"/>
      <c r="EMN55" s="15"/>
      <c r="EMO55" s="15"/>
      <c r="EMP55" s="15"/>
      <c r="EMQ55" s="15"/>
      <c r="EMR55" s="15"/>
      <c r="EMS55" s="15"/>
      <c r="EMT55" s="15"/>
      <c r="EMU55" s="15"/>
      <c r="EMV55" s="15"/>
      <c r="EMW55" s="15"/>
      <c r="EMX55" s="15"/>
      <c r="EMY55" s="15"/>
      <c r="EMZ55" s="15"/>
      <c r="ENA55" s="15"/>
      <c r="ENB55" s="15"/>
      <c r="ENC55" s="15"/>
      <c r="END55" s="15"/>
      <c r="ENE55" s="15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15"/>
      <c r="ENR55" s="15"/>
      <c r="ENS55" s="15"/>
      <c r="ENT55" s="15"/>
      <c r="ENU55" s="15"/>
      <c r="ENV55" s="15"/>
      <c r="ENW55" s="15"/>
      <c r="ENX55" s="15"/>
      <c r="ENY55" s="15"/>
      <c r="ENZ55" s="15"/>
      <c r="EOA55" s="15"/>
      <c r="EOB55" s="15"/>
      <c r="EOC55" s="15"/>
      <c r="EOD55" s="15"/>
      <c r="EOE55" s="15"/>
      <c r="EOF55" s="15"/>
      <c r="EOG55" s="15"/>
      <c r="EOH55" s="15"/>
      <c r="EOI55" s="15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15"/>
      <c r="EOV55" s="15"/>
      <c r="EOW55" s="15"/>
      <c r="EOX55" s="15"/>
      <c r="EOY55" s="15"/>
      <c r="EOZ55" s="15"/>
      <c r="EPA55" s="15"/>
      <c r="EPB55" s="15"/>
      <c r="EPC55" s="15"/>
      <c r="EPD55" s="15"/>
      <c r="EPE55" s="15"/>
      <c r="EPF55" s="15"/>
      <c r="EPG55" s="15"/>
      <c r="EPH55" s="15"/>
      <c r="EPI55" s="15"/>
      <c r="EPJ55" s="15"/>
      <c r="EPK55" s="15"/>
      <c r="EPL55" s="15"/>
      <c r="EPM55" s="15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15"/>
      <c r="EPZ55" s="15"/>
      <c r="EQA55" s="15"/>
      <c r="EQB55" s="15"/>
      <c r="EQC55" s="15"/>
      <c r="EQD55" s="15"/>
      <c r="EQE55" s="15"/>
      <c r="EQF55" s="15"/>
      <c r="EQG55" s="15"/>
      <c r="EQH55" s="15"/>
      <c r="EQI55" s="15"/>
      <c r="EQJ55" s="15"/>
      <c r="EQK55" s="15"/>
      <c r="EQL55" s="15"/>
      <c r="EQM55" s="15"/>
      <c r="EQN55" s="15"/>
      <c r="EQO55" s="15"/>
      <c r="EQP55" s="15"/>
      <c r="EQQ55" s="15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15"/>
      <c r="ERD55" s="15"/>
      <c r="ERE55" s="15"/>
      <c r="ERF55" s="15"/>
      <c r="ERG55" s="15"/>
      <c r="ERH55" s="15"/>
      <c r="ERI55" s="15"/>
      <c r="ERJ55" s="15"/>
      <c r="ERK55" s="15"/>
      <c r="ERL55" s="15"/>
      <c r="ERM55" s="15"/>
      <c r="ERN55" s="15"/>
      <c r="ERO55" s="15"/>
      <c r="ERP55" s="15"/>
      <c r="ERQ55" s="15"/>
      <c r="ERR55" s="15"/>
      <c r="ERS55" s="15"/>
      <c r="ERT55" s="15"/>
      <c r="ERU55" s="15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15"/>
      <c r="ESH55" s="15"/>
      <c r="ESI55" s="15"/>
      <c r="ESJ55" s="15"/>
      <c r="ESK55" s="15"/>
      <c r="ESL55" s="15"/>
      <c r="ESM55" s="15"/>
      <c r="ESN55" s="15"/>
      <c r="ESO55" s="15"/>
      <c r="ESP55" s="15"/>
      <c r="ESQ55" s="15"/>
      <c r="ESR55" s="15"/>
      <c r="ESS55" s="15"/>
      <c r="EST55" s="15"/>
      <c r="ESU55" s="15"/>
      <c r="ESV55" s="15"/>
      <c r="ESW55" s="15"/>
      <c r="ESX55" s="15"/>
      <c r="ESY55" s="15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15"/>
      <c r="ETL55" s="15"/>
      <c r="ETM55" s="15"/>
      <c r="ETN55" s="15"/>
      <c r="ETO55" s="15"/>
      <c r="ETP55" s="15"/>
      <c r="ETQ55" s="15"/>
      <c r="ETR55" s="15"/>
      <c r="ETS55" s="15"/>
      <c r="ETT55" s="15"/>
      <c r="ETU55" s="15"/>
      <c r="ETV55" s="15"/>
      <c r="ETW55" s="15"/>
      <c r="ETX55" s="15"/>
      <c r="ETY55" s="15"/>
      <c r="ETZ55" s="15"/>
      <c r="EUA55" s="15"/>
      <c r="EUB55" s="15"/>
      <c r="EUC55" s="15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15"/>
      <c r="EUP55" s="15"/>
      <c r="EUQ55" s="15"/>
      <c r="EUR55" s="15"/>
      <c r="EUS55" s="15"/>
      <c r="EUT55" s="15"/>
      <c r="EUU55" s="15"/>
      <c r="EUV55" s="15"/>
      <c r="EUW55" s="15"/>
      <c r="EUX55" s="15"/>
      <c r="EUY55" s="15"/>
      <c r="EUZ55" s="15"/>
      <c r="EVA55" s="15"/>
      <c r="EVB55" s="15"/>
      <c r="EVC55" s="15"/>
      <c r="EVD55" s="15"/>
      <c r="EVE55" s="15"/>
      <c r="EVF55" s="15"/>
      <c r="EVG55" s="15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15"/>
      <c r="EVT55" s="15"/>
      <c r="EVU55" s="15"/>
      <c r="EVV55" s="15"/>
      <c r="EVW55" s="15"/>
      <c r="EVX55" s="15"/>
      <c r="EVY55" s="15"/>
      <c r="EVZ55" s="15"/>
      <c r="EWA55" s="15"/>
      <c r="EWB55" s="15"/>
      <c r="EWC55" s="15"/>
      <c r="EWD55" s="15"/>
      <c r="EWE55" s="15"/>
      <c r="EWF55" s="15"/>
      <c r="EWG55" s="15"/>
      <c r="EWH55" s="15"/>
      <c r="EWI55" s="15"/>
      <c r="EWJ55" s="15"/>
      <c r="EWK55" s="15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15"/>
      <c r="EWX55" s="15"/>
      <c r="EWY55" s="15"/>
      <c r="EWZ55" s="15"/>
      <c r="EXA55" s="15"/>
      <c r="EXB55" s="15"/>
      <c r="EXC55" s="15"/>
      <c r="EXD55" s="15"/>
      <c r="EXE55" s="15"/>
      <c r="EXF55" s="15"/>
      <c r="EXG55" s="15"/>
      <c r="EXH55" s="15"/>
      <c r="EXI55" s="15"/>
      <c r="EXJ55" s="15"/>
      <c r="EXK55" s="15"/>
      <c r="EXL55" s="15"/>
      <c r="EXM55" s="15"/>
      <c r="EXN55" s="15"/>
      <c r="EXO55" s="15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15"/>
      <c r="EYB55" s="15"/>
      <c r="EYC55" s="15"/>
      <c r="EYD55" s="15"/>
      <c r="EYE55" s="15"/>
      <c r="EYF55" s="15"/>
      <c r="EYG55" s="15"/>
      <c r="EYH55" s="15"/>
      <c r="EYI55" s="15"/>
      <c r="EYJ55" s="15"/>
      <c r="EYK55" s="15"/>
      <c r="EYL55" s="15"/>
      <c r="EYM55" s="15"/>
      <c r="EYN55" s="15"/>
      <c r="EYO55" s="15"/>
      <c r="EYP55" s="15"/>
      <c r="EYQ55" s="15"/>
      <c r="EYR55" s="15"/>
      <c r="EYS55" s="15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15"/>
      <c r="EZF55" s="15"/>
      <c r="EZG55" s="15"/>
      <c r="EZH55" s="15"/>
      <c r="EZI55" s="15"/>
      <c r="EZJ55" s="15"/>
      <c r="EZK55" s="15"/>
      <c r="EZL55" s="15"/>
      <c r="EZM55" s="15"/>
      <c r="EZN55" s="15"/>
      <c r="EZO55" s="15"/>
      <c r="EZP55" s="15"/>
      <c r="EZQ55" s="15"/>
      <c r="EZR55" s="15"/>
      <c r="EZS55" s="15"/>
      <c r="EZT55" s="15"/>
      <c r="EZU55" s="15"/>
      <c r="EZV55" s="15"/>
      <c r="EZW55" s="15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15"/>
      <c r="FAJ55" s="15"/>
      <c r="FAK55" s="15"/>
      <c r="FAL55" s="15"/>
      <c r="FAM55" s="15"/>
      <c r="FAN55" s="15"/>
      <c r="FAO55" s="15"/>
      <c r="FAP55" s="15"/>
      <c r="FAQ55" s="15"/>
      <c r="FAR55" s="15"/>
      <c r="FAS55" s="15"/>
      <c r="FAT55" s="15"/>
      <c r="FAU55" s="15"/>
      <c r="FAV55" s="15"/>
      <c r="FAW55" s="15"/>
      <c r="FAX55" s="15"/>
      <c r="FAY55" s="15"/>
      <c r="FAZ55" s="15"/>
      <c r="FBA55" s="15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15"/>
      <c r="FBN55" s="15"/>
      <c r="FBO55" s="15"/>
      <c r="FBP55" s="15"/>
      <c r="FBQ55" s="15"/>
      <c r="FBR55" s="15"/>
      <c r="FBS55" s="15"/>
      <c r="FBT55" s="15"/>
      <c r="FBU55" s="15"/>
      <c r="FBV55" s="15"/>
      <c r="FBW55" s="15"/>
      <c r="FBX55" s="15"/>
      <c r="FBY55" s="15"/>
      <c r="FBZ55" s="15"/>
      <c r="FCA55" s="15"/>
      <c r="FCB55" s="15"/>
      <c r="FCC55" s="15"/>
      <c r="FCD55" s="15"/>
      <c r="FCE55" s="15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15"/>
      <c r="FCR55" s="15"/>
      <c r="FCS55" s="15"/>
      <c r="FCT55" s="15"/>
      <c r="FCU55" s="15"/>
      <c r="FCV55" s="15"/>
      <c r="FCW55" s="15"/>
      <c r="FCX55" s="15"/>
      <c r="FCY55" s="15"/>
      <c r="FCZ55" s="15"/>
      <c r="FDA55" s="15"/>
      <c r="FDB55" s="15"/>
      <c r="FDC55" s="15"/>
      <c r="FDD55" s="15"/>
      <c r="FDE55" s="15"/>
      <c r="FDF55" s="15"/>
      <c r="FDG55" s="15"/>
      <c r="FDH55" s="15"/>
      <c r="FDI55" s="15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15"/>
      <c r="FDV55" s="15"/>
      <c r="FDW55" s="15"/>
      <c r="FDX55" s="15"/>
      <c r="FDY55" s="15"/>
      <c r="FDZ55" s="15"/>
      <c r="FEA55" s="15"/>
      <c r="FEB55" s="15"/>
      <c r="FEC55" s="15"/>
      <c r="FED55" s="15"/>
      <c r="FEE55" s="15"/>
      <c r="FEF55" s="15"/>
      <c r="FEG55" s="15"/>
      <c r="FEH55" s="15"/>
      <c r="FEI55" s="15"/>
      <c r="FEJ55" s="15"/>
      <c r="FEK55" s="15"/>
      <c r="FEL55" s="15"/>
      <c r="FEM55" s="15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15"/>
      <c r="FEZ55" s="15"/>
      <c r="FFA55" s="15"/>
      <c r="FFB55" s="15"/>
      <c r="FFC55" s="15"/>
      <c r="FFD55" s="15"/>
      <c r="FFE55" s="15"/>
      <c r="FFF55" s="15"/>
      <c r="FFG55" s="15"/>
      <c r="FFH55" s="15"/>
      <c r="FFI55" s="15"/>
      <c r="FFJ55" s="15"/>
      <c r="FFK55" s="15"/>
      <c r="FFL55" s="15"/>
      <c r="FFM55" s="15"/>
      <c r="FFN55" s="15"/>
      <c r="FFO55" s="15"/>
      <c r="FFP55" s="15"/>
      <c r="FFQ55" s="15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15"/>
      <c r="FGD55" s="15"/>
      <c r="FGE55" s="15"/>
      <c r="FGF55" s="15"/>
      <c r="FGG55" s="15"/>
      <c r="FGH55" s="15"/>
      <c r="FGI55" s="15"/>
      <c r="FGJ55" s="15"/>
      <c r="FGK55" s="15"/>
      <c r="FGL55" s="15"/>
      <c r="FGM55" s="15"/>
      <c r="FGN55" s="15"/>
      <c r="FGO55" s="15"/>
      <c r="FGP55" s="15"/>
      <c r="FGQ55" s="15"/>
      <c r="FGR55" s="15"/>
      <c r="FGS55" s="15"/>
      <c r="FGT55" s="15"/>
      <c r="FGU55" s="15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15"/>
      <c r="FHH55" s="15"/>
      <c r="FHI55" s="15"/>
      <c r="FHJ55" s="15"/>
      <c r="FHK55" s="15"/>
      <c r="FHL55" s="15"/>
      <c r="FHM55" s="15"/>
      <c r="FHN55" s="15"/>
      <c r="FHO55" s="15"/>
      <c r="FHP55" s="15"/>
      <c r="FHQ55" s="15"/>
      <c r="FHR55" s="15"/>
      <c r="FHS55" s="15"/>
      <c r="FHT55" s="15"/>
      <c r="FHU55" s="15"/>
      <c r="FHV55" s="15"/>
      <c r="FHW55" s="15"/>
      <c r="FHX55" s="15"/>
      <c r="FHY55" s="15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15"/>
      <c r="FIL55" s="15"/>
      <c r="FIM55" s="15"/>
      <c r="FIN55" s="15"/>
      <c r="FIO55" s="15"/>
      <c r="FIP55" s="15"/>
      <c r="FIQ55" s="15"/>
      <c r="FIR55" s="15"/>
      <c r="FIS55" s="15"/>
      <c r="FIT55" s="15"/>
      <c r="FIU55" s="15"/>
      <c r="FIV55" s="15"/>
      <c r="FIW55" s="15"/>
      <c r="FIX55" s="15"/>
      <c r="FIY55" s="15"/>
      <c r="FIZ55" s="15"/>
      <c r="FJA55" s="15"/>
      <c r="FJB55" s="15"/>
      <c r="FJC55" s="15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15"/>
      <c r="FJP55" s="15"/>
      <c r="FJQ55" s="15"/>
      <c r="FJR55" s="15"/>
      <c r="FJS55" s="15"/>
      <c r="FJT55" s="15"/>
      <c r="FJU55" s="15"/>
      <c r="FJV55" s="15"/>
      <c r="FJW55" s="15"/>
      <c r="FJX55" s="15"/>
      <c r="FJY55" s="15"/>
      <c r="FJZ55" s="15"/>
      <c r="FKA55" s="15"/>
      <c r="FKB55" s="15"/>
      <c r="FKC55" s="15"/>
      <c r="FKD55" s="15"/>
      <c r="FKE55" s="15"/>
      <c r="FKF55" s="15"/>
      <c r="FKG55" s="15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15"/>
      <c r="FKT55" s="15"/>
      <c r="FKU55" s="15"/>
      <c r="FKV55" s="15"/>
      <c r="FKW55" s="15"/>
      <c r="FKX55" s="15"/>
      <c r="FKY55" s="15"/>
      <c r="FKZ55" s="15"/>
      <c r="FLA55" s="15"/>
      <c r="FLB55" s="15"/>
      <c r="FLC55" s="15"/>
      <c r="FLD55" s="15"/>
      <c r="FLE55" s="15"/>
      <c r="FLF55" s="15"/>
      <c r="FLG55" s="15"/>
      <c r="FLH55" s="15"/>
      <c r="FLI55" s="15"/>
      <c r="FLJ55" s="15"/>
      <c r="FLK55" s="15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15"/>
      <c r="FLX55" s="15"/>
      <c r="FLY55" s="15"/>
      <c r="FLZ55" s="15"/>
      <c r="FMA55" s="15"/>
      <c r="FMB55" s="15"/>
      <c r="FMC55" s="15"/>
      <c r="FMD55" s="15"/>
      <c r="FME55" s="15"/>
      <c r="FMF55" s="15"/>
      <c r="FMG55" s="15"/>
      <c r="FMH55" s="15"/>
      <c r="FMI55" s="15"/>
      <c r="FMJ55" s="15"/>
      <c r="FMK55" s="15"/>
      <c r="FML55" s="15"/>
      <c r="FMM55" s="15"/>
      <c r="FMN55" s="15"/>
      <c r="FMO55" s="15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15"/>
      <c r="FNB55" s="15"/>
      <c r="FNC55" s="15"/>
      <c r="FND55" s="15"/>
      <c r="FNE55" s="15"/>
      <c r="FNF55" s="15"/>
      <c r="FNG55" s="15"/>
      <c r="FNH55" s="15"/>
      <c r="FNI55" s="15"/>
      <c r="FNJ55" s="15"/>
      <c r="FNK55" s="15"/>
      <c r="FNL55" s="15"/>
      <c r="FNM55" s="15"/>
      <c r="FNN55" s="15"/>
      <c r="FNO55" s="15"/>
      <c r="FNP55" s="15"/>
      <c r="FNQ55" s="15"/>
      <c r="FNR55" s="15"/>
      <c r="FNS55" s="15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15"/>
      <c r="FOF55" s="15"/>
      <c r="FOG55" s="15"/>
      <c r="FOH55" s="15"/>
      <c r="FOI55" s="15"/>
      <c r="FOJ55" s="15"/>
      <c r="FOK55" s="15"/>
      <c r="FOL55" s="15"/>
      <c r="FOM55" s="15"/>
      <c r="FON55" s="15"/>
      <c r="FOO55" s="15"/>
      <c r="FOP55" s="15"/>
      <c r="FOQ55" s="15"/>
      <c r="FOR55" s="15"/>
      <c r="FOS55" s="15"/>
      <c r="FOT55" s="15"/>
      <c r="FOU55" s="15"/>
      <c r="FOV55" s="15"/>
      <c r="FOW55" s="15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15"/>
      <c r="FPJ55" s="15"/>
      <c r="FPK55" s="15"/>
      <c r="FPL55" s="15"/>
      <c r="FPM55" s="15"/>
      <c r="FPN55" s="15"/>
      <c r="FPO55" s="15"/>
      <c r="FPP55" s="15"/>
      <c r="FPQ55" s="15"/>
      <c r="FPR55" s="15"/>
      <c r="FPS55" s="15"/>
      <c r="FPT55" s="15"/>
      <c r="FPU55" s="15"/>
      <c r="FPV55" s="15"/>
      <c r="FPW55" s="15"/>
      <c r="FPX55" s="15"/>
      <c r="FPY55" s="15"/>
      <c r="FPZ55" s="15"/>
      <c r="FQA55" s="15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15"/>
      <c r="FQN55" s="15"/>
      <c r="FQO55" s="15"/>
      <c r="FQP55" s="15"/>
      <c r="FQQ55" s="15"/>
      <c r="FQR55" s="15"/>
      <c r="FQS55" s="15"/>
      <c r="FQT55" s="15"/>
      <c r="FQU55" s="15"/>
      <c r="FQV55" s="15"/>
      <c r="FQW55" s="15"/>
      <c r="FQX55" s="15"/>
      <c r="FQY55" s="15"/>
      <c r="FQZ55" s="15"/>
      <c r="FRA55" s="15"/>
      <c r="FRB55" s="15"/>
      <c r="FRC55" s="15"/>
      <c r="FRD55" s="15"/>
      <c r="FRE55" s="15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15"/>
      <c r="FRR55" s="15"/>
      <c r="FRS55" s="15"/>
      <c r="FRT55" s="15"/>
      <c r="FRU55" s="15"/>
      <c r="FRV55" s="15"/>
      <c r="FRW55" s="15"/>
      <c r="FRX55" s="15"/>
      <c r="FRY55" s="15"/>
      <c r="FRZ55" s="15"/>
      <c r="FSA55" s="15"/>
      <c r="FSB55" s="15"/>
      <c r="FSC55" s="15"/>
      <c r="FSD55" s="15"/>
      <c r="FSE55" s="15"/>
      <c r="FSF55" s="15"/>
      <c r="FSG55" s="15"/>
      <c r="FSH55" s="15"/>
      <c r="FSI55" s="15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15"/>
      <c r="FSV55" s="15"/>
      <c r="FSW55" s="15"/>
      <c r="FSX55" s="15"/>
      <c r="FSY55" s="15"/>
      <c r="FSZ55" s="15"/>
      <c r="FTA55" s="15"/>
      <c r="FTB55" s="15"/>
      <c r="FTC55" s="15"/>
      <c r="FTD55" s="15"/>
      <c r="FTE55" s="15"/>
      <c r="FTF55" s="15"/>
      <c r="FTG55" s="15"/>
      <c r="FTH55" s="15"/>
      <c r="FTI55" s="15"/>
      <c r="FTJ55" s="15"/>
      <c r="FTK55" s="15"/>
      <c r="FTL55" s="15"/>
      <c r="FTM55" s="15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15"/>
      <c r="FTZ55" s="15"/>
      <c r="FUA55" s="15"/>
      <c r="FUB55" s="15"/>
      <c r="FUC55" s="15"/>
      <c r="FUD55" s="15"/>
      <c r="FUE55" s="15"/>
      <c r="FUF55" s="15"/>
      <c r="FUG55" s="15"/>
      <c r="FUH55" s="15"/>
      <c r="FUI55" s="15"/>
      <c r="FUJ55" s="15"/>
      <c r="FUK55" s="15"/>
      <c r="FUL55" s="15"/>
      <c r="FUM55" s="15"/>
      <c r="FUN55" s="15"/>
      <c r="FUO55" s="15"/>
      <c r="FUP55" s="15"/>
      <c r="FUQ55" s="15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15"/>
      <c r="FVD55" s="15"/>
      <c r="FVE55" s="15"/>
      <c r="FVF55" s="15"/>
      <c r="FVG55" s="15"/>
      <c r="FVH55" s="15"/>
      <c r="FVI55" s="15"/>
      <c r="FVJ55" s="15"/>
      <c r="FVK55" s="15"/>
      <c r="FVL55" s="15"/>
      <c r="FVM55" s="15"/>
      <c r="FVN55" s="15"/>
      <c r="FVO55" s="15"/>
      <c r="FVP55" s="15"/>
      <c r="FVQ55" s="15"/>
      <c r="FVR55" s="15"/>
      <c r="FVS55" s="15"/>
      <c r="FVT55" s="15"/>
      <c r="FVU55" s="15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15"/>
      <c r="FWH55" s="15"/>
      <c r="FWI55" s="15"/>
      <c r="FWJ55" s="15"/>
      <c r="FWK55" s="15"/>
      <c r="FWL55" s="15"/>
      <c r="FWM55" s="15"/>
      <c r="FWN55" s="15"/>
      <c r="FWO55" s="15"/>
      <c r="FWP55" s="15"/>
      <c r="FWQ55" s="15"/>
      <c r="FWR55" s="15"/>
      <c r="FWS55" s="15"/>
      <c r="FWT55" s="15"/>
      <c r="FWU55" s="15"/>
      <c r="FWV55" s="15"/>
      <c r="FWW55" s="15"/>
      <c r="FWX55" s="15"/>
      <c r="FWY55" s="15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15"/>
      <c r="FXL55" s="15"/>
      <c r="FXM55" s="15"/>
      <c r="FXN55" s="15"/>
      <c r="FXO55" s="15"/>
      <c r="FXP55" s="15"/>
      <c r="FXQ55" s="15"/>
      <c r="FXR55" s="15"/>
      <c r="FXS55" s="15"/>
      <c r="FXT55" s="15"/>
      <c r="FXU55" s="15"/>
      <c r="FXV55" s="15"/>
      <c r="FXW55" s="15"/>
      <c r="FXX55" s="15"/>
      <c r="FXY55" s="15"/>
      <c r="FXZ55" s="15"/>
      <c r="FYA55" s="15"/>
      <c r="FYB55" s="15"/>
      <c r="FYC55" s="15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15"/>
      <c r="FYP55" s="15"/>
      <c r="FYQ55" s="15"/>
      <c r="FYR55" s="15"/>
      <c r="FYS55" s="15"/>
      <c r="FYT55" s="15"/>
      <c r="FYU55" s="15"/>
      <c r="FYV55" s="15"/>
      <c r="FYW55" s="15"/>
      <c r="FYX55" s="15"/>
      <c r="FYY55" s="15"/>
      <c r="FYZ55" s="15"/>
      <c r="FZA55" s="15"/>
      <c r="FZB55" s="15"/>
      <c r="FZC55" s="15"/>
      <c r="FZD55" s="15"/>
      <c r="FZE55" s="15"/>
      <c r="FZF55" s="15"/>
      <c r="FZG55" s="15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15"/>
      <c r="FZT55" s="15"/>
      <c r="FZU55" s="15"/>
      <c r="FZV55" s="15"/>
      <c r="FZW55" s="15"/>
      <c r="FZX55" s="15"/>
      <c r="FZY55" s="15"/>
      <c r="FZZ55" s="15"/>
      <c r="GAA55" s="15"/>
      <c r="GAB55" s="15"/>
      <c r="GAC55" s="15"/>
      <c r="GAD55" s="15"/>
      <c r="GAE55" s="15"/>
      <c r="GAF55" s="15"/>
      <c r="GAG55" s="15"/>
      <c r="GAH55" s="15"/>
      <c r="GAI55" s="15"/>
      <c r="GAJ55" s="15"/>
      <c r="GAK55" s="15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15"/>
      <c r="GAX55" s="15"/>
      <c r="GAY55" s="15"/>
      <c r="GAZ55" s="15"/>
      <c r="GBA55" s="15"/>
      <c r="GBB55" s="15"/>
      <c r="GBC55" s="15"/>
      <c r="GBD55" s="15"/>
      <c r="GBE55" s="15"/>
      <c r="GBF55" s="15"/>
      <c r="GBG55" s="15"/>
      <c r="GBH55" s="15"/>
      <c r="GBI55" s="15"/>
      <c r="GBJ55" s="15"/>
      <c r="GBK55" s="15"/>
      <c r="GBL55" s="15"/>
      <c r="GBM55" s="15"/>
      <c r="GBN55" s="15"/>
      <c r="GBO55" s="15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15"/>
      <c r="GCB55" s="15"/>
      <c r="GCC55" s="15"/>
      <c r="GCD55" s="15"/>
      <c r="GCE55" s="15"/>
      <c r="GCF55" s="15"/>
      <c r="GCG55" s="15"/>
      <c r="GCH55" s="15"/>
      <c r="GCI55" s="15"/>
      <c r="GCJ55" s="15"/>
      <c r="GCK55" s="15"/>
      <c r="GCL55" s="15"/>
      <c r="GCM55" s="15"/>
      <c r="GCN55" s="15"/>
      <c r="GCO55" s="15"/>
      <c r="GCP55" s="15"/>
      <c r="GCQ55" s="15"/>
      <c r="GCR55" s="15"/>
      <c r="GCS55" s="15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15"/>
      <c r="GDF55" s="15"/>
      <c r="GDG55" s="15"/>
      <c r="GDH55" s="15"/>
      <c r="GDI55" s="15"/>
      <c r="GDJ55" s="15"/>
      <c r="GDK55" s="15"/>
      <c r="GDL55" s="15"/>
      <c r="GDM55" s="15"/>
      <c r="GDN55" s="15"/>
      <c r="GDO55" s="15"/>
      <c r="GDP55" s="15"/>
      <c r="GDQ55" s="15"/>
      <c r="GDR55" s="15"/>
      <c r="GDS55" s="15"/>
      <c r="GDT55" s="15"/>
      <c r="GDU55" s="15"/>
      <c r="GDV55" s="15"/>
      <c r="GDW55" s="15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15"/>
      <c r="GEJ55" s="15"/>
      <c r="GEK55" s="15"/>
      <c r="GEL55" s="15"/>
      <c r="GEM55" s="15"/>
      <c r="GEN55" s="15"/>
      <c r="GEO55" s="15"/>
      <c r="GEP55" s="15"/>
      <c r="GEQ55" s="15"/>
      <c r="GER55" s="15"/>
      <c r="GES55" s="15"/>
      <c r="GET55" s="15"/>
      <c r="GEU55" s="15"/>
      <c r="GEV55" s="15"/>
      <c r="GEW55" s="15"/>
      <c r="GEX55" s="15"/>
      <c r="GEY55" s="15"/>
      <c r="GEZ55" s="15"/>
      <c r="GFA55" s="15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15"/>
      <c r="GFN55" s="15"/>
      <c r="GFO55" s="15"/>
      <c r="GFP55" s="15"/>
      <c r="GFQ55" s="15"/>
      <c r="GFR55" s="15"/>
      <c r="GFS55" s="15"/>
      <c r="GFT55" s="15"/>
      <c r="GFU55" s="15"/>
      <c r="GFV55" s="15"/>
      <c r="GFW55" s="15"/>
      <c r="GFX55" s="15"/>
      <c r="GFY55" s="15"/>
      <c r="GFZ55" s="15"/>
      <c r="GGA55" s="15"/>
      <c r="GGB55" s="15"/>
      <c r="GGC55" s="15"/>
      <c r="GGD55" s="15"/>
      <c r="GGE55" s="15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15"/>
      <c r="GGR55" s="15"/>
      <c r="GGS55" s="15"/>
      <c r="GGT55" s="15"/>
      <c r="GGU55" s="15"/>
      <c r="GGV55" s="15"/>
      <c r="GGW55" s="15"/>
      <c r="GGX55" s="15"/>
      <c r="GGY55" s="15"/>
      <c r="GGZ55" s="15"/>
      <c r="GHA55" s="15"/>
      <c r="GHB55" s="15"/>
      <c r="GHC55" s="15"/>
      <c r="GHD55" s="15"/>
      <c r="GHE55" s="15"/>
      <c r="GHF55" s="15"/>
      <c r="GHG55" s="15"/>
      <c r="GHH55" s="15"/>
      <c r="GHI55" s="15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15"/>
      <c r="GHV55" s="15"/>
      <c r="GHW55" s="15"/>
      <c r="GHX55" s="15"/>
      <c r="GHY55" s="15"/>
      <c r="GHZ55" s="15"/>
      <c r="GIA55" s="15"/>
      <c r="GIB55" s="15"/>
      <c r="GIC55" s="15"/>
      <c r="GID55" s="15"/>
      <c r="GIE55" s="15"/>
      <c r="GIF55" s="15"/>
      <c r="GIG55" s="15"/>
      <c r="GIH55" s="15"/>
      <c r="GII55" s="15"/>
      <c r="GIJ55" s="15"/>
      <c r="GIK55" s="15"/>
      <c r="GIL55" s="15"/>
      <c r="GIM55" s="15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15"/>
      <c r="GIZ55" s="15"/>
      <c r="GJA55" s="15"/>
      <c r="GJB55" s="15"/>
      <c r="GJC55" s="15"/>
      <c r="GJD55" s="15"/>
      <c r="GJE55" s="15"/>
      <c r="GJF55" s="15"/>
      <c r="GJG55" s="15"/>
      <c r="GJH55" s="15"/>
      <c r="GJI55" s="15"/>
      <c r="GJJ55" s="15"/>
      <c r="GJK55" s="15"/>
      <c r="GJL55" s="15"/>
      <c r="GJM55" s="15"/>
      <c r="GJN55" s="15"/>
      <c r="GJO55" s="15"/>
      <c r="GJP55" s="15"/>
      <c r="GJQ55" s="15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15"/>
      <c r="GKD55" s="15"/>
      <c r="GKE55" s="15"/>
      <c r="GKF55" s="15"/>
      <c r="GKG55" s="15"/>
      <c r="GKH55" s="15"/>
      <c r="GKI55" s="15"/>
      <c r="GKJ55" s="15"/>
      <c r="GKK55" s="15"/>
      <c r="GKL55" s="15"/>
      <c r="GKM55" s="15"/>
      <c r="GKN55" s="15"/>
      <c r="GKO55" s="15"/>
      <c r="GKP55" s="15"/>
      <c r="GKQ55" s="15"/>
      <c r="GKR55" s="15"/>
      <c r="GKS55" s="15"/>
      <c r="GKT55" s="15"/>
      <c r="GKU55" s="15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15"/>
      <c r="GLH55" s="15"/>
      <c r="GLI55" s="15"/>
      <c r="GLJ55" s="15"/>
      <c r="GLK55" s="15"/>
      <c r="GLL55" s="15"/>
      <c r="GLM55" s="15"/>
      <c r="GLN55" s="15"/>
      <c r="GLO55" s="15"/>
      <c r="GLP55" s="15"/>
      <c r="GLQ55" s="15"/>
      <c r="GLR55" s="15"/>
      <c r="GLS55" s="15"/>
      <c r="GLT55" s="15"/>
      <c r="GLU55" s="15"/>
      <c r="GLV55" s="15"/>
      <c r="GLW55" s="15"/>
      <c r="GLX55" s="15"/>
      <c r="GLY55" s="15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15"/>
      <c r="GML55" s="15"/>
      <c r="GMM55" s="15"/>
      <c r="GMN55" s="15"/>
      <c r="GMO55" s="15"/>
      <c r="GMP55" s="15"/>
      <c r="GMQ55" s="15"/>
      <c r="GMR55" s="15"/>
      <c r="GMS55" s="15"/>
      <c r="GMT55" s="15"/>
      <c r="GMU55" s="15"/>
      <c r="GMV55" s="15"/>
      <c r="GMW55" s="15"/>
      <c r="GMX55" s="15"/>
      <c r="GMY55" s="15"/>
      <c r="GMZ55" s="15"/>
      <c r="GNA55" s="15"/>
      <c r="GNB55" s="15"/>
      <c r="GNC55" s="15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15"/>
      <c r="GNP55" s="15"/>
      <c r="GNQ55" s="15"/>
      <c r="GNR55" s="15"/>
      <c r="GNS55" s="15"/>
      <c r="GNT55" s="15"/>
      <c r="GNU55" s="15"/>
      <c r="GNV55" s="15"/>
      <c r="GNW55" s="15"/>
      <c r="GNX55" s="15"/>
      <c r="GNY55" s="15"/>
      <c r="GNZ55" s="15"/>
      <c r="GOA55" s="15"/>
      <c r="GOB55" s="15"/>
      <c r="GOC55" s="15"/>
      <c r="GOD55" s="15"/>
      <c r="GOE55" s="15"/>
      <c r="GOF55" s="15"/>
      <c r="GOG55" s="15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15"/>
      <c r="GOT55" s="15"/>
      <c r="GOU55" s="15"/>
      <c r="GOV55" s="15"/>
      <c r="GOW55" s="15"/>
      <c r="GOX55" s="15"/>
      <c r="GOY55" s="15"/>
      <c r="GOZ55" s="15"/>
      <c r="GPA55" s="15"/>
      <c r="GPB55" s="15"/>
      <c r="GPC55" s="15"/>
      <c r="GPD55" s="15"/>
      <c r="GPE55" s="15"/>
      <c r="GPF55" s="15"/>
      <c r="GPG55" s="15"/>
      <c r="GPH55" s="15"/>
      <c r="GPI55" s="15"/>
      <c r="GPJ55" s="15"/>
      <c r="GPK55" s="15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15"/>
      <c r="GPX55" s="15"/>
      <c r="GPY55" s="15"/>
      <c r="GPZ55" s="15"/>
      <c r="GQA55" s="15"/>
      <c r="GQB55" s="15"/>
      <c r="GQC55" s="15"/>
      <c r="GQD55" s="15"/>
      <c r="GQE55" s="15"/>
      <c r="GQF55" s="15"/>
      <c r="GQG55" s="15"/>
      <c r="GQH55" s="15"/>
      <c r="GQI55" s="15"/>
      <c r="GQJ55" s="15"/>
      <c r="GQK55" s="15"/>
      <c r="GQL55" s="15"/>
      <c r="GQM55" s="15"/>
      <c r="GQN55" s="15"/>
      <c r="GQO55" s="15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15"/>
      <c r="GRB55" s="15"/>
      <c r="GRC55" s="15"/>
      <c r="GRD55" s="15"/>
      <c r="GRE55" s="15"/>
      <c r="GRF55" s="15"/>
      <c r="GRG55" s="15"/>
      <c r="GRH55" s="15"/>
      <c r="GRI55" s="15"/>
      <c r="GRJ55" s="15"/>
      <c r="GRK55" s="15"/>
      <c r="GRL55" s="15"/>
      <c r="GRM55" s="15"/>
      <c r="GRN55" s="15"/>
      <c r="GRO55" s="15"/>
      <c r="GRP55" s="15"/>
      <c r="GRQ55" s="15"/>
      <c r="GRR55" s="15"/>
      <c r="GRS55" s="15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15"/>
      <c r="GSF55" s="15"/>
      <c r="GSG55" s="15"/>
      <c r="GSH55" s="15"/>
      <c r="GSI55" s="15"/>
      <c r="GSJ55" s="15"/>
      <c r="GSK55" s="15"/>
      <c r="GSL55" s="15"/>
      <c r="GSM55" s="15"/>
      <c r="GSN55" s="15"/>
      <c r="GSO55" s="15"/>
      <c r="GSP55" s="15"/>
      <c r="GSQ55" s="15"/>
      <c r="GSR55" s="15"/>
      <c r="GSS55" s="15"/>
      <c r="GST55" s="15"/>
      <c r="GSU55" s="15"/>
      <c r="GSV55" s="15"/>
      <c r="GSW55" s="15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15"/>
      <c r="GTJ55" s="15"/>
      <c r="GTK55" s="15"/>
      <c r="GTL55" s="15"/>
      <c r="GTM55" s="15"/>
      <c r="GTN55" s="15"/>
      <c r="GTO55" s="15"/>
      <c r="GTP55" s="15"/>
      <c r="GTQ55" s="15"/>
      <c r="GTR55" s="15"/>
      <c r="GTS55" s="15"/>
      <c r="GTT55" s="15"/>
      <c r="GTU55" s="15"/>
      <c r="GTV55" s="15"/>
      <c r="GTW55" s="15"/>
      <c r="GTX55" s="15"/>
      <c r="GTY55" s="15"/>
      <c r="GTZ55" s="15"/>
      <c r="GUA55" s="15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15"/>
      <c r="GUN55" s="15"/>
      <c r="GUO55" s="15"/>
      <c r="GUP55" s="15"/>
      <c r="GUQ55" s="15"/>
      <c r="GUR55" s="15"/>
      <c r="GUS55" s="15"/>
      <c r="GUT55" s="15"/>
      <c r="GUU55" s="15"/>
      <c r="GUV55" s="15"/>
      <c r="GUW55" s="15"/>
      <c r="GUX55" s="15"/>
      <c r="GUY55" s="15"/>
      <c r="GUZ55" s="15"/>
      <c r="GVA55" s="15"/>
      <c r="GVB55" s="15"/>
      <c r="GVC55" s="15"/>
      <c r="GVD55" s="15"/>
      <c r="GVE55" s="15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15"/>
      <c r="GVR55" s="15"/>
      <c r="GVS55" s="15"/>
      <c r="GVT55" s="15"/>
      <c r="GVU55" s="15"/>
      <c r="GVV55" s="15"/>
      <c r="GVW55" s="15"/>
      <c r="GVX55" s="15"/>
      <c r="GVY55" s="15"/>
      <c r="GVZ55" s="15"/>
      <c r="GWA55" s="15"/>
      <c r="GWB55" s="15"/>
      <c r="GWC55" s="15"/>
      <c r="GWD55" s="15"/>
      <c r="GWE55" s="15"/>
      <c r="GWF55" s="15"/>
      <c r="GWG55" s="15"/>
      <c r="GWH55" s="15"/>
      <c r="GWI55" s="15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15"/>
      <c r="GWV55" s="15"/>
      <c r="GWW55" s="15"/>
      <c r="GWX55" s="15"/>
      <c r="GWY55" s="15"/>
      <c r="GWZ55" s="15"/>
      <c r="GXA55" s="15"/>
      <c r="GXB55" s="15"/>
      <c r="GXC55" s="15"/>
      <c r="GXD55" s="15"/>
      <c r="GXE55" s="15"/>
      <c r="GXF55" s="15"/>
      <c r="GXG55" s="15"/>
      <c r="GXH55" s="15"/>
      <c r="GXI55" s="15"/>
      <c r="GXJ55" s="15"/>
      <c r="GXK55" s="15"/>
      <c r="GXL55" s="15"/>
      <c r="GXM55" s="15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15"/>
      <c r="GXZ55" s="15"/>
      <c r="GYA55" s="15"/>
      <c r="GYB55" s="15"/>
      <c r="GYC55" s="15"/>
      <c r="GYD55" s="15"/>
      <c r="GYE55" s="15"/>
      <c r="GYF55" s="15"/>
      <c r="GYG55" s="15"/>
      <c r="GYH55" s="15"/>
      <c r="GYI55" s="15"/>
      <c r="GYJ55" s="15"/>
      <c r="GYK55" s="15"/>
      <c r="GYL55" s="15"/>
      <c r="GYM55" s="15"/>
      <c r="GYN55" s="15"/>
      <c r="GYO55" s="15"/>
      <c r="GYP55" s="15"/>
      <c r="GYQ55" s="15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15"/>
      <c r="GZD55" s="15"/>
      <c r="GZE55" s="15"/>
      <c r="GZF55" s="15"/>
      <c r="GZG55" s="15"/>
      <c r="GZH55" s="15"/>
      <c r="GZI55" s="15"/>
      <c r="GZJ55" s="15"/>
      <c r="GZK55" s="15"/>
      <c r="GZL55" s="15"/>
      <c r="GZM55" s="15"/>
      <c r="GZN55" s="15"/>
      <c r="GZO55" s="15"/>
      <c r="GZP55" s="15"/>
      <c r="GZQ55" s="15"/>
      <c r="GZR55" s="15"/>
      <c r="GZS55" s="15"/>
      <c r="GZT55" s="15"/>
      <c r="GZU55" s="15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15"/>
      <c r="HAH55" s="15"/>
      <c r="HAI55" s="15"/>
      <c r="HAJ55" s="15"/>
      <c r="HAK55" s="15"/>
      <c r="HAL55" s="15"/>
      <c r="HAM55" s="15"/>
      <c r="HAN55" s="15"/>
      <c r="HAO55" s="15"/>
      <c r="HAP55" s="15"/>
      <c r="HAQ55" s="15"/>
      <c r="HAR55" s="15"/>
      <c r="HAS55" s="15"/>
      <c r="HAT55" s="15"/>
      <c r="HAU55" s="15"/>
      <c r="HAV55" s="15"/>
      <c r="HAW55" s="15"/>
      <c r="HAX55" s="15"/>
      <c r="HAY55" s="15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15"/>
      <c r="HBL55" s="15"/>
      <c r="HBM55" s="15"/>
      <c r="HBN55" s="15"/>
      <c r="HBO55" s="15"/>
      <c r="HBP55" s="15"/>
      <c r="HBQ55" s="15"/>
      <c r="HBR55" s="15"/>
      <c r="HBS55" s="15"/>
      <c r="HBT55" s="15"/>
      <c r="HBU55" s="15"/>
      <c r="HBV55" s="15"/>
      <c r="HBW55" s="15"/>
      <c r="HBX55" s="15"/>
      <c r="HBY55" s="15"/>
      <c r="HBZ55" s="15"/>
      <c r="HCA55" s="15"/>
      <c r="HCB55" s="15"/>
      <c r="HCC55" s="15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15"/>
      <c r="HCP55" s="15"/>
      <c r="HCQ55" s="15"/>
      <c r="HCR55" s="15"/>
      <c r="HCS55" s="15"/>
      <c r="HCT55" s="15"/>
      <c r="HCU55" s="15"/>
      <c r="HCV55" s="15"/>
      <c r="HCW55" s="15"/>
      <c r="HCX55" s="15"/>
      <c r="HCY55" s="15"/>
      <c r="HCZ55" s="15"/>
      <c r="HDA55" s="15"/>
      <c r="HDB55" s="15"/>
      <c r="HDC55" s="15"/>
      <c r="HDD55" s="15"/>
      <c r="HDE55" s="15"/>
      <c r="HDF55" s="15"/>
      <c r="HDG55" s="15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15"/>
      <c r="HDT55" s="15"/>
      <c r="HDU55" s="15"/>
      <c r="HDV55" s="15"/>
      <c r="HDW55" s="15"/>
      <c r="HDX55" s="15"/>
      <c r="HDY55" s="15"/>
      <c r="HDZ55" s="15"/>
      <c r="HEA55" s="15"/>
      <c r="HEB55" s="15"/>
      <c r="HEC55" s="15"/>
      <c r="HED55" s="15"/>
      <c r="HEE55" s="15"/>
      <c r="HEF55" s="15"/>
      <c r="HEG55" s="15"/>
      <c r="HEH55" s="15"/>
      <c r="HEI55" s="15"/>
      <c r="HEJ55" s="15"/>
      <c r="HEK55" s="15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15"/>
      <c r="HEX55" s="15"/>
      <c r="HEY55" s="15"/>
      <c r="HEZ55" s="15"/>
      <c r="HFA55" s="15"/>
      <c r="HFB55" s="15"/>
      <c r="HFC55" s="15"/>
      <c r="HFD55" s="15"/>
      <c r="HFE55" s="15"/>
      <c r="HFF55" s="15"/>
      <c r="HFG55" s="15"/>
      <c r="HFH55" s="15"/>
      <c r="HFI55" s="15"/>
      <c r="HFJ55" s="15"/>
      <c r="HFK55" s="15"/>
      <c r="HFL55" s="15"/>
      <c r="HFM55" s="15"/>
      <c r="HFN55" s="15"/>
      <c r="HFO55" s="15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15"/>
      <c r="HGB55" s="15"/>
      <c r="HGC55" s="15"/>
      <c r="HGD55" s="15"/>
      <c r="HGE55" s="15"/>
      <c r="HGF55" s="15"/>
      <c r="HGG55" s="15"/>
      <c r="HGH55" s="15"/>
      <c r="HGI55" s="15"/>
      <c r="HGJ55" s="15"/>
      <c r="HGK55" s="15"/>
      <c r="HGL55" s="15"/>
      <c r="HGM55" s="15"/>
      <c r="HGN55" s="15"/>
      <c r="HGO55" s="15"/>
      <c r="HGP55" s="15"/>
      <c r="HGQ55" s="15"/>
      <c r="HGR55" s="15"/>
      <c r="HGS55" s="15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15"/>
      <c r="HHF55" s="15"/>
      <c r="HHG55" s="15"/>
      <c r="HHH55" s="15"/>
      <c r="HHI55" s="15"/>
      <c r="HHJ55" s="15"/>
      <c r="HHK55" s="15"/>
      <c r="HHL55" s="15"/>
      <c r="HHM55" s="15"/>
      <c r="HHN55" s="15"/>
      <c r="HHO55" s="15"/>
      <c r="HHP55" s="15"/>
      <c r="HHQ55" s="15"/>
      <c r="HHR55" s="15"/>
      <c r="HHS55" s="15"/>
      <c r="HHT55" s="15"/>
      <c r="HHU55" s="15"/>
      <c r="HHV55" s="15"/>
      <c r="HHW55" s="15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15"/>
      <c r="HIJ55" s="15"/>
      <c r="HIK55" s="15"/>
      <c r="HIL55" s="15"/>
      <c r="HIM55" s="15"/>
      <c r="HIN55" s="15"/>
      <c r="HIO55" s="15"/>
      <c r="HIP55" s="15"/>
      <c r="HIQ55" s="15"/>
      <c r="HIR55" s="15"/>
      <c r="HIS55" s="15"/>
      <c r="HIT55" s="15"/>
      <c r="HIU55" s="15"/>
      <c r="HIV55" s="15"/>
      <c r="HIW55" s="15"/>
      <c r="HIX55" s="15"/>
      <c r="HIY55" s="15"/>
      <c r="HIZ55" s="15"/>
      <c r="HJA55" s="15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15"/>
      <c r="HJN55" s="15"/>
      <c r="HJO55" s="15"/>
      <c r="HJP55" s="15"/>
      <c r="HJQ55" s="15"/>
      <c r="HJR55" s="15"/>
      <c r="HJS55" s="15"/>
      <c r="HJT55" s="15"/>
      <c r="HJU55" s="15"/>
      <c r="HJV55" s="15"/>
      <c r="HJW55" s="15"/>
      <c r="HJX55" s="15"/>
      <c r="HJY55" s="15"/>
      <c r="HJZ55" s="15"/>
      <c r="HKA55" s="15"/>
      <c r="HKB55" s="15"/>
      <c r="HKC55" s="15"/>
      <c r="HKD55" s="15"/>
      <c r="HKE55" s="15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15"/>
      <c r="HKR55" s="15"/>
      <c r="HKS55" s="15"/>
      <c r="HKT55" s="15"/>
      <c r="HKU55" s="15"/>
      <c r="HKV55" s="15"/>
      <c r="HKW55" s="15"/>
      <c r="HKX55" s="15"/>
      <c r="HKY55" s="15"/>
      <c r="HKZ55" s="15"/>
      <c r="HLA55" s="15"/>
      <c r="HLB55" s="15"/>
      <c r="HLC55" s="15"/>
      <c r="HLD55" s="15"/>
      <c r="HLE55" s="15"/>
      <c r="HLF55" s="15"/>
      <c r="HLG55" s="15"/>
      <c r="HLH55" s="15"/>
      <c r="HLI55" s="15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15"/>
      <c r="HLV55" s="15"/>
      <c r="HLW55" s="15"/>
      <c r="HLX55" s="15"/>
      <c r="HLY55" s="15"/>
      <c r="HLZ55" s="15"/>
      <c r="HMA55" s="15"/>
      <c r="HMB55" s="15"/>
      <c r="HMC55" s="15"/>
      <c r="HMD55" s="15"/>
      <c r="HME55" s="15"/>
      <c r="HMF55" s="15"/>
      <c r="HMG55" s="15"/>
      <c r="HMH55" s="15"/>
      <c r="HMI55" s="15"/>
      <c r="HMJ55" s="15"/>
      <c r="HMK55" s="15"/>
      <c r="HML55" s="15"/>
      <c r="HMM55" s="15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15"/>
      <c r="HMZ55" s="15"/>
      <c r="HNA55" s="15"/>
      <c r="HNB55" s="15"/>
      <c r="HNC55" s="15"/>
      <c r="HND55" s="15"/>
      <c r="HNE55" s="15"/>
      <c r="HNF55" s="15"/>
      <c r="HNG55" s="15"/>
      <c r="HNH55" s="15"/>
      <c r="HNI55" s="15"/>
      <c r="HNJ55" s="15"/>
      <c r="HNK55" s="15"/>
      <c r="HNL55" s="15"/>
      <c r="HNM55" s="15"/>
      <c r="HNN55" s="15"/>
      <c r="HNO55" s="15"/>
      <c r="HNP55" s="15"/>
      <c r="HNQ55" s="15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15"/>
      <c r="HOD55" s="15"/>
      <c r="HOE55" s="15"/>
      <c r="HOF55" s="15"/>
      <c r="HOG55" s="15"/>
      <c r="HOH55" s="15"/>
      <c r="HOI55" s="15"/>
      <c r="HOJ55" s="15"/>
      <c r="HOK55" s="15"/>
      <c r="HOL55" s="15"/>
      <c r="HOM55" s="15"/>
      <c r="HON55" s="15"/>
      <c r="HOO55" s="15"/>
      <c r="HOP55" s="15"/>
      <c r="HOQ55" s="15"/>
      <c r="HOR55" s="15"/>
      <c r="HOS55" s="15"/>
      <c r="HOT55" s="15"/>
      <c r="HOU55" s="15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15"/>
      <c r="HPH55" s="15"/>
      <c r="HPI55" s="15"/>
      <c r="HPJ55" s="15"/>
      <c r="HPK55" s="15"/>
      <c r="HPL55" s="15"/>
      <c r="HPM55" s="15"/>
      <c r="HPN55" s="15"/>
      <c r="HPO55" s="15"/>
      <c r="HPP55" s="15"/>
      <c r="HPQ55" s="15"/>
      <c r="HPR55" s="15"/>
      <c r="HPS55" s="15"/>
      <c r="HPT55" s="15"/>
      <c r="HPU55" s="15"/>
      <c r="HPV55" s="15"/>
      <c r="HPW55" s="15"/>
      <c r="HPX55" s="15"/>
      <c r="HPY55" s="15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15"/>
      <c r="HQL55" s="15"/>
      <c r="HQM55" s="15"/>
      <c r="HQN55" s="15"/>
      <c r="HQO55" s="15"/>
      <c r="HQP55" s="15"/>
      <c r="HQQ55" s="15"/>
      <c r="HQR55" s="15"/>
      <c r="HQS55" s="15"/>
      <c r="HQT55" s="15"/>
      <c r="HQU55" s="15"/>
      <c r="HQV55" s="15"/>
      <c r="HQW55" s="15"/>
      <c r="HQX55" s="15"/>
      <c r="HQY55" s="15"/>
      <c r="HQZ55" s="15"/>
      <c r="HRA55" s="15"/>
      <c r="HRB55" s="15"/>
      <c r="HRC55" s="15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15"/>
      <c r="HRP55" s="15"/>
      <c r="HRQ55" s="15"/>
      <c r="HRR55" s="15"/>
      <c r="HRS55" s="15"/>
      <c r="HRT55" s="15"/>
      <c r="HRU55" s="15"/>
      <c r="HRV55" s="15"/>
      <c r="HRW55" s="15"/>
      <c r="HRX55" s="15"/>
      <c r="HRY55" s="15"/>
      <c r="HRZ55" s="15"/>
      <c r="HSA55" s="15"/>
      <c r="HSB55" s="15"/>
      <c r="HSC55" s="15"/>
      <c r="HSD55" s="15"/>
      <c r="HSE55" s="15"/>
      <c r="HSF55" s="15"/>
      <c r="HSG55" s="15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15"/>
      <c r="HST55" s="15"/>
      <c r="HSU55" s="15"/>
      <c r="HSV55" s="15"/>
      <c r="HSW55" s="15"/>
      <c r="HSX55" s="15"/>
      <c r="HSY55" s="15"/>
      <c r="HSZ55" s="15"/>
      <c r="HTA55" s="15"/>
      <c r="HTB55" s="15"/>
      <c r="HTC55" s="15"/>
      <c r="HTD55" s="15"/>
      <c r="HTE55" s="15"/>
      <c r="HTF55" s="15"/>
      <c r="HTG55" s="15"/>
      <c r="HTH55" s="15"/>
      <c r="HTI55" s="15"/>
      <c r="HTJ55" s="15"/>
      <c r="HTK55" s="15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15"/>
      <c r="HTX55" s="15"/>
      <c r="HTY55" s="15"/>
      <c r="HTZ55" s="15"/>
      <c r="HUA55" s="15"/>
      <c r="HUB55" s="15"/>
      <c r="HUC55" s="15"/>
      <c r="HUD55" s="15"/>
      <c r="HUE55" s="15"/>
      <c r="HUF55" s="15"/>
      <c r="HUG55" s="15"/>
      <c r="HUH55" s="15"/>
      <c r="HUI55" s="15"/>
      <c r="HUJ55" s="15"/>
      <c r="HUK55" s="15"/>
      <c r="HUL55" s="15"/>
      <c r="HUM55" s="15"/>
      <c r="HUN55" s="15"/>
      <c r="HUO55" s="15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15"/>
      <c r="HVB55" s="15"/>
      <c r="HVC55" s="15"/>
      <c r="HVD55" s="15"/>
      <c r="HVE55" s="15"/>
      <c r="HVF55" s="15"/>
      <c r="HVG55" s="15"/>
      <c r="HVH55" s="15"/>
      <c r="HVI55" s="15"/>
      <c r="HVJ55" s="15"/>
      <c r="HVK55" s="15"/>
      <c r="HVL55" s="15"/>
      <c r="HVM55" s="15"/>
      <c r="HVN55" s="15"/>
      <c r="HVO55" s="15"/>
      <c r="HVP55" s="15"/>
      <c r="HVQ55" s="15"/>
      <c r="HVR55" s="15"/>
      <c r="HVS55" s="15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15"/>
      <c r="HWF55" s="15"/>
      <c r="HWG55" s="15"/>
      <c r="HWH55" s="15"/>
      <c r="HWI55" s="15"/>
      <c r="HWJ55" s="15"/>
      <c r="HWK55" s="15"/>
      <c r="HWL55" s="15"/>
      <c r="HWM55" s="15"/>
      <c r="HWN55" s="15"/>
      <c r="HWO55" s="15"/>
      <c r="HWP55" s="15"/>
      <c r="HWQ55" s="15"/>
      <c r="HWR55" s="15"/>
      <c r="HWS55" s="15"/>
      <c r="HWT55" s="15"/>
      <c r="HWU55" s="15"/>
      <c r="HWV55" s="15"/>
      <c r="HWW55" s="15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15"/>
      <c r="HXJ55" s="15"/>
      <c r="HXK55" s="15"/>
      <c r="HXL55" s="15"/>
      <c r="HXM55" s="15"/>
      <c r="HXN55" s="15"/>
      <c r="HXO55" s="15"/>
      <c r="HXP55" s="15"/>
      <c r="HXQ55" s="15"/>
      <c r="HXR55" s="15"/>
      <c r="HXS55" s="15"/>
      <c r="HXT55" s="15"/>
      <c r="HXU55" s="15"/>
      <c r="HXV55" s="15"/>
      <c r="HXW55" s="15"/>
      <c r="HXX55" s="15"/>
      <c r="HXY55" s="15"/>
      <c r="HXZ55" s="15"/>
      <c r="HYA55" s="15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15"/>
      <c r="HYN55" s="15"/>
      <c r="HYO55" s="15"/>
      <c r="HYP55" s="15"/>
      <c r="HYQ55" s="15"/>
      <c r="HYR55" s="15"/>
      <c r="HYS55" s="15"/>
      <c r="HYT55" s="15"/>
      <c r="HYU55" s="15"/>
      <c r="HYV55" s="15"/>
      <c r="HYW55" s="15"/>
      <c r="HYX55" s="15"/>
      <c r="HYY55" s="15"/>
      <c r="HYZ55" s="15"/>
      <c r="HZA55" s="15"/>
      <c r="HZB55" s="15"/>
      <c r="HZC55" s="15"/>
      <c r="HZD55" s="15"/>
      <c r="HZE55" s="15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15"/>
      <c r="HZR55" s="15"/>
      <c r="HZS55" s="15"/>
      <c r="HZT55" s="15"/>
      <c r="HZU55" s="15"/>
      <c r="HZV55" s="15"/>
      <c r="HZW55" s="15"/>
      <c r="HZX55" s="15"/>
      <c r="HZY55" s="15"/>
      <c r="HZZ55" s="15"/>
      <c r="IAA55" s="15"/>
      <c r="IAB55" s="15"/>
      <c r="IAC55" s="15"/>
      <c r="IAD55" s="15"/>
      <c r="IAE55" s="15"/>
      <c r="IAF55" s="15"/>
      <c r="IAG55" s="15"/>
      <c r="IAH55" s="15"/>
      <c r="IAI55" s="15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15"/>
      <c r="IAV55" s="15"/>
      <c r="IAW55" s="15"/>
      <c r="IAX55" s="15"/>
      <c r="IAY55" s="15"/>
      <c r="IAZ55" s="15"/>
      <c r="IBA55" s="15"/>
      <c r="IBB55" s="15"/>
      <c r="IBC55" s="15"/>
      <c r="IBD55" s="15"/>
      <c r="IBE55" s="15"/>
      <c r="IBF55" s="15"/>
      <c r="IBG55" s="15"/>
      <c r="IBH55" s="15"/>
      <c r="IBI55" s="15"/>
      <c r="IBJ55" s="15"/>
      <c r="IBK55" s="15"/>
      <c r="IBL55" s="15"/>
      <c r="IBM55" s="15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15"/>
      <c r="IBZ55" s="15"/>
      <c r="ICA55" s="15"/>
      <c r="ICB55" s="15"/>
      <c r="ICC55" s="15"/>
      <c r="ICD55" s="15"/>
      <c r="ICE55" s="15"/>
      <c r="ICF55" s="15"/>
      <c r="ICG55" s="15"/>
      <c r="ICH55" s="15"/>
      <c r="ICI55" s="15"/>
      <c r="ICJ55" s="15"/>
      <c r="ICK55" s="15"/>
      <c r="ICL55" s="15"/>
      <c r="ICM55" s="15"/>
      <c r="ICN55" s="15"/>
      <c r="ICO55" s="15"/>
      <c r="ICP55" s="15"/>
      <c r="ICQ55" s="15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15"/>
      <c r="IDD55" s="15"/>
      <c r="IDE55" s="15"/>
      <c r="IDF55" s="15"/>
      <c r="IDG55" s="15"/>
      <c r="IDH55" s="15"/>
      <c r="IDI55" s="15"/>
      <c r="IDJ55" s="15"/>
      <c r="IDK55" s="15"/>
      <c r="IDL55" s="15"/>
      <c r="IDM55" s="15"/>
      <c r="IDN55" s="15"/>
      <c r="IDO55" s="15"/>
      <c r="IDP55" s="15"/>
      <c r="IDQ55" s="15"/>
      <c r="IDR55" s="15"/>
      <c r="IDS55" s="15"/>
      <c r="IDT55" s="15"/>
      <c r="IDU55" s="15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15"/>
      <c r="IEH55" s="15"/>
      <c r="IEI55" s="15"/>
      <c r="IEJ55" s="15"/>
      <c r="IEK55" s="15"/>
      <c r="IEL55" s="15"/>
      <c r="IEM55" s="15"/>
      <c r="IEN55" s="15"/>
      <c r="IEO55" s="15"/>
      <c r="IEP55" s="15"/>
      <c r="IEQ55" s="15"/>
      <c r="IER55" s="15"/>
      <c r="IES55" s="15"/>
      <c r="IET55" s="15"/>
      <c r="IEU55" s="15"/>
      <c r="IEV55" s="15"/>
      <c r="IEW55" s="15"/>
      <c r="IEX55" s="15"/>
      <c r="IEY55" s="15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15"/>
      <c r="IFL55" s="15"/>
      <c r="IFM55" s="15"/>
      <c r="IFN55" s="15"/>
      <c r="IFO55" s="15"/>
      <c r="IFP55" s="15"/>
      <c r="IFQ55" s="15"/>
      <c r="IFR55" s="15"/>
      <c r="IFS55" s="15"/>
      <c r="IFT55" s="15"/>
      <c r="IFU55" s="15"/>
      <c r="IFV55" s="15"/>
      <c r="IFW55" s="15"/>
      <c r="IFX55" s="15"/>
      <c r="IFY55" s="15"/>
      <c r="IFZ55" s="15"/>
      <c r="IGA55" s="15"/>
      <c r="IGB55" s="15"/>
      <c r="IGC55" s="15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15"/>
      <c r="IGP55" s="15"/>
      <c r="IGQ55" s="15"/>
      <c r="IGR55" s="15"/>
      <c r="IGS55" s="15"/>
      <c r="IGT55" s="15"/>
      <c r="IGU55" s="15"/>
      <c r="IGV55" s="15"/>
      <c r="IGW55" s="15"/>
      <c r="IGX55" s="15"/>
      <c r="IGY55" s="15"/>
      <c r="IGZ55" s="15"/>
      <c r="IHA55" s="15"/>
      <c r="IHB55" s="15"/>
      <c r="IHC55" s="15"/>
      <c r="IHD55" s="15"/>
      <c r="IHE55" s="15"/>
      <c r="IHF55" s="15"/>
      <c r="IHG55" s="15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15"/>
      <c r="IHT55" s="15"/>
      <c r="IHU55" s="15"/>
      <c r="IHV55" s="15"/>
      <c r="IHW55" s="15"/>
      <c r="IHX55" s="15"/>
      <c r="IHY55" s="15"/>
      <c r="IHZ55" s="15"/>
      <c r="IIA55" s="15"/>
      <c r="IIB55" s="15"/>
      <c r="IIC55" s="15"/>
      <c r="IID55" s="15"/>
      <c r="IIE55" s="15"/>
      <c r="IIF55" s="15"/>
      <c r="IIG55" s="15"/>
      <c r="IIH55" s="15"/>
      <c r="III55" s="15"/>
      <c r="IIJ55" s="15"/>
      <c r="IIK55" s="15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15"/>
      <c r="IIX55" s="15"/>
      <c r="IIY55" s="15"/>
      <c r="IIZ55" s="15"/>
      <c r="IJA55" s="15"/>
      <c r="IJB55" s="15"/>
      <c r="IJC55" s="15"/>
      <c r="IJD55" s="15"/>
      <c r="IJE55" s="15"/>
      <c r="IJF55" s="15"/>
      <c r="IJG55" s="15"/>
      <c r="IJH55" s="15"/>
      <c r="IJI55" s="15"/>
      <c r="IJJ55" s="15"/>
      <c r="IJK55" s="15"/>
      <c r="IJL55" s="15"/>
      <c r="IJM55" s="15"/>
      <c r="IJN55" s="15"/>
      <c r="IJO55" s="15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15"/>
      <c r="IKB55" s="15"/>
      <c r="IKC55" s="15"/>
      <c r="IKD55" s="15"/>
      <c r="IKE55" s="15"/>
      <c r="IKF55" s="15"/>
      <c r="IKG55" s="15"/>
      <c r="IKH55" s="15"/>
      <c r="IKI55" s="15"/>
      <c r="IKJ55" s="15"/>
      <c r="IKK55" s="15"/>
      <c r="IKL55" s="15"/>
      <c r="IKM55" s="15"/>
      <c r="IKN55" s="15"/>
      <c r="IKO55" s="15"/>
      <c r="IKP55" s="15"/>
      <c r="IKQ55" s="15"/>
      <c r="IKR55" s="15"/>
      <c r="IKS55" s="15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15"/>
      <c r="ILF55" s="15"/>
      <c r="ILG55" s="15"/>
      <c r="ILH55" s="15"/>
      <c r="ILI55" s="15"/>
      <c r="ILJ55" s="15"/>
      <c r="ILK55" s="15"/>
      <c r="ILL55" s="15"/>
      <c r="ILM55" s="15"/>
      <c r="ILN55" s="15"/>
      <c r="ILO55" s="15"/>
      <c r="ILP55" s="15"/>
      <c r="ILQ55" s="15"/>
      <c r="ILR55" s="15"/>
      <c r="ILS55" s="15"/>
      <c r="ILT55" s="15"/>
      <c r="ILU55" s="15"/>
      <c r="ILV55" s="15"/>
      <c r="ILW55" s="15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15"/>
      <c r="IMJ55" s="15"/>
      <c r="IMK55" s="15"/>
      <c r="IML55" s="15"/>
      <c r="IMM55" s="15"/>
      <c r="IMN55" s="15"/>
      <c r="IMO55" s="15"/>
      <c r="IMP55" s="15"/>
      <c r="IMQ55" s="15"/>
      <c r="IMR55" s="15"/>
      <c r="IMS55" s="15"/>
      <c r="IMT55" s="15"/>
      <c r="IMU55" s="15"/>
      <c r="IMV55" s="15"/>
      <c r="IMW55" s="15"/>
      <c r="IMX55" s="15"/>
      <c r="IMY55" s="15"/>
      <c r="IMZ55" s="15"/>
      <c r="INA55" s="15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15"/>
      <c r="INN55" s="15"/>
      <c r="INO55" s="15"/>
      <c r="INP55" s="15"/>
      <c r="INQ55" s="15"/>
      <c r="INR55" s="15"/>
      <c r="INS55" s="15"/>
      <c r="INT55" s="15"/>
      <c r="INU55" s="15"/>
      <c r="INV55" s="15"/>
      <c r="INW55" s="15"/>
      <c r="INX55" s="15"/>
      <c r="INY55" s="15"/>
      <c r="INZ55" s="15"/>
      <c r="IOA55" s="15"/>
      <c r="IOB55" s="15"/>
      <c r="IOC55" s="15"/>
      <c r="IOD55" s="15"/>
      <c r="IOE55" s="15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15"/>
      <c r="IOR55" s="15"/>
      <c r="IOS55" s="15"/>
      <c r="IOT55" s="15"/>
      <c r="IOU55" s="15"/>
      <c r="IOV55" s="15"/>
      <c r="IOW55" s="15"/>
      <c r="IOX55" s="15"/>
      <c r="IOY55" s="15"/>
      <c r="IOZ55" s="15"/>
      <c r="IPA55" s="15"/>
      <c r="IPB55" s="15"/>
      <c r="IPC55" s="15"/>
      <c r="IPD55" s="15"/>
      <c r="IPE55" s="15"/>
      <c r="IPF55" s="15"/>
      <c r="IPG55" s="15"/>
      <c r="IPH55" s="15"/>
      <c r="IPI55" s="15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15"/>
      <c r="IPV55" s="15"/>
      <c r="IPW55" s="15"/>
      <c r="IPX55" s="15"/>
      <c r="IPY55" s="15"/>
      <c r="IPZ55" s="15"/>
      <c r="IQA55" s="15"/>
      <c r="IQB55" s="15"/>
      <c r="IQC55" s="15"/>
      <c r="IQD55" s="15"/>
      <c r="IQE55" s="15"/>
      <c r="IQF55" s="15"/>
      <c r="IQG55" s="15"/>
      <c r="IQH55" s="15"/>
      <c r="IQI55" s="15"/>
      <c r="IQJ55" s="15"/>
      <c r="IQK55" s="15"/>
      <c r="IQL55" s="15"/>
      <c r="IQM55" s="15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15"/>
      <c r="IQZ55" s="15"/>
      <c r="IRA55" s="15"/>
      <c r="IRB55" s="15"/>
      <c r="IRC55" s="15"/>
      <c r="IRD55" s="15"/>
      <c r="IRE55" s="15"/>
      <c r="IRF55" s="15"/>
      <c r="IRG55" s="15"/>
      <c r="IRH55" s="15"/>
      <c r="IRI55" s="15"/>
      <c r="IRJ55" s="15"/>
      <c r="IRK55" s="15"/>
      <c r="IRL55" s="15"/>
      <c r="IRM55" s="15"/>
      <c r="IRN55" s="15"/>
      <c r="IRO55" s="15"/>
      <c r="IRP55" s="15"/>
      <c r="IRQ55" s="15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15"/>
      <c r="ISD55" s="15"/>
      <c r="ISE55" s="15"/>
      <c r="ISF55" s="15"/>
      <c r="ISG55" s="15"/>
      <c r="ISH55" s="15"/>
      <c r="ISI55" s="15"/>
      <c r="ISJ55" s="15"/>
      <c r="ISK55" s="15"/>
      <c r="ISL55" s="15"/>
      <c r="ISM55" s="15"/>
      <c r="ISN55" s="15"/>
      <c r="ISO55" s="15"/>
      <c r="ISP55" s="15"/>
      <c r="ISQ55" s="15"/>
      <c r="ISR55" s="15"/>
      <c r="ISS55" s="15"/>
      <c r="IST55" s="15"/>
      <c r="ISU55" s="15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15"/>
      <c r="ITH55" s="15"/>
      <c r="ITI55" s="15"/>
      <c r="ITJ55" s="15"/>
      <c r="ITK55" s="15"/>
      <c r="ITL55" s="15"/>
      <c r="ITM55" s="15"/>
      <c r="ITN55" s="15"/>
      <c r="ITO55" s="15"/>
      <c r="ITP55" s="15"/>
      <c r="ITQ55" s="15"/>
      <c r="ITR55" s="15"/>
      <c r="ITS55" s="15"/>
      <c r="ITT55" s="15"/>
      <c r="ITU55" s="15"/>
      <c r="ITV55" s="15"/>
      <c r="ITW55" s="15"/>
      <c r="ITX55" s="15"/>
      <c r="ITY55" s="15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15"/>
      <c r="IUL55" s="15"/>
      <c r="IUM55" s="15"/>
      <c r="IUN55" s="15"/>
      <c r="IUO55" s="15"/>
      <c r="IUP55" s="15"/>
      <c r="IUQ55" s="15"/>
      <c r="IUR55" s="15"/>
      <c r="IUS55" s="15"/>
      <c r="IUT55" s="15"/>
      <c r="IUU55" s="15"/>
      <c r="IUV55" s="15"/>
      <c r="IUW55" s="15"/>
      <c r="IUX55" s="15"/>
      <c r="IUY55" s="15"/>
      <c r="IUZ55" s="15"/>
      <c r="IVA55" s="15"/>
      <c r="IVB55" s="15"/>
      <c r="IVC55" s="15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15"/>
      <c r="IVP55" s="15"/>
      <c r="IVQ55" s="15"/>
      <c r="IVR55" s="15"/>
      <c r="IVS55" s="15"/>
      <c r="IVT55" s="15"/>
      <c r="IVU55" s="15"/>
      <c r="IVV55" s="15"/>
      <c r="IVW55" s="15"/>
      <c r="IVX55" s="15"/>
      <c r="IVY55" s="15"/>
      <c r="IVZ55" s="15"/>
      <c r="IWA55" s="15"/>
      <c r="IWB55" s="15"/>
      <c r="IWC55" s="15"/>
      <c r="IWD55" s="15"/>
      <c r="IWE55" s="15"/>
      <c r="IWF55" s="15"/>
      <c r="IWG55" s="15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15"/>
      <c r="IWT55" s="15"/>
      <c r="IWU55" s="15"/>
      <c r="IWV55" s="15"/>
      <c r="IWW55" s="15"/>
      <c r="IWX55" s="15"/>
      <c r="IWY55" s="15"/>
      <c r="IWZ55" s="15"/>
      <c r="IXA55" s="15"/>
      <c r="IXB55" s="15"/>
      <c r="IXC55" s="15"/>
      <c r="IXD55" s="15"/>
      <c r="IXE55" s="15"/>
      <c r="IXF55" s="15"/>
      <c r="IXG55" s="15"/>
      <c r="IXH55" s="15"/>
      <c r="IXI55" s="15"/>
      <c r="IXJ55" s="15"/>
      <c r="IXK55" s="15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15"/>
      <c r="IXX55" s="15"/>
      <c r="IXY55" s="15"/>
      <c r="IXZ55" s="15"/>
      <c r="IYA55" s="15"/>
      <c r="IYB55" s="15"/>
      <c r="IYC55" s="15"/>
      <c r="IYD55" s="15"/>
      <c r="IYE55" s="15"/>
      <c r="IYF55" s="15"/>
      <c r="IYG55" s="15"/>
      <c r="IYH55" s="15"/>
      <c r="IYI55" s="15"/>
      <c r="IYJ55" s="15"/>
      <c r="IYK55" s="15"/>
      <c r="IYL55" s="15"/>
      <c r="IYM55" s="15"/>
      <c r="IYN55" s="15"/>
      <c r="IYO55" s="15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15"/>
      <c r="IZB55" s="15"/>
      <c r="IZC55" s="15"/>
      <c r="IZD55" s="15"/>
      <c r="IZE55" s="15"/>
      <c r="IZF55" s="15"/>
      <c r="IZG55" s="15"/>
      <c r="IZH55" s="15"/>
      <c r="IZI55" s="15"/>
      <c r="IZJ55" s="15"/>
      <c r="IZK55" s="15"/>
      <c r="IZL55" s="15"/>
      <c r="IZM55" s="15"/>
      <c r="IZN55" s="15"/>
      <c r="IZO55" s="15"/>
      <c r="IZP55" s="15"/>
      <c r="IZQ55" s="15"/>
      <c r="IZR55" s="15"/>
      <c r="IZS55" s="15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15"/>
      <c r="JAF55" s="15"/>
      <c r="JAG55" s="15"/>
      <c r="JAH55" s="15"/>
      <c r="JAI55" s="15"/>
      <c r="JAJ55" s="15"/>
      <c r="JAK55" s="15"/>
      <c r="JAL55" s="15"/>
      <c r="JAM55" s="15"/>
      <c r="JAN55" s="15"/>
      <c r="JAO55" s="15"/>
      <c r="JAP55" s="15"/>
      <c r="JAQ55" s="15"/>
      <c r="JAR55" s="15"/>
      <c r="JAS55" s="15"/>
      <c r="JAT55" s="15"/>
      <c r="JAU55" s="15"/>
      <c r="JAV55" s="15"/>
      <c r="JAW55" s="15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15"/>
      <c r="JBJ55" s="15"/>
      <c r="JBK55" s="15"/>
      <c r="JBL55" s="15"/>
      <c r="JBM55" s="15"/>
      <c r="JBN55" s="15"/>
      <c r="JBO55" s="15"/>
      <c r="JBP55" s="15"/>
      <c r="JBQ55" s="15"/>
      <c r="JBR55" s="15"/>
      <c r="JBS55" s="15"/>
      <c r="JBT55" s="15"/>
      <c r="JBU55" s="15"/>
      <c r="JBV55" s="15"/>
      <c r="JBW55" s="15"/>
      <c r="JBX55" s="15"/>
      <c r="JBY55" s="15"/>
      <c r="JBZ55" s="15"/>
      <c r="JCA55" s="15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15"/>
      <c r="JCN55" s="15"/>
      <c r="JCO55" s="15"/>
      <c r="JCP55" s="15"/>
      <c r="JCQ55" s="15"/>
      <c r="JCR55" s="15"/>
      <c r="JCS55" s="15"/>
      <c r="JCT55" s="15"/>
      <c r="JCU55" s="15"/>
      <c r="JCV55" s="15"/>
      <c r="JCW55" s="15"/>
      <c r="JCX55" s="15"/>
      <c r="JCY55" s="15"/>
      <c r="JCZ55" s="15"/>
      <c r="JDA55" s="15"/>
      <c r="JDB55" s="15"/>
      <c r="JDC55" s="15"/>
      <c r="JDD55" s="15"/>
      <c r="JDE55" s="15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15"/>
      <c r="JDR55" s="15"/>
      <c r="JDS55" s="15"/>
      <c r="JDT55" s="15"/>
      <c r="JDU55" s="15"/>
      <c r="JDV55" s="15"/>
      <c r="JDW55" s="15"/>
      <c r="JDX55" s="15"/>
      <c r="JDY55" s="15"/>
      <c r="JDZ55" s="15"/>
      <c r="JEA55" s="15"/>
      <c r="JEB55" s="15"/>
      <c r="JEC55" s="15"/>
      <c r="JED55" s="15"/>
      <c r="JEE55" s="15"/>
      <c r="JEF55" s="15"/>
      <c r="JEG55" s="15"/>
      <c r="JEH55" s="15"/>
      <c r="JEI55" s="15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15"/>
      <c r="JEV55" s="15"/>
      <c r="JEW55" s="15"/>
      <c r="JEX55" s="15"/>
      <c r="JEY55" s="15"/>
      <c r="JEZ55" s="15"/>
      <c r="JFA55" s="15"/>
      <c r="JFB55" s="15"/>
      <c r="JFC55" s="15"/>
      <c r="JFD55" s="15"/>
      <c r="JFE55" s="15"/>
      <c r="JFF55" s="15"/>
      <c r="JFG55" s="15"/>
      <c r="JFH55" s="15"/>
      <c r="JFI55" s="15"/>
      <c r="JFJ55" s="15"/>
      <c r="JFK55" s="15"/>
      <c r="JFL55" s="15"/>
      <c r="JFM55" s="15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15"/>
      <c r="JFZ55" s="15"/>
      <c r="JGA55" s="15"/>
      <c r="JGB55" s="15"/>
      <c r="JGC55" s="15"/>
      <c r="JGD55" s="15"/>
      <c r="JGE55" s="15"/>
      <c r="JGF55" s="15"/>
      <c r="JGG55" s="15"/>
      <c r="JGH55" s="15"/>
      <c r="JGI55" s="15"/>
      <c r="JGJ55" s="15"/>
      <c r="JGK55" s="15"/>
      <c r="JGL55" s="15"/>
      <c r="JGM55" s="15"/>
      <c r="JGN55" s="15"/>
      <c r="JGO55" s="15"/>
      <c r="JGP55" s="15"/>
      <c r="JGQ55" s="15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15"/>
      <c r="JHD55" s="15"/>
      <c r="JHE55" s="15"/>
      <c r="JHF55" s="15"/>
      <c r="JHG55" s="15"/>
      <c r="JHH55" s="15"/>
      <c r="JHI55" s="15"/>
      <c r="JHJ55" s="15"/>
      <c r="JHK55" s="15"/>
      <c r="JHL55" s="15"/>
      <c r="JHM55" s="15"/>
      <c r="JHN55" s="15"/>
      <c r="JHO55" s="15"/>
      <c r="JHP55" s="15"/>
      <c r="JHQ55" s="15"/>
      <c r="JHR55" s="15"/>
      <c r="JHS55" s="15"/>
      <c r="JHT55" s="15"/>
      <c r="JHU55" s="15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15"/>
      <c r="JIH55" s="15"/>
      <c r="JII55" s="15"/>
      <c r="JIJ55" s="15"/>
      <c r="JIK55" s="15"/>
      <c r="JIL55" s="15"/>
      <c r="JIM55" s="15"/>
      <c r="JIN55" s="15"/>
      <c r="JIO55" s="15"/>
      <c r="JIP55" s="15"/>
      <c r="JIQ55" s="15"/>
      <c r="JIR55" s="15"/>
      <c r="JIS55" s="15"/>
      <c r="JIT55" s="15"/>
      <c r="JIU55" s="15"/>
      <c r="JIV55" s="15"/>
      <c r="JIW55" s="15"/>
      <c r="JIX55" s="15"/>
      <c r="JIY55" s="15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15"/>
      <c r="JJL55" s="15"/>
      <c r="JJM55" s="15"/>
      <c r="JJN55" s="15"/>
      <c r="JJO55" s="15"/>
      <c r="JJP55" s="15"/>
      <c r="JJQ55" s="15"/>
      <c r="JJR55" s="15"/>
      <c r="JJS55" s="15"/>
      <c r="JJT55" s="15"/>
      <c r="JJU55" s="15"/>
      <c r="JJV55" s="15"/>
      <c r="JJW55" s="15"/>
      <c r="JJX55" s="15"/>
      <c r="JJY55" s="15"/>
      <c r="JJZ55" s="15"/>
      <c r="JKA55" s="15"/>
      <c r="JKB55" s="15"/>
      <c r="JKC55" s="15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15"/>
      <c r="JKP55" s="15"/>
      <c r="JKQ55" s="15"/>
      <c r="JKR55" s="15"/>
      <c r="JKS55" s="15"/>
      <c r="JKT55" s="15"/>
      <c r="JKU55" s="15"/>
      <c r="JKV55" s="15"/>
      <c r="JKW55" s="15"/>
      <c r="JKX55" s="15"/>
      <c r="JKY55" s="15"/>
      <c r="JKZ55" s="15"/>
      <c r="JLA55" s="15"/>
      <c r="JLB55" s="15"/>
      <c r="JLC55" s="15"/>
      <c r="JLD55" s="15"/>
      <c r="JLE55" s="15"/>
      <c r="JLF55" s="15"/>
      <c r="JLG55" s="15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15"/>
      <c r="JLT55" s="15"/>
      <c r="JLU55" s="15"/>
      <c r="JLV55" s="15"/>
      <c r="JLW55" s="15"/>
      <c r="JLX55" s="15"/>
      <c r="JLY55" s="15"/>
      <c r="JLZ55" s="15"/>
      <c r="JMA55" s="15"/>
      <c r="JMB55" s="15"/>
      <c r="JMC55" s="15"/>
      <c r="JMD55" s="15"/>
      <c r="JME55" s="15"/>
      <c r="JMF55" s="15"/>
      <c r="JMG55" s="15"/>
      <c r="JMH55" s="15"/>
      <c r="JMI55" s="15"/>
      <c r="JMJ55" s="15"/>
      <c r="JMK55" s="15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15"/>
      <c r="JMX55" s="15"/>
      <c r="JMY55" s="15"/>
      <c r="JMZ55" s="15"/>
      <c r="JNA55" s="15"/>
      <c r="JNB55" s="15"/>
      <c r="JNC55" s="15"/>
      <c r="JND55" s="15"/>
      <c r="JNE55" s="15"/>
      <c r="JNF55" s="15"/>
      <c r="JNG55" s="15"/>
      <c r="JNH55" s="15"/>
      <c r="JNI55" s="15"/>
      <c r="JNJ55" s="15"/>
      <c r="JNK55" s="15"/>
      <c r="JNL55" s="15"/>
      <c r="JNM55" s="15"/>
      <c r="JNN55" s="15"/>
      <c r="JNO55" s="15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15"/>
      <c r="JOB55" s="15"/>
      <c r="JOC55" s="15"/>
      <c r="JOD55" s="15"/>
      <c r="JOE55" s="15"/>
      <c r="JOF55" s="15"/>
      <c r="JOG55" s="15"/>
      <c r="JOH55" s="15"/>
      <c r="JOI55" s="15"/>
      <c r="JOJ55" s="15"/>
      <c r="JOK55" s="15"/>
      <c r="JOL55" s="15"/>
      <c r="JOM55" s="15"/>
      <c r="JON55" s="15"/>
      <c r="JOO55" s="15"/>
      <c r="JOP55" s="15"/>
      <c r="JOQ55" s="15"/>
      <c r="JOR55" s="15"/>
      <c r="JOS55" s="15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15"/>
      <c r="JPF55" s="15"/>
      <c r="JPG55" s="15"/>
      <c r="JPH55" s="15"/>
      <c r="JPI55" s="15"/>
      <c r="JPJ55" s="15"/>
      <c r="JPK55" s="15"/>
      <c r="JPL55" s="15"/>
      <c r="JPM55" s="15"/>
      <c r="JPN55" s="15"/>
      <c r="JPO55" s="15"/>
      <c r="JPP55" s="15"/>
      <c r="JPQ55" s="15"/>
      <c r="JPR55" s="15"/>
      <c r="JPS55" s="15"/>
      <c r="JPT55" s="15"/>
      <c r="JPU55" s="15"/>
      <c r="JPV55" s="15"/>
      <c r="JPW55" s="15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15"/>
      <c r="JQJ55" s="15"/>
      <c r="JQK55" s="15"/>
      <c r="JQL55" s="15"/>
      <c r="JQM55" s="15"/>
      <c r="JQN55" s="15"/>
      <c r="JQO55" s="15"/>
      <c r="JQP55" s="15"/>
      <c r="JQQ55" s="15"/>
      <c r="JQR55" s="15"/>
      <c r="JQS55" s="15"/>
      <c r="JQT55" s="15"/>
      <c r="JQU55" s="15"/>
      <c r="JQV55" s="15"/>
      <c r="JQW55" s="15"/>
      <c r="JQX55" s="15"/>
      <c r="JQY55" s="15"/>
      <c r="JQZ55" s="15"/>
      <c r="JRA55" s="15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15"/>
      <c r="JRN55" s="15"/>
      <c r="JRO55" s="15"/>
      <c r="JRP55" s="15"/>
      <c r="JRQ55" s="15"/>
      <c r="JRR55" s="15"/>
      <c r="JRS55" s="15"/>
      <c r="JRT55" s="15"/>
      <c r="JRU55" s="15"/>
      <c r="JRV55" s="15"/>
      <c r="JRW55" s="15"/>
      <c r="JRX55" s="15"/>
      <c r="JRY55" s="15"/>
      <c r="JRZ55" s="15"/>
      <c r="JSA55" s="15"/>
      <c r="JSB55" s="15"/>
      <c r="JSC55" s="15"/>
      <c r="JSD55" s="15"/>
      <c r="JSE55" s="15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15"/>
      <c r="JSR55" s="15"/>
      <c r="JSS55" s="15"/>
      <c r="JST55" s="15"/>
      <c r="JSU55" s="15"/>
      <c r="JSV55" s="15"/>
      <c r="JSW55" s="15"/>
      <c r="JSX55" s="15"/>
      <c r="JSY55" s="15"/>
      <c r="JSZ55" s="15"/>
      <c r="JTA55" s="15"/>
      <c r="JTB55" s="15"/>
      <c r="JTC55" s="15"/>
      <c r="JTD55" s="15"/>
      <c r="JTE55" s="15"/>
      <c r="JTF55" s="15"/>
      <c r="JTG55" s="15"/>
      <c r="JTH55" s="15"/>
      <c r="JTI55" s="15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15"/>
      <c r="JTV55" s="15"/>
      <c r="JTW55" s="15"/>
      <c r="JTX55" s="15"/>
      <c r="JTY55" s="15"/>
      <c r="JTZ55" s="15"/>
      <c r="JUA55" s="15"/>
      <c r="JUB55" s="15"/>
      <c r="JUC55" s="15"/>
      <c r="JUD55" s="15"/>
      <c r="JUE55" s="15"/>
      <c r="JUF55" s="15"/>
      <c r="JUG55" s="15"/>
      <c r="JUH55" s="15"/>
      <c r="JUI55" s="15"/>
      <c r="JUJ55" s="15"/>
      <c r="JUK55" s="15"/>
      <c r="JUL55" s="15"/>
      <c r="JUM55" s="15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15"/>
      <c r="JUZ55" s="15"/>
      <c r="JVA55" s="15"/>
      <c r="JVB55" s="15"/>
      <c r="JVC55" s="15"/>
      <c r="JVD55" s="15"/>
      <c r="JVE55" s="15"/>
      <c r="JVF55" s="15"/>
      <c r="JVG55" s="15"/>
      <c r="JVH55" s="15"/>
      <c r="JVI55" s="15"/>
      <c r="JVJ55" s="15"/>
      <c r="JVK55" s="15"/>
      <c r="JVL55" s="15"/>
      <c r="JVM55" s="15"/>
      <c r="JVN55" s="15"/>
      <c r="JVO55" s="15"/>
      <c r="JVP55" s="15"/>
      <c r="JVQ55" s="15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15"/>
      <c r="JWD55" s="15"/>
      <c r="JWE55" s="15"/>
      <c r="JWF55" s="15"/>
      <c r="JWG55" s="15"/>
      <c r="JWH55" s="15"/>
      <c r="JWI55" s="15"/>
      <c r="JWJ55" s="15"/>
      <c r="JWK55" s="15"/>
      <c r="JWL55" s="15"/>
      <c r="JWM55" s="15"/>
      <c r="JWN55" s="15"/>
      <c r="JWO55" s="15"/>
      <c r="JWP55" s="15"/>
      <c r="JWQ55" s="15"/>
      <c r="JWR55" s="15"/>
      <c r="JWS55" s="15"/>
      <c r="JWT55" s="15"/>
      <c r="JWU55" s="15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15"/>
      <c r="JXH55" s="15"/>
      <c r="JXI55" s="15"/>
      <c r="JXJ55" s="15"/>
      <c r="JXK55" s="15"/>
      <c r="JXL55" s="15"/>
      <c r="JXM55" s="15"/>
      <c r="JXN55" s="15"/>
      <c r="JXO55" s="15"/>
      <c r="JXP55" s="15"/>
      <c r="JXQ55" s="15"/>
      <c r="JXR55" s="15"/>
      <c r="JXS55" s="15"/>
      <c r="JXT55" s="15"/>
      <c r="JXU55" s="15"/>
      <c r="JXV55" s="15"/>
      <c r="JXW55" s="15"/>
      <c r="JXX55" s="15"/>
      <c r="JXY55" s="15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15"/>
      <c r="JYL55" s="15"/>
      <c r="JYM55" s="15"/>
      <c r="JYN55" s="15"/>
      <c r="JYO55" s="15"/>
      <c r="JYP55" s="15"/>
      <c r="JYQ55" s="15"/>
      <c r="JYR55" s="15"/>
      <c r="JYS55" s="15"/>
      <c r="JYT55" s="15"/>
      <c r="JYU55" s="15"/>
      <c r="JYV55" s="15"/>
      <c r="JYW55" s="15"/>
      <c r="JYX55" s="15"/>
      <c r="JYY55" s="15"/>
      <c r="JYZ55" s="15"/>
      <c r="JZA55" s="15"/>
      <c r="JZB55" s="15"/>
      <c r="JZC55" s="15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15"/>
      <c r="JZP55" s="15"/>
      <c r="JZQ55" s="15"/>
      <c r="JZR55" s="15"/>
      <c r="JZS55" s="15"/>
      <c r="JZT55" s="15"/>
      <c r="JZU55" s="15"/>
      <c r="JZV55" s="15"/>
      <c r="JZW55" s="15"/>
      <c r="JZX55" s="15"/>
      <c r="JZY55" s="15"/>
      <c r="JZZ55" s="15"/>
      <c r="KAA55" s="15"/>
      <c r="KAB55" s="15"/>
      <c r="KAC55" s="15"/>
      <c r="KAD55" s="15"/>
      <c r="KAE55" s="15"/>
      <c r="KAF55" s="15"/>
      <c r="KAG55" s="15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15"/>
      <c r="KAT55" s="15"/>
      <c r="KAU55" s="15"/>
      <c r="KAV55" s="15"/>
      <c r="KAW55" s="15"/>
      <c r="KAX55" s="15"/>
      <c r="KAY55" s="15"/>
      <c r="KAZ55" s="15"/>
      <c r="KBA55" s="15"/>
      <c r="KBB55" s="15"/>
      <c r="KBC55" s="15"/>
      <c r="KBD55" s="15"/>
      <c r="KBE55" s="15"/>
      <c r="KBF55" s="15"/>
      <c r="KBG55" s="15"/>
      <c r="KBH55" s="15"/>
      <c r="KBI55" s="15"/>
      <c r="KBJ55" s="15"/>
      <c r="KBK55" s="15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15"/>
      <c r="KBX55" s="15"/>
      <c r="KBY55" s="15"/>
      <c r="KBZ55" s="15"/>
      <c r="KCA55" s="15"/>
      <c r="KCB55" s="15"/>
      <c r="KCC55" s="15"/>
      <c r="KCD55" s="15"/>
      <c r="KCE55" s="15"/>
      <c r="KCF55" s="15"/>
      <c r="KCG55" s="15"/>
      <c r="KCH55" s="15"/>
      <c r="KCI55" s="15"/>
      <c r="KCJ55" s="15"/>
      <c r="KCK55" s="15"/>
      <c r="KCL55" s="15"/>
      <c r="KCM55" s="15"/>
      <c r="KCN55" s="15"/>
      <c r="KCO55" s="15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15"/>
      <c r="KDB55" s="15"/>
      <c r="KDC55" s="15"/>
      <c r="KDD55" s="15"/>
      <c r="KDE55" s="15"/>
      <c r="KDF55" s="15"/>
      <c r="KDG55" s="15"/>
      <c r="KDH55" s="15"/>
      <c r="KDI55" s="15"/>
      <c r="KDJ55" s="15"/>
      <c r="KDK55" s="15"/>
      <c r="KDL55" s="15"/>
      <c r="KDM55" s="15"/>
      <c r="KDN55" s="15"/>
      <c r="KDO55" s="15"/>
      <c r="KDP55" s="15"/>
      <c r="KDQ55" s="15"/>
      <c r="KDR55" s="15"/>
      <c r="KDS55" s="15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15"/>
      <c r="KEF55" s="15"/>
      <c r="KEG55" s="15"/>
      <c r="KEH55" s="15"/>
      <c r="KEI55" s="15"/>
      <c r="KEJ55" s="15"/>
      <c r="KEK55" s="15"/>
      <c r="KEL55" s="15"/>
      <c r="KEM55" s="15"/>
      <c r="KEN55" s="15"/>
      <c r="KEO55" s="15"/>
      <c r="KEP55" s="15"/>
      <c r="KEQ55" s="15"/>
      <c r="KER55" s="15"/>
      <c r="KES55" s="15"/>
      <c r="KET55" s="15"/>
      <c r="KEU55" s="15"/>
      <c r="KEV55" s="15"/>
      <c r="KEW55" s="15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15"/>
      <c r="KFJ55" s="15"/>
      <c r="KFK55" s="15"/>
      <c r="KFL55" s="15"/>
      <c r="KFM55" s="15"/>
      <c r="KFN55" s="15"/>
      <c r="KFO55" s="15"/>
      <c r="KFP55" s="15"/>
      <c r="KFQ55" s="15"/>
      <c r="KFR55" s="15"/>
      <c r="KFS55" s="15"/>
      <c r="KFT55" s="15"/>
      <c r="KFU55" s="15"/>
      <c r="KFV55" s="15"/>
      <c r="KFW55" s="15"/>
      <c r="KFX55" s="15"/>
      <c r="KFY55" s="15"/>
      <c r="KFZ55" s="15"/>
      <c r="KGA55" s="15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15"/>
      <c r="KGN55" s="15"/>
      <c r="KGO55" s="15"/>
      <c r="KGP55" s="15"/>
      <c r="KGQ55" s="15"/>
      <c r="KGR55" s="15"/>
      <c r="KGS55" s="15"/>
      <c r="KGT55" s="15"/>
      <c r="KGU55" s="15"/>
      <c r="KGV55" s="15"/>
      <c r="KGW55" s="15"/>
      <c r="KGX55" s="15"/>
      <c r="KGY55" s="15"/>
      <c r="KGZ55" s="15"/>
      <c r="KHA55" s="15"/>
      <c r="KHB55" s="15"/>
      <c r="KHC55" s="15"/>
      <c r="KHD55" s="15"/>
      <c r="KHE55" s="15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15"/>
      <c r="KHR55" s="15"/>
      <c r="KHS55" s="15"/>
      <c r="KHT55" s="15"/>
      <c r="KHU55" s="15"/>
      <c r="KHV55" s="15"/>
      <c r="KHW55" s="15"/>
      <c r="KHX55" s="15"/>
      <c r="KHY55" s="15"/>
      <c r="KHZ55" s="15"/>
      <c r="KIA55" s="15"/>
      <c r="KIB55" s="15"/>
      <c r="KIC55" s="15"/>
      <c r="KID55" s="15"/>
      <c r="KIE55" s="15"/>
      <c r="KIF55" s="15"/>
      <c r="KIG55" s="15"/>
      <c r="KIH55" s="15"/>
      <c r="KII55" s="15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15"/>
      <c r="KIV55" s="15"/>
      <c r="KIW55" s="15"/>
      <c r="KIX55" s="15"/>
      <c r="KIY55" s="15"/>
      <c r="KIZ55" s="15"/>
      <c r="KJA55" s="15"/>
      <c r="KJB55" s="15"/>
      <c r="KJC55" s="15"/>
      <c r="KJD55" s="15"/>
      <c r="KJE55" s="15"/>
      <c r="KJF55" s="15"/>
      <c r="KJG55" s="15"/>
      <c r="KJH55" s="15"/>
      <c r="KJI55" s="15"/>
      <c r="KJJ55" s="15"/>
      <c r="KJK55" s="15"/>
      <c r="KJL55" s="15"/>
      <c r="KJM55" s="15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15"/>
      <c r="KJZ55" s="15"/>
      <c r="KKA55" s="15"/>
      <c r="KKB55" s="15"/>
      <c r="KKC55" s="15"/>
      <c r="KKD55" s="15"/>
      <c r="KKE55" s="15"/>
      <c r="KKF55" s="15"/>
      <c r="KKG55" s="15"/>
      <c r="KKH55" s="15"/>
      <c r="KKI55" s="15"/>
      <c r="KKJ55" s="15"/>
      <c r="KKK55" s="15"/>
      <c r="KKL55" s="15"/>
      <c r="KKM55" s="15"/>
      <c r="KKN55" s="15"/>
      <c r="KKO55" s="15"/>
      <c r="KKP55" s="15"/>
      <c r="KKQ55" s="15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15"/>
      <c r="KLD55" s="15"/>
      <c r="KLE55" s="15"/>
      <c r="KLF55" s="15"/>
      <c r="KLG55" s="15"/>
      <c r="KLH55" s="15"/>
      <c r="KLI55" s="15"/>
      <c r="KLJ55" s="15"/>
      <c r="KLK55" s="15"/>
      <c r="KLL55" s="15"/>
      <c r="KLM55" s="15"/>
      <c r="KLN55" s="15"/>
      <c r="KLO55" s="15"/>
      <c r="KLP55" s="15"/>
      <c r="KLQ55" s="15"/>
      <c r="KLR55" s="15"/>
      <c r="KLS55" s="15"/>
      <c r="KLT55" s="15"/>
      <c r="KLU55" s="15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15"/>
      <c r="KMH55" s="15"/>
      <c r="KMI55" s="15"/>
      <c r="KMJ55" s="15"/>
      <c r="KMK55" s="15"/>
      <c r="KML55" s="15"/>
      <c r="KMM55" s="15"/>
      <c r="KMN55" s="15"/>
      <c r="KMO55" s="15"/>
      <c r="KMP55" s="15"/>
      <c r="KMQ55" s="15"/>
      <c r="KMR55" s="15"/>
      <c r="KMS55" s="15"/>
      <c r="KMT55" s="15"/>
      <c r="KMU55" s="15"/>
      <c r="KMV55" s="15"/>
      <c r="KMW55" s="15"/>
      <c r="KMX55" s="15"/>
      <c r="KMY55" s="15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15"/>
      <c r="KNL55" s="15"/>
      <c r="KNM55" s="15"/>
      <c r="KNN55" s="15"/>
      <c r="KNO55" s="15"/>
      <c r="KNP55" s="15"/>
      <c r="KNQ55" s="15"/>
      <c r="KNR55" s="15"/>
      <c r="KNS55" s="15"/>
      <c r="KNT55" s="15"/>
      <c r="KNU55" s="15"/>
      <c r="KNV55" s="15"/>
      <c r="KNW55" s="15"/>
      <c r="KNX55" s="15"/>
      <c r="KNY55" s="15"/>
      <c r="KNZ55" s="15"/>
      <c r="KOA55" s="15"/>
      <c r="KOB55" s="15"/>
      <c r="KOC55" s="15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15"/>
      <c r="KOP55" s="15"/>
      <c r="KOQ55" s="15"/>
      <c r="KOR55" s="15"/>
      <c r="KOS55" s="15"/>
      <c r="KOT55" s="15"/>
      <c r="KOU55" s="15"/>
      <c r="KOV55" s="15"/>
      <c r="KOW55" s="15"/>
      <c r="KOX55" s="15"/>
      <c r="KOY55" s="15"/>
      <c r="KOZ55" s="15"/>
      <c r="KPA55" s="15"/>
      <c r="KPB55" s="15"/>
      <c r="KPC55" s="15"/>
      <c r="KPD55" s="15"/>
      <c r="KPE55" s="15"/>
      <c r="KPF55" s="15"/>
      <c r="KPG55" s="15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15"/>
      <c r="KPT55" s="15"/>
      <c r="KPU55" s="15"/>
      <c r="KPV55" s="15"/>
      <c r="KPW55" s="15"/>
      <c r="KPX55" s="15"/>
      <c r="KPY55" s="15"/>
      <c r="KPZ55" s="15"/>
      <c r="KQA55" s="15"/>
      <c r="KQB55" s="15"/>
      <c r="KQC55" s="15"/>
      <c r="KQD55" s="15"/>
      <c r="KQE55" s="15"/>
      <c r="KQF55" s="15"/>
      <c r="KQG55" s="15"/>
      <c r="KQH55" s="15"/>
      <c r="KQI55" s="15"/>
      <c r="KQJ55" s="15"/>
      <c r="KQK55" s="15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15"/>
      <c r="KQX55" s="15"/>
      <c r="KQY55" s="15"/>
      <c r="KQZ55" s="15"/>
      <c r="KRA55" s="15"/>
      <c r="KRB55" s="15"/>
      <c r="KRC55" s="15"/>
      <c r="KRD55" s="15"/>
      <c r="KRE55" s="15"/>
      <c r="KRF55" s="15"/>
      <c r="KRG55" s="15"/>
      <c r="KRH55" s="15"/>
      <c r="KRI55" s="15"/>
      <c r="KRJ55" s="15"/>
      <c r="KRK55" s="15"/>
      <c r="KRL55" s="15"/>
      <c r="KRM55" s="15"/>
      <c r="KRN55" s="15"/>
      <c r="KRO55" s="15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15"/>
      <c r="KSB55" s="15"/>
      <c r="KSC55" s="15"/>
      <c r="KSD55" s="15"/>
      <c r="KSE55" s="15"/>
      <c r="KSF55" s="15"/>
      <c r="KSG55" s="15"/>
      <c r="KSH55" s="15"/>
      <c r="KSI55" s="15"/>
      <c r="KSJ55" s="15"/>
      <c r="KSK55" s="15"/>
      <c r="KSL55" s="15"/>
      <c r="KSM55" s="15"/>
      <c r="KSN55" s="15"/>
      <c r="KSO55" s="15"/>
      <c r="KSP55" s="15"/>
      <c r="KSQ55" s="15"/>
      <c r="KSR55" s="15"/>
      <c r="KSS55" s="15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15"/>
      <c r="KTF55" s="15"/>
      <c r="KTG55" s="15"/>
      <c r="KTH55" s="15"/>
      <c r="KTI55" s="15"/>
      <c r="KTJ55" s="15"/>
      <c r="KTK55" s="15"/>
      <c r="KTL55" s="15"/>
      <c r="KTM55" s="15"/>
      <c r="KTN55" s="15"/>
      <c r="KTO55" s="15"/>
      <c r="KTP55" s="15"/>
      <c r="KTQ55" s="15"/>
      <c r="KTR55" s="15"/>
      <c r="KTS55" s="15"/>
      <c r="KTT55" s="15"/>
      <c r="KTU55" s="15"/>
      <c r="KTV55" s="15"/>
      <c r="KTW55" s="15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15"/>
      <c r="KUJ55" s="15"/>
      <c r="KUK55" s="15"/>
      <c r="KUL55" s="15"/>
      <c r="KUM55" s="15"/>
      <c r="KUN55" s="15"/>
      <c r="KUO55" s="15"/>
      <c r="KUP55" s="15"/>
      <c r="KUQ55" s="15"/>
      <c r="KUR55" s="15"/>
      <c r="KUS55" s="15"/>
      <c r="KUT55" s="15"/>
      <c r="KUU55" s="15"/>
      <c r="KUV55" s="15"/>
      <c r="KUW55" s="15"/>
      <c r="KUX55" s="15"/>
      <c r="KUY55" s="15"/>
      <c r="KUZ55" s="15"/>
      <c r="KVA55" s="15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15"/>
      <c r="KVN55" s="15"/>
      <c r="KVO55" s="15"/>
      <c r="KVP55" s="15"/>
      <c r="KVQ55" s="15"/>
      <c r="KVR55" s="15"/>
      <c r="KVS55" s="15"/>
      <c r="KVT55" s="15"/>
      <c r="KVU55" s="15"/>
      <c r="KVV55" s="15"/>
      <c r="KVW55" s="15"/>
      <c r="KVX55" s="15"/>
      <c r="KVY55" s="15"/>
      <c r="KVZ55" s="15"/>
      <c r="KWA55" s="15"/>
      <c r="KWB55" s="15"/>
      <c r="KWC55" s="15"/>
      <c r="KWD55" s="15"/>
      <c r="KWE55" s="15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15"/>
      <c r="KWR55" s="15"/>
      <c r="KWS55" s="15"/>
      <c r="KWT55" s="15"/>
      <c r="KWU55" s="15"/>
      <c r="KWV55" s="15"/>
      <c r="KWW55" s="15"/>
      <c r="KWX55" s="15"/>
      <c r="KWY55" s="15"/>
      <c r="KWZ55" s="15"/>
      <c r="KXA55" s="15"/>
      <c r="KXB55" s="15"/>
      <c r="KXC55" s="15"/>
      <c r="KXD55" s="15"/>
      <c r="KXE55" s="15"/>
      <c r="KXF55" s="15"/>
      <c r="KXG55" s="15"/>
      <c r="KXH55" s="15"/>
      <c r="KXI55" s="15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15"/>
      <c r="KXV55" s="15"/>
      <c r="KXW55" s="15"/>
      <c r="KXX55" s="15"/>
      <c r="KXY55" s="15"/>
      <c r="KXZ55" s="15"/>
      <c r="KYA55" s="15"/>
      <c r="KYB55" s="15"/>
      <c r="KYC55" s="15"/>
      <c r="KYD55" s="15"/>
      <c r="KYE55" s="15"/>
      <c r="KYF55" s="15"/>
      <c r="KYG55" s="15"/>
      <c r="KYH55" s="15"/>
      <c r="KYI55" s="15"/>
      <c r="KYJ55" s="15"/>
      <c r="KYK55" s="15"/>
      <c r="KYL55" s="15"/>
      <c r="KYM55" s="15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15"/>
      <c r="KYZ55" s="15"/>
      <c r="KZA55" s="15"/>
      <c r="KZB55" s="15"/>
      <c r="KZC55" s="15"/>
      <c r="KZD55" s="15"/>
      <c r="KZE55" s="15"/>
      <c r="KZF55" s="15"/>
      <c r="KZG55" s="15"/>
      <c r="KZH55" s="15"/>
      <c r="KZI55" s="15"/>
      <c r="KZJ55" s="15"/>
      <c r="KZK55" s="15"/>
      <c r="KZL55" s="15"/>
      <c r="KZM55" s="15"/>
      <c r="KZN55" s="15"/>
      <c r="KZO55" s="15"/>
      <c r="KZP55" s="15"/>
      <c r="KZQ55" s="15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15"/>
      <c r="LAD55" s="15"/>
      <c r="LAE55" s="15"/>
      <c r="LAF55" s="15"/>
      <c r="LAG55" s="15"/>
      <c r="LAH55" s="15"/>
      <c r="LAI55" s="15"/>
      <c r="LAJ55" s="15"/>
      <c r="LAK55" s="15"/>
      <c r="LAL55" s="15"/>
      <c r="LAM55" s="15"/>
      <c r="LAN55" s="15"/>
      <c r="LAO55" s="15"/>
      <c r="LAP55" s="15"/>
      <c r="LAQ55" s="15"/>
      <c r="LAR55" s="15"/>
      <c r="LAS55" s="15"/>
      <c r="LAT55" s="15"/>
      <c r="LAU55" s="15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15"/>
      <c r="LBH55" s="15"/>
      <c r="LBI55" s="15"/>
      <c r="LBJ55" s="15"/>
      <c r="LBK55" s="15"/>
      <c r="LBL55" s="15"/>
      <c r="LBM55" s="15"/>
      <c r="LBN55" s="15"/>
      <c r="LBO55" s="15"/>
      <c r="LBP55" s="15"/>
      <c r="LBQ55" s="15"/>
      <c r="LBR55" s="15"/>
      <c r="LBS55" s="15"/>
      <c r="LBT55" s="15"/>
      <c r="LBU55" s="15"/>
      <c r="LBV55" s="15"/>
      <c r="LBW55" s="15"/>
      <c r="LBX55" s="15"/>
      <c r="LBY55" s="15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15"/>
      <c r="LCL55" s="15"/>
      <c r="LCM55" s="15"/>
      <c r="LCN55" s="15"/>
      <c r="LCO55" s="15"/>
      <c r="LCP55" s="15"/>
      <c r="LCQ55" s="15"/>
      <c r="LCR55" s="15"/>
      <c r="LCS55" s="15"/>
      <c r="LCT55" s="15"/>
      <c r="LCU55" s="15"/>
      <c r="LCV55" s="15"/>
      <c r="LCW55" s="15"/>
      <c r="LCX55" s="15"/>
      <c r="LCY55" s="15"/>
      <c r="LCZ55" s="15"/>
      <c r="LDA55" s="15"/>
      <c r="LDB55" s="15"/>
      <c r="LDC55" s="15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15"/>
      <c r="LDP55" s="15"/>
      <c r="LDQ55" s="15"/>
      <c r="LDR55" s="15"/>
      <c r="LDS55" s="15"/>
      <c r="LDT55" s="15"/>
      <c r="LDU55" s="15"/>
      <c r="LDV55" s="15"/>
      <c r="LDW55" s="15"/>
      <c r="LDX55" s="15"/>
      <c r="LDY55" s="15"/>
      <c r="LDZ55" s="15"/>
      <c r="LEA55" s="15"/>
      <c r="LEB55" s="15"/>
      <c r="LEC55" s="15"/>
      <c r="LED55" s="15"/>
      <c r="LEE55" s="15"/>
      <c r="LEF55" s="15"/>
      <c r="LEG55" s="15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15"/>
      <c r="LET55" s="15"/>
      <c r="LEU55" s="15"/>
      <c r="LEV55" s="15"/>
      <c r="LEW55" s="15"/>
      <c r="LEX55" s="15"/>
      <c r="LEY55" s="15"/>
      <c r="LEZ55" s="15"/>
      <c r="LFA55" s="15"/>
      <c r="LFB55" s="15"/>
      <c r="LFC55" s="15"/>
      <c r="LFD55" s="15"/>
      <c r="LFE55" s="15"/>
      <c r="LFF55" s="15"/>
      <c r="LFG55" s="15"/>
      <c r="LFH55" s="15"/>
      <c r="LFI55" s="15"/>
      <c r="LFJ55" s="15"/>
      <c r="LFK55" s="15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15"/>
      <c r="LFX55" s="15"/>
      <c r="LFY55" s="15"/>
      <c r="LFZ55" s="15"/>
      <c r="LGA55" s="15"/>
      <c r="LGB55" s="15"/>
      <c r="LGC55" s="15"/>
      <c r="LGD55" s="15"/>
      <c r="LGE55" s="15"/>
      <c r="LGF55" s="15"/>
      <c r="LGG55" s="15"/>
      <c r="LGH55" s="15"/>
      <c r="LGI55" s="15"/>
      <c r="LGJ55" s="15"/>
      <c r="LGK55" s="15"/>
      <c r="LGL55" s="15"/>
      <c r="LGM55" s="15"/>
      <c r="LGN55" s="15"/>
      <c r="LGO55" s="15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15"/>
      <c r="LHB55" s="15"/>
      <c r="LHC55" s="15"/>
      <c r="LHD55" s="15"/>
      <c r="LHE55" s="15"/>
      <c r="LHF55" s="15"/>
      <c r="LHG55" s="15"/>
      <c r="LHH55" s="15"/>
      <c r="LHI55" s="15"/>
      <c r="LHJ55" s="15"/>
      <c r="LHK55" s="15"/>
      <c r="LHL55" s="15"/>
      <c r="LHM55" s="15"/>
      <c r="LHN55" s="15"/>
      <c r="LHO55" s="15"/>
      <c r="LHP55" s="15"/>
      <c r="LHQ55" s="15"/>
      <c r="LHR55" s="15"/>
      <c r="LHS55" s="15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15"/>
      <c r="LIF55" s="15"/>
      <c r="LIG55" s="15"/>
      <c r="LIH55" s="15"/>
      <c r="LII55" s="15"/>
      <c r="LIJ55" s="15"/>
      <c r="LIK55" s="15"/>
      <c r="LIL55" s="15"/>
      <c r="LIM55" s="15"/>
      <c r="LIN55" s="15"/>
      <c r="LIO55" s="15"/>
      <c r="LIP55" s="15"/>
      <c r="LIQ55" s="15"/>
      <c r="LIR55" s="15"/>
      <c r="LIS55" s="15"/>
      <c r="LIT55" s="15"/>
      <c r="LIU55" s="15"/>
      <c r="LIV55" s="15"/>
      <c r="LIW55" s="15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15"/>
      <c r="LJJ55" s="15"/>
      <c r="LJK55" s="15"/>
      <c r="LJL55" s="15"/>
      <c r="LJM55" s="15"/>
      <c r="LJN55" s="15"/>
      <c r="LJO55" s="15"/>
      <c r="LJP55" s="15"/>
      <c r="LJQ55" s="15"/>
      <c r="LJR55" s="15"/>
      <c r="LJS55" s="15"/>
      <c r="LJT55" s="15"/>
      <c r="LJU55" s="15"/>
      <c r="LJV55" s="15"/>
      <c r="LJW55" s="15"/>
      <c r="LJX55" s="15"/>
      <c r="LJY55" s="15"/>
      <c r="LJZ55" s="15"/>
      <c r="LKA55" s="15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15"/>
      <c r="LKN55" s="15"/>
      <c r="LKO55" s="15"/>
      <c r="LKP55" s="15"/>
      <c r="LKQ55" s="15"/>
      <c r="LKR55" s="15"/>
      <c r="LKS55" s="15"/>
      <c r="LKT55" s="15"/>
      <c r="LKU55" s="15"/>
      <c r="LKV55" s="15"/>
      <c r="LKW55" s="15"/>
      <c r="LKX55" s="15"/>
      <c r="LKY55" s="15"/>
      <c r="LKZ55" s="15"/>
      <c r="LLA55" s="15"/>
      <c r="LLB55" s="15"/>
      <c r="LLC55" s="15"/>
      <c r="LLD55" s="15"/>
      <c r="LLE55" s="15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15"/>
      <c r="LLR55" s="15"/>
      <c r="LLS55" s="15"/>
      <c r="LLT55" s="15"/>
      <c r="LLU55" s="15"/>
      <c r="LLV55" s="15"/>
      <c r="LLW55" s="15"/>
      <c r="LLX55" s="15"/>
      <c r="LLY55" s="15"/>
      <c r="LLZ55" s="15"/>
      <c r="LMA55" s="15"/>
      <c r="LMB55" s="15"/>
      <c r="LMC55" s="15"/>
      <c r="LMD55" s="15"/>
      <c r="LME55" s="15"/>
      <c r="LMF55" s="15"/>
      <c r="LMG55" s="15"/>
      <c r="LMH55" s="15"/>
      <c r="LMI55" s="15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15"/>
      <c r="LMV55" s="15"/>
      <c r="LMW55" s="15"/>
      <c r="LMX55" s="15"/>
      <c r="LMY55" s="15"/>
      <c r="LMZ55" s="15"/>
      <c r="LNA55" s="15"/>
      <c r="LNB55" s="15"/>
      <c r="LNC55" s="15"/>
      <c r="LND55" s="15"/>
      <c r="LNE55" s="15"/>
      <c r="LNF55" s="15"/>
      <c r="LNG55" s="15"/>
      <c r="LNH55" s="15"/>
      <c r="LNI55" s="15"/>
      <c r="LNJ55" s="15"/>
      <c r="LNK55" s="15"/>
      <c r="LNL55" s="15"/>
      <c r="LNM55" s="15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15"/>
      <c r="LNZ55" s="15"/>
      <c r="LOA55" s="15"/>
      <c r="LOB55" s="15"/>
      <c r="LOC55" s="15"/>
      <c r="LOD55" s="15"/>
      <c r="LOE55" s="15"/>
      <c r="LOF55" s="15"/>
      <c r="LOG55" s="15"/>
      <c r="LOH55" s="15"/>
      <c r="LOI55" s="15"/>
      <c r="LOJ55" s="15"/>
      <c r="LOK55" s="15"/>
      <c r="LOL55" s="15"/>
      <c r="LOM55" s="15"/>
      <c r="LON55" s="15"/>
      <c r="LOO55" s="15"/>
      <c r="LOP55" s="15"/>
      <c r="LOQ55" s="15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15"/>
      <c r="LPD55" s="15"/>
      <c r="LPE55" s="15"/>
      <c r="LPF55" s="15"/>
      <c r="LPG55" s="15"/>
      <c r="LPH55" s="15"/>
      <c r="LPI55" s="15"/>
      <c r="LPJ55" s="15"/>
      <c r="LPK55" s="15"/>
      <c r="LPL55" s="15"/>
      <c r="LPM55" s="15"/>
      <c r="LPN55" s="15"/>
      <c r="LPO55" s="15"/>
      <c r="LPP55" s="15"/>
      <c r="LPQ55" s="15"/>
      <c r="LPR55" s="15"/>
      <c r="LPS55" s="15"/>
      <c r="LPT55" s="15"/>
      <c r="LPU55" s="15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15"/>
      <c r="LQH55" s="15"/>
      <c r="LQI55" s="15"/>
      <c r="LQJ55" s="15"/>
      <c r="LQK55" s="15"/>
      <c r="LQL55" s="15"/>
      <c r="LQM55" s="15"/>
      <c r="LQN55" s="15"/>
      <c r="LQO55" s="15"/>
      <c r="LQP55" s="15"/>
      <c r="LQQ55" s="15"/>
      <c r="LQR55" s="15"/>
      <c r="LQS55" s="15"/>
      <c r="LQT55" s="15"/>
      <c r="LQU55" s="15"/>
      <c r="LQV55" s="15"/>
      <c r="LQW55" s="15"/>
      <c r="LQX55" s="15"/>
      <c r="LQY55" s="15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15"/>
      <c r="LRL55" s="15"/>
      <c r="LRM55" s="15"/>
      <c r="LRN55" s="15"/>
      <c r="LRO55" s="15"/>
      <c r="LRP55" s="15"/>
      <c r="LRQ55" s="15"/>
      <c r="LRR55" s="15"/>
      <c r="LRS55" s="15"/>
      <c r="LRT55" s="15"/>
      <c r="LRU55" s="15"/>
      <c r="LRV55" s="15"/>
      <c r="LRW55" s="15"/>
      <c r="LRX55" s="15"/>
      <c r="LRY55" s="15"/>
      <c r="LRZ55" s="15"/>
      <c r="LSA55" s="15"/>
      <c r="LSB55" s="15"/>
      <c r="LSC55" s="15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15"/>
      <c r="LSP55" s="15"/>
      <c r="LSQ55" s="15"/>
      <c r="LSR55" s="15"/>
      <c r="LSS55" s="15"/>
      <c r="LST55" s="15"/>
      <c r="LSU55" s="15"/>
      <c r="LSV55" s="15"/>
      <c r="LSW55" s="15"/>
      <c r="LSX55" s="15"/>
      <c r="LSY55" s="15"/>
      <c r="LSZ55" s="15"/>
      <c r="LTA55" s="15"/>
      <c r="LTB55" s="15"/>
      <c r="LTC55" s="15"/>
      <c r="LTD55" s="15"/>
      <c r="LTE55" s="15"/>
      <c r="LTF55" s="15"/>
      <c r="LTG55" s="15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15"/>
      <c r="LTT55" s="15"/>
      <c r="LTU55" s="15"/>
      <c r="LTV55" s="15"/>
      <c r="LTW55" s="15"/>
      <c r="LTX55" s="15"/>
      <c r="LTY55" s="15"/>
      <c r="LTZ55" s="15"/>
      <c r="LUA55" s="15"/>
      <c r="LUB55" s="15"/>
      <c r="LUC55" s="15"/>
      <c r="LUD55" s="15"/>
      <c r="LUE55" s="15"/>
      <c r="LUF55" s="15"/>
      <c r="LUG55" s="15"/>
      <c r="LUH55" s="15"/>
      <c r="LUI55" s="15"/>
      <c r="LUJ55" s="15"/>
      <c r="LUK55" s="15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15"/>
      <c r="LUX55" s="15"/>
      <c r="LUY55" s="15"/>
      <c r="LUZ55" s="15"/>
      <c r="LVA55" s="15"/>
      <c r="LVB55" s="15"/>
      <c r="LVC55" s="15"/>
      <c r="LVD55" s="15"/>
      <c r="LVE55" s="15"/>
      <c r="LVF55" s="15"/>
      <c r="LVG55" s="15"/>
      <c r="LVH55" s="15"/>
      <c r="LVI55" s="15"/>
      <c r="LVJ55" s="15"/>
      <c r="LVK55" s="15"/>
      <c r="LVL55" s="15"/>
      <c r="LVM55" s="15"/>
      <c r="LVN55" s="15"/>
      <c r="LVO55" s="15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15"/>
      <c r="LWB55" s="15"/>
      <c r="LWC55" s="15"/>
      <c r="LWD55" s="15"/>
      <c r="LWE55" s="15"/>
      <c r="LWF55" s="15"/>
      <c r="LWG55" s="15"/>
      <c r="LWH55" s="15"/>
      <c r="LWI55" s="15"/>
      <c r="LWJ55" s="15"/>
      <c r="LWK55" s="15"/>
      <c r="LWL55" s="15"/>
      <c r="LWM55" s="15"/>
      <c r="LWN55" s="15"/>
      <c r="LWO55" s="15"/>
      <c r="LWP55" s="15"/>
      <c r="LWQ55" s="15"/>
      <c r="LWR55" s="15"/>
      <c r="LWS55" s="15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15"/>
      <c r="LXF55" s="15"/>
      <c r="LXG55" s="15"/>
      <c r="LXH55" s="15"/>
      <c r="LXI55" s="15"/>
      <c r="LXJ55" s="15"/>
      <c r="LXK55" s="15"/>
      <c r="LXL55" s="15"/>
      <c r="LXM55" s="15"/>
      <c r="LXN55" s="15"/>
      <c r="LXO55" s="15"/>
      <c r="LXP55" s="15"/>
      <c r="LXQ55" s="15"/>
      <c r="LXR55" s="15"/>
      <c r="LXS55" s="15"/>
      <c r="LXT55" s="15"/>
      <c r="LXU55" s="15"/>
      <c r="LXV55" s="15"/>
      <c r="LXW55" s="15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15"/>
      <c r="LYJ55" s="15"/>
      <c r="LYK55" s="15"/>
      <c r="LYL55" s="15"/>
      <c r="LYM55" s="15"/>
      <c r="LYN55" s="15"/>
      <c r="LYO55" s="15"/>
      <c r="LYP55" s="15"/>
      <c r="LYQ55" s="15"/>
      <c r="LYR55" s="15"/>
      <c r="LYS55" s="15"/>
      <c r="LYT55" s="15"/>
      <c r="LYU55" s="15"/>
      <c r="LYV55" s="15"/>
      <c r="LYW55" s="15"/>
      <c r="LYX55" s="15"/>
      <c r="LYY55" s="15"/>
      <c r="LYZ55" s="15"/>
      <c r="LZA55" s="15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15"/>
      <c r="LZN55" s="15"/>
      <c r="LZO55" s="15"/>
      <c r="LZP55" s="15"/>
      <c r="LZQ55" s="15"/>
      <c r="LZR55" s="15"/>
      <c r="LZS55" s="15"/>
      <c r="LZT55" s="15"/>
      <c r="LZU55" s="15"/>
      <c r="LZV55" s="15"/>
      <c r="LZW55" s="15"/>
      <c r="LZX55" s="15"/>
      <c r="LZY55" s="15"/>
      <c r="LZZ55" s="15"/>
      <c r="MAA55" s="15"/>
      <c r="MAB55" s="15"/>
      <c r="MAC55" s="15"/>
      <c r="MAD55" s="15"/>
      <c r="MAE55" s="15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15"/>
      <c r="MAR55" s="15"/>
      <c r="MAS55" s="15"/>
      <c r="MAT55" s="15"/>
      <c r="MAU55" s="15"/>
      <c r="MAV55" s="15"/>
      <c r="MAW55" s="15"/>
      <c r="MAX55" s="15"/>
      <c r="MAY55" s="15"/>
      <c r="MAZ55" s="15"/>
      <c r="MBA55" s="15"/>
      <c r="MBB55" s="15"/>
      <c r="MBC55" s="15"/>
      <c r="MBD55" s="15"/>
      <c r="MBE55" s="15"/>
      <c r="MBF55" s="15"/>
      <c r="MBG55" s="15"/>
      <c r="MBH55" s="15"/>
      <c r="MBI55" s="15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15"/>
      <c r="MBV55" s="15"/>
      <c r="MBW55" s="15"/>
      <c r="MBX55" s="15"/>
      <c r="MBY55" s="15"/>
      <c r="MBZ55" s="15"/>
      <c r="MCA55" s="15"/>
      <c r="MCB55" s="15"/>
      <c r="MCC55" s="15"/>
      <c r="MCD55" s="15"/>
      <c r="MCE55" s="15"/>
      <c r="MCF55" s="15"/>
      <c r="MCG55" s="15"/>
      <c r="MCH55" s="15"/>
      <c r="MCI55" s="15"/>
      <c r="MCJ55" s="15"/>
      <c r="MCK55" s="15"/>
      <c r="MCL55" s="15"/>
      <c r="MCM55" s="15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15"/>
      <c r="MCZ55" s="15"/>
      <c r="MDA55" s="15"/>
      <c r="MDB55" s="15"/>
      <c r="MDC55" s="15"/>
      <c r="MDD55" s="15"/>
      <c r="MDE55" s="15"/>
      <c r="MDF55" s="15"/>
      <c r="MDG55" s="15"/>
      <c r="MDH55" s="15"/>
      <c r="MDI55" s="15"/>
      <c r="MDJ55" s="15"/>
      <c r="MDK55" s="15"/>
      <c r="MDL55" s="15"/>
      <c r="MDM55" s="15"/>
      <c r="MDN55" s="15"/>
      <c r="MDO55" s="15"/>
      <c r="MDP55" s="15"/>
      <c r="MDQ55" s="15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15"/>
      <c r="MED55" s="15"/>
      <c r="MEE55" s="15"/>
      <c r="MEF55" s="15"/>
      <c r="MEG55" s="15"/>
      <c r="MEH55" s="15"/>
      <c r="MEI55" s="15"/>
      <c r="MEJ55" s="15"/>
      <c r="MEK55" s="15"/>
      <c r="MEL55" s="15"/>
      <c r="MEM55" s="15"/>
      <c r="MEN55" s="15"/>
      <c r="MEO55" s="15"/>
      <c r="MEP55" s="15"/>
      <c r="MEQ55" s="15"/>
      <c r="MER55" s="15"/>
      <c r="MES55" s="15"/>
      <c r="MET55" s="15"/>
      <c r="MEU55" s="15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15"/>
      <c r="MFH55" s="15"/>
      <c r="MFI55" s="15"/>
      <c r="MFJ55" s="15"/>
      <c r="MFK55" s="15"/>
      <c r="MFL55" s="15"/>
      <c r="MFM55" s="15"/>
      <c r="MFN55" s="15"/>
      <c r="MFO55" s="15"/>
      <c r="MFP55" s="15"/>
      <c r="MFQ55" s="15"/>
      <c r="MFR55" s="15"/>
      <c r="MFS55" s="15"/>
      <c r="MFT55" s="15"/>
      <c r="MFU55" s="15"/>
      <c r="MFV55" s="15"/>
      <c r="MFW55" s="15"/>
      <c r="MFX55" s="15"/>
      <c r="MFY55" s="15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15"/>
      <c r="MGL55" s="15"/>
      <c r="MGM55" s="15"/>
      <c r="MGN55" s="15"/>
      <c r="MGO55" s="15"/>
      <c r="MGP55" s="15"/>
      <c r="MGQ55" s="15"/>
      <c r="MGR55" s="15"/>
      <c r="MGS55" s="15"/>
      <c r="MGT55" s="15"/>
      <c r="MGU55" s="15"/>
      <c r="MGV55" s="15"/>
      <c r="MGW55" s="15"/>
      <c r="MGX55" s="15"/>
      <c r="MGY55" s="15"/>
      <c r="MGZ55" s="15"/>
      <c r="MHA55" s="15"/>
      <c r="MHB55" s="15"/>
      <c r="MHC55" s="15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15"/>
      <c r="MHP55" s="15"/>
      <c r="MHQ55" s="15"/>
      <c r="MHR55" s="15"/>
      <c r="MHS55" s="15"/>
      <c r="MHT55" s="15"/>
      <c r="MHU55" s="15"/>
      <c r="MHV55" s="15"/>
      <c r="MHW55" s="15"/>
      <c r="MHX55" s="15"/>
      <c r="MHY55" s="15"/>
      <c r="MHZ55" s="15"/>
      <c r="MIA55" s="15"/>
      <c r="MIB55" s="15"/>
      <c r="MIC55" s="15"/>
      <c r="MID55" s="15"/>
      <c r="MIE55" s="15"/>
      <c r="MIF55" s="15"/>
      <c r="MIG55" s="15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15"/>
      <c r="MIT55" s="15"/>
      <c r="MIU55" s="15"/>
      <c r="MIV55" s="15"/>
      <c r="MIW55" s="15"/>
      <c r="MIX55" s="15"/>
      <c r="MIY55" s="15"/>
      <c r="MIZ55" s="15"/>
      <c r="MJA55" s="15"/>
      <c r="MJB55" s="15"/>
      <c r="MJC55" s="15"/>
      <c r="MJD55" s="15"/>
      <c r="MJE55" s="15"/>
      <c r="MJF55" s="15"/>
      <c r="MJG55" s="15"/>
      <c r="MJH55" s="15"/>
      <c r="MJI55" s="15"/>
      <c r="MJJ55" s="15"/>
      <c r="MJK55" s="15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15"/>
      <c r="MJX55" s="15"/>
      <c r="MJY55" s="15"/>
      <c r="MJZ55" s="15"/>
      <c r="MKA55" s="15"/>
      <c r="MKB55" s="15"/>
      <c r="MKC55" s="15"/>
      <c r="MKD55" s="15"/>
      <c r="MKE55" s="15"/>
      <c r="MKF55" s="15"/>
      <c r="MKG55" s="15"/>
      <c r="MKH55" s="15"/>
      <c r="MKI55" s="15"/>
      <c r="MKJ55" s="15"/>
      <c r="MKK55" s="15"/>
      <c r="MKL55" s="15"/>
      <c r="MKM55" s="15"/>
      <c r="MKN55" s="15"/>
      <c r="MKO55" s="15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15"/>
      <c r="MLB55" s="15"/>
      <c r="MLC55" s="15"/>
      <c r="MLD55" s="15"/>
      <c r="MLE55" s="15"/>
      <c r="MLF55" s="15"/>
      <c r="MLG55" s="15"/>
      <c r="MLH55" s="15"/>
      <c r="MLI55" s="15"/>
      <c r="MLJ55" s="15"/>
      <c r="MLK55" s="15"/>
      <c r="MLL55" s="15"/>
      <c r="MLM55" s="15"/>
      <c r="MLN55" s="15"/>
      <c r="MLO55" s="15"/>
      <c r="MLP55" s="15"/>
      <c r="MLQ55" s="15"/>
      <c r="MLR55" s="15"/>
      <c r="MLS55" s="15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15"/>
      <c r="MMF55" s="15"/>
      <c r="MMG55" s="15"/>
      <c r="MMH55" s="15"/>
      <c r="MMI55" s="15"/>
      <c r="MMJ55" s="15"/>
      <c r="MMK55" s="15"/>
      <c r="MML55" s="15"/>
      <c r="MMM55" s="15"/>
      <c r="MMN55" s="15"/>
      <c r="MMO55" s="15"/>
      <c r="MMP55" s="15"/>
      <c r="MMQ55" s="15"/>
      <c r="MMR55" s="15"/>
      <c r="MMS55" s="15"/>
      <c r="MMT55" s="15"/>
      <c r="MMU55" s="15"/>
      <c r="MMV55" s="15"/>
      <c r="MMW55" s="15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15"/>
      <c r="MNJ55" s="15"/>
      <c r="MNK55" s="15"/>
      <c r="MNL55" s="15"/>
      <c r="MNM55" s="15"/>
      <c r="MNN55" s="15"/>
      <c r="MNO55" s="15"/>
      <c r="MNP55" s="15"/>
      <c r="MNQ55" s="15"/>
      <c r="MNR55" s="15"/>
      <c r="MNS55" s="15"/>
      <c r="MNT55" s="15"/>
      <c r="MNU55" s="15"/>
      <c r="MNV55" s="15"/>
      <c r="MNW55" s="15"/>
      <c r="MNX55" s="15"/>
      <c r="MNY55" s="15"/>
      <c r="MNZ55" s="15"/>
      <c r="MOA55" s="15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15"/>
      <c r="MON55" s="15"/>
      <c r="MOO55" s="15"/>
      <c r="MOP55" s="15"/>
      <c r="MOQ55" s="15"/>
      <c r="MOR55" s="15"/>
      <c r="MOS55" s="15"/>
      <c r="MOT55" s="15"/>
      <c r="MOU55" s="15"/>
      <c r="MOV55" s="15"/>
      <c r="MOW55" s="15"/>
      <c r="MOX55" s="15"/>
      <c r="MOY55" s="15"/>
      <c r="MOZ55" s="15"/>
      <c r="MPA55" s="15"/>
      <c r="MPB55" s="15"/>
      <c r="MPC55" s="15"/>
      <c r="MPD55" s="15"/>
      <c r="MPE55" s="15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15"/>
      <c r="MPR55" s="15"/>
      <c r="MPS55" s="15"/>
      <c r="MPT55" s="15"/>
      <c r="MPU55" s="15"/>
      <c r="MPV55" s="15"/>
      <c r="MPW55" s="15"/>
      <c r="MPX55" s="15"/>
      <c r="MPY55" s="15"/>
      <c r="MPZ55" s="15"/>
      <c r="MQA55" s="15"/>
      <c r="MQB55" s="15"/>
      <c r="MQC55" s="15"/>
      <c r="MQD55" s="15"/>
      <c r="MQE55" s="15"/>
      <c r="MQF55" s="15"/>
      <c r="MQG55" s="15"/>
      <c r="MQH55" s="15"/>
      <c r="MQI55" s="15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15"/>
      <c r="MQV55" s="15"/>
      <c r="MQW55" s="15"/>
      <c r="MQX55" s="15"/>
      <c r="MQY55" s="15"/>
      <c r="MQZ55" s="15"/>
      <c r="MRA55" s="15"/>
      <c r="MRB55" s="15"/>
      <c r="MRC55" s="15"/>
      <c r="MRD55" s="15"/>
      <c r="MRE55" s="15"/>
      <c r="MRF55" s="15"/>
      <c r="MRG55" s="15"/>
      <c r="MRH55" s="15"/>
      <c r="MRI55" s="15"/>
      <c r="MRJ55" s="15"/>
      <c r="MRK55" s="15"/>
      <c r="MRL55" s="15"/>
      <c r="MRM55" s="15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15"/>
      <c r="MRZ55" s="15"/>
      <c r="MSA55" s="15"/>
      <c r="MSB55" s="15"/>
      <c r="MSC55" s="15"/>
      <c r="MSD55" s="15"/>
      <c r="MSE55" s="15"/>
      <c r="MSF55" s="15"/>
      <c r="MSG55" s="15"/>
      <c r="MSH55" s="15"/>
      <c r="MSI55" s="15"/>
      <c r="MSJ55" s="15"/>
      <c r="MSK55" s="15"/>
      <c r="MSL55" s="15"/>
      <c r="MSM55" s="15"/>
      <c r="MSN55" s="15"/>
      <c r="MSO55" s="15"/>
      <c r="MSP55" s="15"/>
      <c r="MSQ55" s="15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15"/>
      <c r="MTD55" s="15"/>
      <c r="MTE55" s="15"/>
      <c r="MTF55" s="15"/>
      <c r="MTG55" s="15"/>
      <c r="MTH55" s="15"/>
      <c r="MTI55" s="15"/>
      <c r="MTJ55" s="15"/>
      <c r="MTK55" s="15"/>
      <c r="MTL55" s="15"/>
      <c r="MTM55" s="15"/>
      <c r="MTN55" s="15"/>
      <c r="MTO55" s="15"/>
      <c r="MTP55" s="15"/>
      <c r="MTQ55" s="15"/>
      <c r="MTR55" s="15"/>
      <c r="MTS55" s="15"/>
      <c r="MTT55" s="15"/>
      <c r="MTU55" s="15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15"/>
      <c r="MUH55" s="15"/>
      <c r="MUI55" s="15"/>
      <c r="MUJ55" s="15"/>
      <c r="MUK55" s="15"/>
      <c r="MUL55" s="15"/>
      <c r="MUM55" s="15"/>
      <c r="MUN55" s="15"/>
      <c r="MUO55" s="15"/>
      <c r="MUP55" s="15"/>
      <c r="MUQ55" s="15"/>
      <c r="MUR55" s="15"/>
      <c r="MUS55" s="15"/>
      <c r="MUT55" s="15"/>
      <c r="MUU55" s="15"/>
      <c r="MUV55" s="15"/>
      <c r="MUW55" s="15"/>
      <c r="MUX55" s="15"/>
      <c r="MUY55" s="15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15"/>
      <c r="MVL55" s="15"/>
      <c r="MVM55" s="15"/>
      <c r="MVN55" s="15"/>
      <c r="MVO55" s="15"/>
      <c r="MVP55" s="15"/>
      <c r="MVQ55" s="15"/>
      <c r="MVR55" s="15"/>
      <c r="MVS55" s="15"/>
      <c r="MVT55" s="15"/>
      <c r="MVU55" s="15"/>
      <c r="MVV55" s="15"/>
      <c r="MVW55" s="15"/>
      <c r="MVX55" s="15"/>
      <c r="MVY55" s="15"/>
      <c r="MVZ55" s="15"/>
      <c r="MWA55" s="15"/>
      <c r="MWB55" s="15"/>
      <c r="MWC55" s="15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15"/>
      <c r="MWP55" s="15"/>
      <c r="MWQ55" s="15"/>
      <c r="MWR55" s="15"/>
      <c r="MWS55" s="15"/>
      <c r="MWT55" s="15"/>
      <c r="MWU55" s="15"/>
      <c r="MWV55" s="15"/>
      <c r="MWW55" s="15"/>
      <c r="MWX55" s="15"/>
      <c r="MWY55" s="15"/>
      <c r="MWZ55" s="15"/>
      <c r="MXA55" s="15"/>
      <c r="MXB55" s="15"/>
      <c r="MXC55" s="15"/>
      <c r="MXD55" s="15"/>
      <c r="MXE55" s="15"/>
      <c r="MXF55" s="15"/>
      <c r="MXG55" s="15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15"/>
      <c r="MXT55" s="15"/>
      <c r="MXU55" s="15"/>
      <c r="MXV55" s="15"/>
      <c r="MXW55" s="15"/>
      <c r="MXX55" s="15"/>
      <c r="MXY55" s="15"/>
      <c r="MXZ55" s="15"/>
      <c r="MYA55" s="15"/>
      <c r="MYB55" s="15"/>
      <c r="MYC55" s="15"/>
      <c r="MYD55" s="15"/>
      <c r="MYE55" s="15"/>
      <c r="MYF55" s="15"/>
      <c r="MYG55" s="15"/>
      <c r="MYH55" s="15"/>
      <c r="MYI55" s="15"/>
      <c r="MYJ55" s="15"/>
      <c r="MYK55" s="15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15"/>
      <c r="MYX55" s="15"/>
      <c r="MYY55" s="15"/>
      <c r="MYZ55" s="15"/>
      <c r="MZA55" s="15"/>
      <c r="MZB55" s="15"/>
      <c r="MZC55" s="15"/>
      <c r="MZD55" s="15"/>
      <c r="MZE55" s="15"/>
      <c r="MZF55" s="15"/>
      <c r="MZG55" s="15"/>
      <c r="MZH55" s="15"/>
      <c r="MZI55" s="15"/>
      <c r="MZJ55" s="15"/>
      <c r="MZK55" s="15"/>
      <c r="MZL55" s="15"/>
      <c r="MZM55" s="15"/>
      <c r="MZN55" s="15"/>
      <c r="MZO55" s="15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15"/>
      <c r="NAB55" s="15"/>
      <c r="NAC55" s="15"/>
      <c r="NAD55" s="15"/>
      <c r="NAE55" s="15"/>
      <c r="NAF55" s="15"/>
      <c r="NAG55" s="15"/>
      <c r="NAH55" s="15"/>
      <c r="NAI55" s="15"/>
      <c r="NAJ55" s="15"/>
      <c r="NAK55" s="15"/>
      <c r="NAL55" s="15"/>
      <c r="NAM55" s="15"/>
      <c r="NAN55" s="15"/>
      <c r="NAO55" s="15"/>
      <c r="NAP55" s="15"/>
      <c r="NAQ55" s="15"/>
      <c r="NAR55" s="15"/>
      <c r="NAS55" s="15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15"/>
      <c r="NBF55" s="15"/>
      <c r="NBG55" s="15"/>
      <c r="NBH55" s="15"/>
      <c r="NBI55" s="15"/>
      <c r="NBJ55" s="15"/>
      <c r="NBK55" s="15"/>
      <c r="NBL55" s="15"/>
      <c r="NBM55" s="15"/>
      <c r="NBN55" s="15"/>
      <c r="NBO55" s="15"/>
      <c r="NBP55" s="15"/>
      <c r="NBQ55" s="15"/>
      <c r="NBR55" s="15"/>
      <c r="NBS55" s="15"/>
      <c r="NBT55" s="15"/>
      <c r="NBU55" s="15"/>
      <c r="NBV55" s="15"/>
      <c r="NBW55" s="15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15"/>
      <c r="NCJ55" s="15"/>
      <c r="NCK55" s="15"/>
      <c r="NCL55" s="15"/>
      <c r="NCM55" s="15"/>
      <c r="NCN55" s="15"/>
      <c r="NCO55" s="15"/>
      <c r="NCP55" s="15"/>
      <c r="NCQ55" s="15"/>
      <c r="NCR55" s="15"/>
      <c r="NCS55" s="15"/>
      <c r="NCT55" s="15"/>
      <c r="NCU55" s="15"/>
      <c r="NCV55" s="15"/>
      <c r="NCW55" s="15"/>
      <c r="NCX55" s="15"/>
      <c r="NCY55" s="15"/>
      <c r="NCZ55" s="15"/>
      <c r="NDA55" s="15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15"/>
      <c r="NDN55" s="15"/>
      <c r="NDO55" s="15"/>
      <c r="NDP55" s="15"/>
      <c r="NDQ55" s="15"/>
      <c r="NDR55" s="15"/>
      <c r="NDS55" s="15"/>
      <c r="NDT55" s="15"/>
      <c r="NDU55" s="15"/>
      <c r="NDV55" s="15"/>
      <c r="NDW55" s="15"/>
      <c r="NDX55" s="15"/>
      <c r="NDY55" s="15"/>
      <c r="NDZ55" s="15"/>
      <c r="NEA55" s="15"/>
      <c r="NEB55" s="15"/>
      <c r="NEC55" s="15"/>
      <c r="NED55" s="15"/>
      <c r="NEE55" s="15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15"/>
      <c r="NER55" s="15"/>
      <c r="NES55" s="15"/>
      <c r="NET55" s="15"/>
      <c r="NEU55" s="15"/>
      <c r="NEV55" s="15"/>
      <c r="NEW55" s="15"/>
      <c r="NEX55" s="15"/>
      <c r="NEY55" s="15"/>
      <c r="NEZ55" s="15"/>
      <c r="NFA55" s="15"/>
      <c r="NFB55" s="15"/>
      <c r="NFC55" s="15"/>
      <c r="NFD55" s="15"/>
      <c r="NFE55" s="15"/>
      <c r="NFF55" s="15"/>
      <c r="NFG55" s="15"/>
      <c r="NFH55" s="15"/>
      <c r="NFI55" s="15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15"/>
      <c r="NFV55" s="15"/>
      <c r="NFW55" s="15"/>
      <c r="NFX55" s="15"/>
      <c r="NFY55" s="15"/>
      <c r="NFZ55" s="15"/>
      <c r="NGA55" s="15"/>
      <c r="NGB55" s="15"/>
      <c r="NGC55" s="15"/>
      <c r="NGD55" s="15"/>
      <c r="NGE55" s="15"/>
      <c r="NGF55" s="15"/>
      <c r="NGG55" s="15"/>
      <c r="NGH55" s="15"/>
      <c r="NGI55" s="15"/>
      <c r="NGJ55" s="15"/>
      <c r="NGK55" s="15"/>
      <c r="NGL55" s="15"/>
      <c r="NGM55" s="15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15"/>
      <c r="NGZ55" s="15"/>
      <c r="NHA55" s="15"/>
      <c r="NHB55" s="15"/>
      <c r="NHC55" s="15"/>
      <c r="NHD55" s="15"/>
      <c r="NHE55" s="15"/>
      <c r="NHF55" s="15"/>
      <c r="NHG55" s="15"/>
      <c r="NHH55" s="15"/>
      <c r="NHI55" s="15"/>
      <c r="NHJ55" s="15"/>
      <c r="NHK55" s="15"/>
      <c r="NHL55" s="15"/>
      <c r="NHM55" s="15"/>
      <c r="NHN55" s="15"/>
      <c r="NHO55" s="15"/>
      <c r="NHP55" s="15"/>
      <c r="NHQ55" s="15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15"/>
      <c r="NID55" s="15"/>
      <c r="NIE55" s="15"/>
      <c r="NIF55" s="15"/>
      <c r="NIG55" s="15"/>
      <c r="NIH55" s="15"/>
      <c r="NII55" s="15"/>
      <c r="NIJ55" s="15"/>
      <c r="NIK55" s="15"/>
      <c r="NIL55" s="15"/>
      <c r="NIM55" s="15"/>
      <c r="NIN55" s="15"/>
      <c r="NIO55" s="15"/>
      <c r="NIP55" s="15"/>
      <c r="NIQ55" s="15"/>
      <c r="NIR55" s="15"/>
      <c r="NIS55" s="15"/>
      <c r="NIT55" s="15"/>
      <c r="NIU55" s="15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15"/>
      <c r="NJH55" s="15"/>
      <c r="NJI55" s="15"/>
      <c r="NJJ55" s="15"/>
      <c r="NJK55" s="15"/>
      <c r="NJL55" s="15"/>
      <c r="NJM55" s="15"/>
      <c r="NJN55" s="15"/>
      <c r="NJO55" s="15"/>
      <c r="NJP55" s="15"/>
      <c r="NJQ55" s="15"/>
      <c r="NJR55" s="15"/>
      <c r="NJS55" s="15"/>
      <c r="NJT55" s="15"/>
      <c r="NJU55" s="15"/>
      <c r="NJV55" s="15"/>
      <c r="NJW55" s="15"/>
      <c r="NJX55" s="15"/>
      <c r="NJY55" s="15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15"/>
      <c r="NKL55" s="15"/>
      <c r="NKM55" s="15"/>
      <c r="NKN55" s="15"/>
      <c r="NKO55" s="15"/>
      <c r="NKP55" s="15"/>
      <c r="NKQ55" s="15"/>
      <c r="NKR55" s="15"/>
      <c r="NKS55" s="15"/>
      <c r="NKT55" s="15"/>
      <c r="NKU55" s="15"/>
      <c r="NKV55" s="15"/>
      <c r="NKW55" s="15"/>
      <c r="NKX55" s="15"/>
      <c r="NKY55" s="15"/>
      <c r="NKZ55" s="15"/>
      <c r="NLA55" s="15"/>
      <c r="NLB55" s="15"/>
      <c r="NLC55" s="15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15"/>
      <c r="NLP55" s="15"/>
      <c r="NLQ55" s="15"/>
      <c r="NLR55" s="15"/>
      <c r="NLS55" s="15"/>
      <c r="NLT55" s="15"/>
      <c r="NLU55" s="15"/>
      <c r="NLV55" s="15"/>
      <c r="NLW55" s="15"/>
      <c r="NLX55" s="15"/>
      <c r="NLY55" s="15"/>
      <c r="NLZ55" s="15"/>
      <c r="NMA55" s="15"/>
      <c r="NMB55" s="15"/>
      <c r="NMC55" s="15"/>
      <c r="NMD55" s="15"/>
      <c r="NME55" s="15"/>
      <c r="NMF55" s="15"/>
      <c r="NMG55" s="15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15"/>
      <c r="NMT55" s="15"/>
      <c r="NMU55" s="15"/>
      <c r="NMV55" s="15"/>
      <c r="NMW55" s="15"/>
      <c r="NMX55" s="15"/>
      <c r="NMY55" s="15"/>
      <c r="NMZ55" s="15"/>
      <c r="NNA55" s="15"/>
      <c r="NNB55" s="15"/>
      <c r="NNC55" s="15"/>
      <c r="NND55" s="15"/>
      <c r="NNE55" s="15"/>
      <c r="NNF55" s="15"/>
      <c r="NNG55" s="15"/>
      <c r="NNH55" s="15"/>
      <c r="NNI55" s="15"/>
      <c r="NNJ55" s="15"/>
      <c r="NNK55" s="15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15"/>
      <c r="NNX55" s="15"/>
      <c r="NNY55" s="15"/>
      <c r="NNZ55" s="15"/>
      <c r="NOA55" s="15"/>
      <c r="NOB55" s="15"/>
      <c r="NOC55" s="15"/>
      <c r="NOD55" s="15"/>
      <c r="NOE55" s="15"/>
      <c r="NOF55" s="15"/>
      <c r="NOG55" s="15"/>
      <c r="NOH55" s="15"/>
      <c r="NOI55" s="15"/>
      <c r="NOJ55" s="15"/>
      <c r="NOK55" s="15"/>
      <c r="NOL55" s="15"/>
      <c r="NOM55" s="15"/>
      <c r="NON55" s="15"/>
      <c r="NOO55" s="15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15"/>
      <c r="NPB55" s="15"/>
      <c r="NPC55" s="15"/>
      <c r="NPD55" s="15"/>
      <c r="NPE55" s="15"/>
      <c r="NPF55" s="15"/>
      <c r="NPG55" s="15"/>
      <c r="NPH55" s="15"/>
      <c r="NPI55" s="15"/>
      <c r="NPJ55" s="15"/>
      <c r="NPK55" s="15"/>
      <c r="NPL55" s="15"/>
      <c r="NPM55" s="15"/>
      <c r="NPN55" s="15"/>
      <c r="NPO55" s="15"/>
      <c r="NPP55" s="15"/>
      <c r="NPQ55" s="15"/>
      <c r="NPR55" s="15"/>
      <c r="NPS55" s="15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15"/>
      <c r="NQF55" s="15"/>
      <c r="NQG55" s="15"/>
      <c r="NQH55" s="15"/>
      <c r="NQI55" s="15"/>
      <c r="NQJ55" s="15"/>
      <c r="NQK55" s="15"/>
      <c r="NQL55" s="15"/>
      <c r="NQM55" s="15"/>
      <c r="NQN55" s="15"/>
      <c r="NQO55" s="15"/>
      <c r="NQP55" s="15"/>
      <c r="NQQ55" s="15"/>
      <c r="NQR55" s="15"/>
      <c r="NQS55" s="15"/>
      <c r="NQT55" s="15"/>
      <c r="NQU55" s="15"/>
      <c r="NQV55" s="15"/>
      <c r="NQW55" s="15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15"/>
      <c r="NRJ55" s="15"/>
      <c r="NRK55" s="15"/>
      <c r="NRL55" s="15"/>
      <c r="NRM55" s="15"/>
      <c r="NRN55" s="15"/>
      <c r="NRO55" s="15"/>
      <c r="NRP55" s="15"/>
      <c r="NRQ55" s="15"/>
      <c r="NRR55" s="15"/>
      <c r="NRS55" s="15"/>
      <c r="NRT55" s="15"/>
      <c r="NRU55" s="15"/>
      <c r="NRV55" s="15"/>
      <c r="NRW55" s="15"/>
      <c r="NRX55" s="15"/>
      <c r="NRY55" s="15"/>
      <c r="NRZ55" s="15"/>
      <c r="NSA55" s="15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15"/>
      <c r="NSN55" s="15"/>
      <c r="NSO55" s="15"/>
      <c r="NSP55" s="15"/>
      <c r="NSQ55" s="15"/>
      <c r="NSR55" s="15"/>
      <c r="NSS55" s="15"/>
      <c r="NST55" s="15"/>
      <c r="NSU55" s="15"/>
      <c r="NSV55" s="15"/>
      <c r="NSW55" s="15"/>
      <c r="NSX55" s="15"/>
      <c r="NSY55" s="15"/>
      <c r="NSZ55" s="15"/>
      <c r="NTA55" s="15"/>
      <c r="NTB55" s="15"/>
      <c r="NTC55" s="15"/>
      <c r="NTD55" s="15"/>
      <c r="NTE55" s="15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15"/>
      <c r="NTR55" s="15"/>
      <c r="NTS55" s="15"/>
      <c r="NTT55" s="15"/>
      <c r="NTU55" s="15"/>
      <c r="NTV55" s="15"/>
      <c r="NTW55" s="15"/>
      <c r="NTX55" s="15"/>
      <c r="NTY55" s="15"/>
      <c r="NTZ55" s="15"/>
      <c r="NUA55" s="15"/>
      <c r="NUB55" s="15"/>
      <c r="NUC55" s="15"/>
      <c r="NUD55" s="15"/>
      <c r="NUE55" s="15"/>
      <c r="NUF55" s="15"/>
      <c r="NUG55" s="15"/>
      <c r="NUH55" s="15"/>
      <c r="NUI55" s="15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15"/>
      <c r="NUV55" s="15"/>
      <c r="NUW55" s="15"/>
      <c r="NUX55" s="15"/>
      <c r="NUY55" s="15"/>
      <c r="NUZ55" s="15"/>
      <c r="NVA55" s="15"/>
      <c r="NVB55" s="15"/>
      <c r="NVC55" s="15"/>
      <c r="NVD55" s="15"/>
      <c r="NVE55" s="15"/>
      <c r="NVF55" s="15"/>
      <c r="NVG55" s="15"/>
      <c r="NVH55" s="15"/>
      <c r="NVI55" s="15"/>
      <c r="NVJ55" s="15"/>
      <c r="NVK55" s="15"/>
      <c r="NVL55" s="15"/>
      <c r="NVM55" s="15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15"/>
      <c r="NVZ55" s="15"/>
      <c r="NWA55" s="15"/>
      <c r="NWB55" s="15"/>
      <c r="NWC55" s="15"/>
      <c r="NWD55" s="15"/>
      <c r="NWE55" s="15"/>
      <c r="NWF55" s="15"/>
      <c r="NWG55" s="15"/>
      <c r="NWH55" s="15"/>
      <c r="NWI55" s="15"/>
      <c r="NWJ55" s="15"/>
      <c r="NWK55" s="15"/>
      <c r="NWL55" s="15"/>
      <c r="NWM55" s="15"/>
      <c r="NWN55" s="15"/>
      <c r="NWO55" s="15"/>
      <c r="NWP55" s="15"/>
      <c r="NWQ55" s="15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15"/>
      <c r="NXD55" s="15"/>
      <c r="NXE55" s="15"/>
      <c r="NXF55" s="15"/>
      <c r="NXG55" s="15"/>
      <c r="NXH55" s="15"/>
      <c r="NXI55" s="15"/>
      <c r="NXJ55" s="15"/>
      <c r="NXK55" s="15"/>
      <c r="NXL55" s="15"/>
      <c r="NXM55" s="15"/>
      <c r="NXN55" s="15"/>
      <c r="NXO55" s="15"/>
      <c r="NXP55" s="15"/>
      <c r="NXQ55" s="15"/>
      <c r="NXR55" s="15"/>
      <c r="NXS55" s="15"/>
      <c r="NXT55" s="15"/>
      <c r="NXU55" s="15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15"/>
      <c r="NYH55" s="15"/>
      <c r="NYI55" s="15"/>
      <c r="NYJ55" s="15"/>
      <c r="NYK55" s="15"/>
      <c r="NYL55" s="15"/>
      <c r="NYM55" s="15"/>
      <c r="NYN55" s="15"/>
      <c r="NYO55" s="15"/>
      <c r="NYP55" s="15"/>
      <c r="NYQ55" s="15"/>
      <c r="NYR55" s="15"/>
      <c r="NYS55" s="15"/>
      <c r="NYT55" s="15"/>
      <c r="NYU55" s="15"/>
      <c r="NYV55" s="15"/>
      <c r="NYW55" s="15"/>
      <c r="NYX55" s="15"/>
      <c r="NYY55" s="15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15"/>
      <c r="NZL55" s="15"/>
      <c r="NZM55" s="15"/>
      <c r="NZN55" s="15"/>
      <c r="NZO55" s="15"/>
      <c r="NZP55" s="15"/>
      <c r="NZQ55" s="15"/>
      <c r="NZR55" s="15"/>
      <c r="NZS55" s="15"/>
      <c r="NZT55" s="15"/>
      <c r="NZU55" s="15"/>
      <c r="NZV55" s="15"/>
      <c r="NZW55" s="15"/>
      <c r="NZX55" s="15"/>
      <c r="NZY55" s="15"/>
      <c r="NZZ55" s="15"/>
      <c r="OAA55" s="15"/>
      <c r="OAB55" s="15"/>
      <c r="OAC55" s="15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15"/>
      <c r="OAP55" s="15"/>
      <c r="OAQ55" s="15"/>
      <c r="OAR55" s="15"/>
      <c r="OAS55" s="15"/>
      <c r="OAT55" s="15"/>
      <c r="OAU55" s="15"/>
      <c r="OAV55" s="15"/>
      <c r="OAW55" s="15"/>
      <c r="OAX55" s="15"/>
      <c r="OAY55" s="15"/>
      <c r="OAZ55" s="15"/>
      <c r="OBA55" s="15"/>
      <c r="OBB55" s="15"/>
      <c r="OBC55" s="15"/>
      <c r="OBD55" s="15"/>
      <c r="OBE55" s="15"/>
      <c r="OBF55" s="15"/>
      <c r="OBG55" s="15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15"/>
      <c r="OBT55" s="15"/>
      <c r="OBU55" s="15"/>
      <c r="OBV55" s="15"/>
      <c r="OBW55" s="15"/>
      <c r="OBX55" s="15"/>
      <c r="OBY55" s="15"/>
      <c r="OBZ55" s="15"/>
      <c r="OCA55" s="15"/>
      <c r="OCB55" s="15"/>
      <c r="OCC55" s="15"/>
      <c r="OCD55" s="15"/>
      <c r="OCE55" s="15"/>
      <c r="OCF55" s="15"/>
      <c r="OCG55" s="15"/>
      <c r="OCH55" s="15"/>
      <c r="OCI55" s="15"/>
      <c r="OCJ55" s="15"/>
      <c r="OCK55" s="15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15"/>
      <c r="OCX55" s="15"/>
      <c r="OCY55" s="15"/>
      <c r="OCZ55" s="15"/>
      <c r="ODA55" s="15"/>
      <c r="ODB55" s="15"/>
      <c r="ODC55" s="15"/>
      <c r="ODD55" s="15"/>
      <c r="ODE55" s="15"/>
      <c r="ODF55" s="15"/>
      <c r="ODG55" s="15"/>
      <c r="ODH55" s="15"/>
      <c r="ODI55" s="15"/>
      <c r="ODJ55" s="15"/>
      <c r="ODK55" s="15"/>
      <c r="ODL55" s="15"/>
      <c r="ODM55" s="15"/>
      <c r="ODN55" s="15"/>
      <c r="ODO55" s="15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15"/>
      <c r="OEB55" s="15"/>
      <c r="OEC55" s="15"/>
      <c r="OED55" s="15"/>
      <c r="OEE55" s="15"/>
      <c r="OEF55" s="15"/>
      <c r="OEG55" s="15"/>
      <c r="OEH55" s="15"/>
      <c r="OEI55" s="15"/>
      <c r="OEJ55" s="15"/>
      <c r="OEK55" s="15"/>
      <c r="OEL55" s="15"/>
      <c r="OEM55" s="15"/>
      <c r="OEN55" s="15"/>
      <c r="OEO55" s="15"/>
      <c r="OEP55" s="15"/>
      <c r="OEQ55" s="15"/>
      <c r="OER55" s="15"/>
      <c r="OES55" s="15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15"/>
      <c r="OFF55" s="15"/>
      <c r="OFG55" s="15"/>
      <c r="OFH55" s="15"/>
      <c r="OFI55" s="15"/>
      <c r="OFJ55" s="15"/>
      <c r="OFK55" s="15"/>
      <c r="OFL55" s="15"/>
      <c r="OFM55" s="15"/>
      <c r="OFN55" s="15"/>
      <c r="OFO55" s="15"/>
      <c r="OFP55" s="15"/>
      <c r="OFQ55" s="15"/>
      <c r="OFR55" s="15"/>
      <c r="OFS55" s="15"/>
      <c r="OFT55" s="15"/>
      <c r="OFU55" s="15"/>
      <c r="OFV55" s="15"/>
      <c r="OFW55" s="15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15"/>
      <c r="OGJ55" s="15"/>
      <c r="OGK55" s="15"/>
      <c r="OGL55" s="15"/>
      <c r="OGM55" s="15"/>
      <c r="OGN55" s="15"/>
      <c r="OGO55" s="15"/>
      <c r="OGP55" s="15"/>
      <c r="OGQ55" s="15"/>
      <c r="OGR55" s="15"/>
      <c r="OGS55" s="15"/>
      <c r="OGT55" s="15"/>
      <c r="OGU55" s="15"/>
      <c r="OGV55" s="15"/>
      <c r="OGW55" s="15"/>
      <c r="OGX55" s="15"/>
      <c r="OGY55" s="15"/>
      <c r="OGZ55" s="15"/>
      <c r="OHA55" s="15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15"/>
      <c r="OHN55" s="15"/>
      <c r="OHO55" s="15"/>
      <c r="OHP55" s="15"/>
      <c r="OHQ55" s="15"/>
      <c r="OHR55" s="15"/>
      <c r="OHS55" s="15"/>
      <c r="OHT55" s="15"/>
      <c r="OHU55" s="15"/>
      <c r="OHV55" s="15"/>
      <c r="OHW55" s="15"/>
      <c r="OHX55" s="15"/>
      <c r="OHY55" s="15"/>
      <c r="OHZ55" s="15"/>
      <c r="OIA55" s="15"/>
      <c r="OIB55" s="15"/>
      <c r="OIC55" s="15"/>
      <c r="OID55" s="15"/>
      <c r="OIE55" s="15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15"/>
      <c r="OIR55" s="15"/>
      <c r="OIS55" s="15"/>
      <c r="OIT55" s="15"/>
      <c r="OIU55" s="15"/>
      <c r="OIV55" s="15"/>
      <c r="OIW55" s="15"/>
      <c r="OIX55" s="15"/>
      <c r="OIY55" s="15"/>
      <c r="OIZ55" s="15"/>
      <c r="OJA55" s="15"/>
      <c r="OJB55" s="15"/>
      <c r="OJC55" s="15"/>
      <c r="OJD55" s="15"/>
      <c r="OJE55" s="15"/>
      <c r="OJF55" s="15"/>
      <c r="OJG55" s="15"/>
      <c r="OJH55" s="15"/>
      <c r="OJI55" s="15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15"/>
      <c r="OJV55" s="15"/>
      <c r="OJW55" s="15"/>
      <c r="OJX55" s="15"/>
      <c r="OJY55" s="15"/>
      <c r="OJZ55" s="15"/>
      <c r="OKA55" s="15"/>
      <c r="OKB55" s="15"/>
      <c r="OKC55" s="15"/>
      <c r="OKD55" s="15"/>
      <c r="OKE55" s="15"/>
      <c r="OKF55" s="15"/>
      <c r="OKG55" s="15"/>
      <c r="OKH55" s="15"/>
      <c r="OKI55" s="15"/>
      <c r="OKJ55" s="15"/>
      <c r="OKK55" s="15"/>
      <c r="OKL55" s="15"/>
      <c r="OKM55" s="15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15"/>
      <c r="OKZ55" s="15"/>
      <c r="OLA55" s="15"/>
      <c r="OLB55" s="15"/>
      <c r="OLC55" s="15"/>
      <c r="OLD55" s="15"/>
      <c r="OLE55" s="15"/>
      <c r="OLF55" s="15"/>
      <c r="OLG55" s="15"/>
      <c r="OLH55" s="15"/>
      <c r="OLI55" s="15"/>
      <c r="OLJ55" s="15"/>
      <c r="OLK55" s="15"/>
      <c r="OLL55" s="15"/>
      <c r="OLM55" s="15"/>
      <c r="OLN55" s="15"/>
      <c r="OLO55" s="15"/>
      <c r="OLP55" s="15"/>
      <c r="OLQ55" s="15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15"/>
      <c r="OMD55" s="15"/>
      <c r="OME55" s="15"/>
      <c r="OMF55" s="15"/>
      <c r="OMG55" s="15"/>
      <c r="OMH55" s="15"/>
      <c r="OMI55" s="15"/>
      <c r="OMJ55" s="15"/>
      <c r="OMK55" s="15"/>
      <c r="OML55" s="15"/>
      <c r="OMM55" s="15"/>
      <c r="OMN55" s="15"/>
      <c r="OMO55" s="15"/>
      <c r="OMP55" s="15"/>
      <c r="OMQ55" s="15"/>
      <c r="OMR55" s="15"/>
      <c r="OMS55" s="15"/>
      <c r="OMT55" s="15"/>
      <c r="OMU55" s="15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15"/>
      <c r="ONH55" s="15"/>
      <c r="ONI55" s="15"/>
      <c r="ONJ55" s="15"/>
      <c r="ONK55" s="15"/>
      <c r="ONL55" s="15"/>
      <c r="ONM55" s="15"/>
      <c r="ONN55" s="15"/>
      <c r="ONO55" s="15"/>
      <c r="ONP55" s="15"/>
      <c r="ONQ55" s="15"/>
      <c r="ONR55" s="15"/>
      <c r="ONS55" s="15"/>
      <c r="ONT55" s="15"/>
      <c r="ONU55" s="15"/>
      <c r="ONV55" s="15"/>
      <c r="ONW55" s="15"/>
      <c r="ONX55" s="15"/>
      <c r="ONY55" s="15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15"/>
      <c r="OOL55" s="15"/>
      <c r="OOM55" s="15"/>
      <c r="OON55" s="15"/>
      <c r="OOO55" s="15"/>
      <c r="OOP55" s="15"/>
      <c r="OOQ55" s="15"/>
      <c r="OOR55" s="15"/>
      <c r="OOS55" s="15"/>
      <c r="OOT55" s="15"/>
      <c r="OOU55" s="15"/>
      <c r="OOV55" s="15"/>
      <c r="OOW55" s="15"/>
      <c r="OOX55" s="15"/>
      <c r="OOY55" s="15"/>
      <c r="OOZ55" s="15"/>
      <c r="OPA55" s="15"/>
      <c r="OPB55" s="15"/>
      <c r="OPC55" s="15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15"/>
      <c r="OPP55" s="15"/>
      <c r="OPQ55" s="15"/>
      <c r="OPR55" s="15"/>
      <c r="OPS55" s="15"/>
      <c r="OPT55" s="15"/>
      <c r="OPU55" s="15"/>
      <c r="OPV55" s="15"/>
      <c r="OPW55" s="15"/>
      <c r="OPX55" s="15"/>
      <c r="OPY55" s="15"/>
      <c r="OPZ55" s="15"/>
      <c r="OQA55" s="15"/>
      <c r="OQB55" s="15"/>
      <c r="OQC55" s="15"/>
      <c r="OQD55" s="15"/>
      <c r="OQE55" s="15"/>
      <c r="OQF55" s="15"/>
      <c r="OQG55" s="15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15"/>
      <c r="OQT55" s="15"/>
      <c r="OQU55" s="15"/>
      <c r="OQV55" s="15"/>
      <c r="OQW55" s="15"/>
      <c r="OQX55" s="15"/>
      <c r="OQY55" s="15"/>
      <c r="OQZ55" s="15"/>
      <c r="ORA55" s="15"/>
      <c r="ORB55" s="15"/>
      <c r="ORC55" s="15"/>
      <c r="ORD55" s="15"/>
      <c r="ORE55" s="15"/>
      <c r="ORF55" s="15"/>
      <c r="ORG55" s="15"/>
      <c r="ORH55" s="15"/>
      <c r="ORI55" s="15"/>
      <c r="ORJ55" s="15"/>
      <c r="ORK55" s="15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15"/>
      <c r="ORX55" s="15"/>
      <c r="ORY55" s="15"/>
      <c r="ORZ55" s="15"/>
      <c r="OSA55" s="15"/>
      <c r="OSB55" s="15"/>
      <c r="OSC55" s="15"/>
      <c r="OSD55" s="15"/>
      <c r="OSE55" s="15"/>
      <c r="OSF55" s="15"/>
      <c r="OSG55" s="15"/>
      <c r="OSH55" s="15"/>
      <c r="OSI55" s="15"/>
      <c r="OSJ55" s="15"/>
      <c r="OSK55" s="15"/>
      <c r="OSL55" s="15"/>
      <c r="OSM55" s="15"/>
      <c r="OSN55" s="15"/>
      <c r="OSO55" s="15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15"/>
      <c r="OTB55" s="15"/>
      <c r="OTC55" s="15"/>
      <c r="OTD55" s="15"/>
      <c r="OTE55" s="15"/>
      <c r="OTF55" s="15"/>
      <c r="OTG55" s="15"/>
      <c r="OTH55" s="15"/>
      <c r="OTI55" s="15"/>
      <c r="OTJ55" s="15"/>
      <c r="OTK55" s="15"/>
      <c r="OTL55" s="15"/>
      <c r="OTM55" s="15"/>
      <c r="OTN55" s="15"/>
      <c r="OTO55" s="15"/>
      <c r="OTP55" s="15"/>
      <c r="OTQ55" s="15"/>
      <c r="OTR55" s="15"/>
      <c r="OTS55" s="15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15"/>
      <c r="OUF55" s="15"/>
      <c r="OUG55" s="15"/>
      <c r="OUH55" s="15"/>
      <c r="OUI55" s="15"/>
      <c r="OUJ55" s="15"/>
      <c r="OUK55" s="15"/>
      <c r="OUL55" s="15"/>
      <c r="OUM55" s="15"/>
      <c r="OUN55" s="15"/>
      <c r="OUO55" s="15"/>
      <c r="OUP55" s="15"/>
      <c r="OUQ55" s="15"/>
      <c r="OUR55" s="15"/>
      <c r="OUS55" s="15"/>
      <c r="OUT55" s="15"/>
      <c r="OUU55" s="15"/>
      <c r="OUV55" s="15"/>
      <c r="OUW55" s="15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15"/>
      <c r="OVJ55" s="15"/>
      <c r="OVK55" s="15"/>
      <c r="OVL55" s="15"/>
      <c r="OVM55" s="15"/>
      <c r="OVN55" s="15"/>
      <c r="OVO55" s="15"/>
      <c r="OVP55" s="15"/>
      <c r="OVQ55" s="15"/>
      <c r="OVR55" s="15"/>
      <c r="OVS55" s="15"/>
      <c r="OVT55" s="15"/>
      <c r="OVU55" s="15"/>
      <c r="OVV55" s="15"/>
      <c r="OVW55" s="15"/>
      <c r="OVX55" s="15"/>
      <c r="OVY55" s="15"/>
      <c r="OVZ55" s="15"/>
      <c r="OWA55" s="15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15"/>
      <c r="OWN55" s="15"/>
      <c r="OWO55" s="15"/>
      <c r="OWP55" s="15"/>
      <c r="OWQ55" s="15"/>
      <c r="OWR55" s="15"/>
      <c r="OWS55" s="15"/>
      <c r="OWT55" s="15"/>
      <c r="OWU55" s="15"/>
      <c r="OWV55" s="15"/>
      <c r="OWW55" s="15"/>
      <c r="OWX55" s="15"/>
      <c r="OWY55" s="15"/>
      <c r="OWZ55" s="15"/>
      <c r="OXA55" s="15"/>
      <c r="OXB55" s="15"/>
      <c r="OXC55" s="15"/>
      <c r="OXD55" s="15"/>
      <c r="OXE55" s="15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15"/>
      <c r="OXR55" s="15"/>
      <c r="OXS55" s="15"/>
      <c r="OXT55" s="15"/>
      <c r="OXU55" s="15"/>
      <c r="OXV55" s="15"/>
      <c r="OXW55" s="15"/>
      <c r="OXX55" s="15"/>
      <c r="OXY55" s="15"/>
      <c r="OXZ55" s="15"/>
      <c r="OYA55" s="15"/>
      <c r="OYB55" s="15"/>
      <c r="OYC55" s="15"/>
      <c r="OYD55" s="15"/>
      <c r="OYE55" s="15"/>
      <c r="OYF55" s="15"/>
      <c r="OYG55" s="15"/>
      <c r="OYH55" s="15"/>
      <c r="OYI55" s="15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15"/>
      <c r="OYV55" s="15"/>
      <c r="OYW55" s="15"/>
      <c r="OYX55" s="15"/>
      <c r="OYY55" s="15"/>
      <c r="OYZ55" s="15"/>
      <c r="OZA55" s="15"/>
      <c r="OZB55" s="15"/>
      <c r="OZC55" s="15"/>
      <c r="OZD55" s="15"/>
      <c r="OZE55" s="15"/>
      <c r="OZF55" s="15"/>
      <c r="OZG55" s="15"/>
      <c r="OZH55" s="15"/>
      <c r="OZI55" s="15"/>
      <c r="OZJ55" s="15"/>
      <c r="OZK55" s="15"/>
      <c r="OZL55" s="15"/>
      <c r="OZM55" s="15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15"/>
      <c r="OZZ55" s="15"/>
      <c r="PAA55" s="15"/>
      <c r="PAB55" s="15"/>
      <c r="PAC55" s="15"/>
      <c r="PAD55" s="15"/>
      <c r="PAE55" s="15"/>
      <c r="PAF55" s="15"/>
      <c r="PAG55" s="15"/>
      <c r="PAH55" s="15"/>
      <c r="PAI55" s="15"/>
      <c r="PAJ55" s="15"/>
      <c r="PAK55" s="15"/>
      <c r="PAL55" s="15"/>
      <c r="PAM55" s="15"/>
      <c r="PAN55" s="15"/>
      <c r="PAO55" s="15"/>
      <c r="PAP55" s="15"/>
      <c r="PAQ55" s="15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15"/>
      <c r="PBD55" s="15"/>
      <c r="PBE55" s="15"/>
      <c r="PBF55" s="15"/>
      <c r="PBG55" s="15"/>
      <c r="PBH55" s="15"/>
      <c r="PBI55" s="15"/>
      <c r="PBJ55" s="15"/>
      <c r="PBK55" s="15"/>
      <c r="PBL55" s="15"/>
      <c r="PBM55" s="15"/>
      <c r="PBN55" s="15"/>
      <c r="PBO55" s="15"/>
      <c r="PBP55" s="15"/>
      <c r="PBQ55" s="15"/>
      <c r="PBR55" s="15"/>
      <c r="PBS55" s="15"/>
      <c r="PBT55" s="15"/>
      <c r="PBU55" s="15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15"/>
      <c r="PCH55" s="15"/>
      <c r="PCI55" s="15"/>
      <c r="PCJ55" s="15"/>
      <c r="PCK55" s="15"/>
      <c r="PCL55" s="15"/>
      <c r="PCM55" s="15"/>
      <c r="PCN55" s="15"/>
      <c r="PCO55" s="15"/>
      <c r="PCP55" s="15"/>
      <c r="PCQ55" s="15"/>
      <c r="PCR55" s="15"/>
      <c r="PCS55" s="15"/>
      <c r="PCT55" s="15"/>
      <c r="PCU55" s="15"/>
      <c r="PCV55" s="15"/>
      <c r="PCW55" s="15"/>
      <c r="PCX55" s="15"/>
      <c r="PCY55" s="15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15"/>
      <c r="PDL55" s="15"/>
      <c r="PDM55" s="15"/>
      <c r="PDN55" s="15"/>
      <c r="PDO55" s="15"/>
      <c r="PDP55" s="15"/>
      <c r="PDQ55" s="15"/>
      <c r="PDR55" s="15"/>
      <c r="PDS55" s="15"/>
      <c r="PDT55" s="15"/>
      <c r="PDU55" s="15"/>
      <c r="PDV55" s="15"/>
      <c r="PDW55" s="15"/>
      <c r="PDX55" s="15"/>
      <c r="PDY55" s="15"/>
      <c r="PDZ55" s="15"/>
      <c r="PEA55" s="15"/>
      <c r="PEB55" s="15"/>
      <c r="PEC55" s="15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15"/>
      <c r="PEP55" s="15"/>
      <c r="PEQ55" s="15"/>
      <c r="PER55" s="15"/>
      <c r="PES55" s="15"/>
      <c r="PET55" s="15"/>
      <c r="PEU55" s="15"/>
      <c r="PEV55" s="15"/>
      <c r="PEW55" s="15"/>
      <c r="PEX55" s="15"/>
      <c r="PEY55" s="15"/>
      <c r="PEZ55" s="15"/>
      <c r="PFA55" s="15"/>
      <c r="PFB55" s="15"/>
      <c r="PFC55" s="15"/>
      <c r="PFD55" s="15"/>
      <c r="PFE55" s="15"/>
      <c r="PFF55" s="15"/>
      <c r="PFG55" s="15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15"/>
      <c r="PFT55" s="15"/>
      <c r="PFU55" s="15"/>
      <c r="PFV55" s="15"/>
      <c r="PFW55" s="15"/>
      <c r="PFX55" s="15"/>
      <c r="PFY55" s="15"/>
      <c r="PFZ55" s="15"/>
      <c r="PGA55" s="15"/>
      <c r="PGB55" s="15"/>
      <c r="PGC55" s="15"/>
      <c r="PGD55" s="15"/>
      <c r="PGE55" s="15"/>
      <c r="PGF55" s="15"/>
      <c r="PGG55" s="15"/>
      <c r="PGH55" s="15"/>
      <c r="PGI55" s="15"/>
      <c r="PGJ55" s="15"/>
      <c r="PGK55" s="15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15"/>
      <c r="PGX55" s="15"/>
      <c r="PGY55" s="15"/>
      <c r="PGZ55" s="15"/>
      <c r="PHA55" s="15"/>
      <c r="PHB55" s="15"/>
      <c r="PHC55" s="15"/>
      <c r="PHD55" s="15"/>
      <c r="PHE55" s="15"/>
      <c r="PHF55" s="15"/>
      <c r="PHG55" s="15"/>
      <c r="PHH55" s="15"/>
      <c r="PHI55" s="15"/>
      <c r="PHJ55" s="15"/>
      <c r="PHK55" s="15"/>
      <c r="PHL55" s="15"/>
      <c r="PHM55" s="15"/>
      <c r="PHN55" s="15"/>
      <c r="PHO55" s="15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15"/>
      <c r="PIB55" s="15"/>
      <c r="PIC55" s="15"/>
      <c r="PID55" s="15"/>
      <c r="PIE55" s="15"/>
      <c r="PIF55" s="15"/>
      <c r="PIG55" s="15"/>
      <c r="PIH55" s="15"/>
      <c r="PII55" s="15"/>
      <c r="PIJ55" s="15"/>
      <c r="PIK55" s="15"/>
      <c r="PIL55" s="15"/>
      <c r="PIM55" s="15"/>
      <c r="PIN55" s="15"/>
      <c r="PIO55" s="15"/>
      <c r="PIP55" s="15"/>
      <c r="PIQ55" s="15"/>
      <c r="PIR55" s="15"/>
      <c r="PIS55" s="15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15"/>
      <c r="PJF55" s="15"/>
      <c r="PJG55" s="15"/>
      <c r="PJH55" s="15"/>
      <c r="PJI55" s="15"/>
      <c r="PJJ55" s="15"/>
      <c r="PJK55" s="15"/>
      <c r="PJL55" s="15"/>
      <c r="PJM55" s="15"/>
      <c r="PJN55" s="15"/>
      <c r="PJO55" s="15"/>
      <c r="PJP55" s="15"/>
      <c r="PJQ55" s="15"/>
      <c r="PJR55" s="15"/>
      <c r="PJS55" s="15"/>
      <c r="PJT55" s="15"/>
      <c r="PJU55" s="15"/>
      <c r="PJV55" s="15"/>
      <c r="PJW55" s="15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15"/>
      <c r="PKJ55" s="15"/>
      <c r="PKK55" s="15"/>
      <c r="PKL55" s="15"/>
      <c r="PKM55" s="15"/>
      <c r="PKN55" s="15"/>
      <c r="PKO55" s="15"/>
      <c r="PKP55" s="15"/>
      <c r="PKQ55" s="15"/>
      <c r="PKR55" s="15"/>
      <c r="PKS55" s="15"/>
      <c r="PKT55" s="15"/>
      <c r="PKU55" s="15"/>
      <c r="PKV55" s="15"/>
      <c r="PKW55" s="15"/>
      <c r="PKX55" s="15"/>
      <c r="PKY55" s="15"/>
      <c r="PKZ55" s="15"/>
      <c r="PLA55" s="15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15"/>
      <c r="PLN55" s="15"/>
      <c r="PLO55" s="15"/>
      <c r="PLP55" s="15"/>
      <c r="PLQ55" s="15"/>
      <c r="PLR55" s="15"/>
      <c r="PLS55" s="15"/>
      <c r="PLT55" s="15"/>
      <c r="PLU55" s="15"/>
      <c r="PLV55" s="15"/>
      <c r="PLW55" s="15"/>
      <c r="PLX55" s="15"/>
      <c r="PLY55" s="15"/>
      <c r="PLZ55" s="15"/>
      <c r="PMA55" s="15"/>
      <c r="PMB55" s="15"/>
      <c r="PMC55" s="15"/>
      <c r="PMD55" s="15"/>
      <c r="PME55" s="15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15"/>
      <c r="PMR55" s="15"/>
      <c r="PMS55" s="15"/>
      <c r="PMT55" s="15"/>
      <c r="PMU55" s="15"/>
      <c r="PMV55" s="15"/>
      <c r="PMW55" s="15"/>
      <c r="PMX55" s="15"/>
      <c r="PMY55" s="15"/>
      <c r="PMZ55" s="15"/>
      <c r="PNA55" s="15"/>
      <c r="PNB55" s="15"/>
      <c r="PNC55" s="15"/>
      <c r="PND55" s="15"/>
      <c r="PNE55" s="15"/>
      <c r="PNF55" s="15"/>
      <c r="PNG55" s="15"/>
      <c r="PNH55" s="15"/>
      <c r="PNI55" s="15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15"/>
      <c r="PNV55" s="15"/>
      <c r="PNW55" s="15"/>
      <c r="PNX55" s="15"/>
      <c r="PNY55" s="15"/>
      <c r="PNZ55" s="15"/>
      <c r="POA55" s="15"/>
      <c r="POB55" s="15"/>
      <c r="POC55" s="15"/>
      <c r="POD55" s="15"/>
      <c r="POE55" s="15"/>
      <c r="POF55" s="15"/>
      <c r="POG55" s="15"/>
      <c r="POH55" s="15"/>
      <c r="POI55" s="15"/>
      <c r="POJ55" s="15"/>
      <c r="POK55" s="15"/>
      <c r="POL55" s="15"/>
      <c r="POM55" s="15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15"/>
      <c r="POZ55" s="15"/>
      <c r="PPA55" s="15"/>
      <c r="PPB55" s="15"/>
      <c r="PPC55" s="15"/>
      <c r="PPD55" s="15"/>
      <c r="PPE55" s="15"/>
      <c r="PPF55" s="15"/>
      <c r="PPG55" s="15"/>
      <c r="PPH55" s="15"/>
      <c r="PPI55" s="15"/>
      <c r="PPJ55" s="15"/>
      <c r="PPK55" s="15"/>
      <c r="PPL55" s="15"/>
      <c r="PPM55" s="15"/>
      <c r="PPN55" s="15"/>
      <c r="PPO55" s="15"/>
      <c r="PPP55" s="15"/>
      <c r="PPQ55" s="15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15"/>
      <c r="PQD55" s="15"/>
      <c r="PQE55" s="15"/>
      <c r="PQF55" s="15"/>
      <c r="PQG55" s="15"/>
      <c r="PQH55" s="15"/>
      <c r="PQI55" s="15"/>
      <c r="PQJ55" s="15"/>
      <c r="PQK55" s="15"/>
      <c r="PQL55" s="15"/>
      <c r="PQM55" s="15"/>
      <c r="PQN55" s="15"/>
      <c r="PQO55" s="15"/>
      <c r="PQP55" s="15"/>
      <c r="PQQ55" s="15"/>
      <c r="PQR55" s="15"/>
      <c r="PQS55" s="15"/>
      <c r="PQT55" s="15"/>
      <c r="PQU55" s="15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15"/>
      <c r="PRH55" s="15"/>
      <c r="PRI55" s="15"/>
      <c r="PRJ55" s="15"/>
      <c r="PRK55" s="15"/>
      <c r="PRL55" s="15"/>
      <c r="PRM55" s="15"/>
      <c r="PRN55" s="15"/>
      <c r="PRO55" s="15"/>
      <c r="PRP55" s="15"/>
      <c r="PRQ55" s="15"/>
      <c r="PRR55" s="15"/>
      <c r="PRS55" s="15"/>
      <c r="PRT55" s="15"/>
      <c r="PRU55" s="15"/>
      <c r="PRV55" s="15"/>
      <c r="PRW55" s="15"/>
      <c r="PRX55" s="15"/>
      <c r="PRY55" s="15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15"/>
      <c r="PSL55" s="15"/>
      <c r="PSM55" s="15"/>
      <c r="PSN55" s="15"/>
      <c r="PSO55" s="15"/>
      <c r="PSP55" s="15"/>
      <c r="PSQ55" s="15"/>
      <c r="PSR55" s="15"/>
      <c r="PSS55" s="15"/>
      <c r="PST55" s="15"/>
      <c r="PSU55" s="15"/>
      <c r="PSV55" s="15"/>
      <c r="PSW55" s="15"/>
      <c r="PSX55" s="15"/>
      <c r="PSY55" s="15"/>
      <c r="PSZ55" s="15"/>
      <c r="PTA55" s="15"/>
      <c r="PTB55" s="15"/>
      <c r="PTC55" s="15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15"/>
      <c r="PTP55" s="15"/>
      <c r="PTQ55" s="15"/>
      <c r="PTR55" s="15"/>
      <c r="PTS55" s="15"/>
      <c r="PTT55" s="15"/>
      <c r="PTU55" s="15"/>
      <c r="PTV55" s="15"/>
      <c r="PTW55" s="15"/>
      <c r="PTX55" s="15"/>
      <c r="PTY55" s="15"/>
      <c r="PTZ55" s="15"/>
      <c r="PUA55" s="15"/>
      <c r="PUB55" s="15"/>
      <c r="PUC55" s="15"/>
      <c r="PUD55" s="15"/>
      <c r="PUE55" s="15"/>
      <c r="PUF55" s="15"/>
      <c r="PUG55" s="15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15"/>
      <c r="PUT55" s="15"/>
      <c r="PUU55" s="15"/>
      <c r="PUV55" s="15"/>
      <c r="PUW55" s="15"/>
      <c r="PUX55" s="15"/>
      <c r="PUY55" s="15"/>
      <c r="PUZ55" s="15"/>
      <c r="PVA55" s="15"/>
      <c r="PVB55" s="15"/>
      <c r="PVC55" s="15"/>
      <c r="PVD55" s="15"/>
      <c r="PVE55" s="15"/>
      <c r="PVF55" s="15"/>
      <c r="PVG55" s="15"/>
      <c r="PVH55" s="15"/>
      <c r="PVI55" s="15"/>
      <c r="PVJ55" s="15"/>
      <c r="PVK55" s="15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15"/>
      <c r="PVX55" s="15"/>
      <c r="PVY55" s="15"/>
      <c r="PVZ55" s="15"/>
      <c r="PWA55" s="15"/>
      <c r="PWB55" s="15"/>
      <c r="PWC55" s="15"/>
      <c r="PWD55" s="15"/>
      <c r="PWE55" s="15"/>
      <c r="PWF55" s="15"/>
      <c r="PWG55" s="15"/>
      <c r="PWH55" s="15"/>
      <c r="PWI55" s="15"/>
      <c r="PWJ55" s="15"/>
      <c r="PWK55" s="15"/>
      <c r="PWL55" s="15"/>
      <c r="PWM55" s="15"/>
      <c r="PWN55" s="15"/>
      <c r="PWO55" s="15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15"/>
      <c r="PXB55" s="15"/>
      <c r="PXC55" s="15"/>
      <c r="PXD55" s="15"/>
      <c r="PXE55" s="15"/>
      <c r="PXF55" s="15"/>
      <c r="PXG55" s="15"/>
      <c r="PXH55" s="15"/>
      <c r="PXI55" s="15"/>
      <c r="PXJ55" s="15"/>
      <c r="PXK55" s="15"/>
      <c r="PXL55" s="15"/>
      <c r="PXM55" s="15"/>
      <c r="PXN55" s="15"/>
      <c r="PXO55" s="15"/>
      <c r="PXP55" s="15"/>
      <c r="PXQ55" s="15"/>
      <c r="PXR55" s="15"/>
      <c r="PXS55" s="15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15"/>
      <c r="PYF55" s="15"/>
      <c r="PYG55" s="15"/>
      <c r="PYH55" s="15"/>
      <c r="PYI55" s="15"/>
      <c r="PYJ55" s="15"/>
      <c r="PYK55" s="15"/>
      <c r="PYL55" s="15"/>
      <c r="PYM55" s="15"/>
      <c r="PYN55" s="15"/>
      <c r="PYO55" s="15"/>
      <c r="PYP55" s="15"/>
      <c r="PYQ55" s="15"/>
      <c r="PYR55" s="15"/>
      <c r="PYS55" s="15"/>
      <c r="PYT55" s="15"/>
      <c r="PYU55" s="15"/>
      <c r="PYV55" s="15"/>
      <c r="PYW55" s="15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15"/>
      <c r="PZJ55" s="15"/>
      <c r="PZK55" s="15"/>
      <c r="PZL55" s="15"/>
      <c r="PZM55" s="15"/>
      <c r="PZN55" s="15"/>
      <c r="PZO55" s="15"/>
      <c r="PZP55" s="15"/>
      <c r="PZQ55" s="15"/>
      <c r="PZR55" s="15"/>
      <c r="PZS55" s="15"/>
      <c r="PZT55" s="15"/>
      <c r="PZU55" s="15"/>
      <c r="PZV55" s="15"/>
      <c r="PZW55" s="15"/>
      <c r="PZX55" s="15"/>
      <c r="PZY55" s="15"/>
      <c r="PZZ55" s="15"/>
      <c r="QAA55" s="15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15"/>
      <c r="QAN55" s="15"/>
      <c r="QAO55" s="15"/>
      <c r="QAP55" s="15"/>
      <c r="QAQ55" s="15"/>
      <c r="QAR55" s="15"/>
      <c r="QAS55" s="15"/>
      <c r="QAT55" s="15"/>
      <c r="QAU55" s="15"/>
      <c r="QAV55" s="15"/>
      <c r="QAW55" s="15"/>
      <c r="QAX55" s="15"/>
      <c r="QAY55" s="15"/>
      <c r="QAZ55" s="15"/>
      <c r="QBA55" s="15"/>
      <c r="QBB55" s="15"/>
      <c r="QBC55" s="15"/>
      <c r="QBD55" s="15"/>
      <c r="QBE55" s="15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15"/>
      <c r="QBR55" s="15"/>
      <c r="QBS55" s="15"/>
      <c r="QBT55" s="15"/>
      <c r="QBU55" s="15"/>
      <c r="QBV55" s="15"/>
      <c r="QBW55" s="15"/>
      <c r="QBX55" s="15"/>
      <c r="QBY55" s="15"/>
      <c r="QBZ55" s="15"/>
      <c r="QCA55" s="15"/>
      <c r="QCB55" s="15"/>
      <c r="QCC55" s="15"/>
      <c r="QCD55" s="15"/>
      <c r="QCE55" s="15"/>
      <c r="QCF55" s="15"/>
      <c r="QCG55" s="15"/>
      <c r="QCH55" s="15"/>
      <c r="QCI55" s="15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15"/>
      <c r="QCV55" s="15"/>
      <c r="QCW55" s="15"/>
      <c r="QCX55" s="15"/>
      <c r="QCY55" s="15"/>
      <c r="QCZ55" s="15"/>
      <c r="QDA55" s="15"/>
      <c r="QDB55" s="15"/>
      <c r="QDC55" s="15"/>
      <c r="QDD55" s="15"/>
      <c r="QDE55" s="15"/>
      <c r="QDF55" s="15"/>
      <c r="QDG55" s="15"/>
      <c r="QDH55" s="15"/>
      <c r="QDI55" s="15"/>
      <c r="QDJ55" s="15"/>
      <c r="QDK55" s="15"/>
      <c r="QDL55" s="15"/>
      <c r="QDM55" s="15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15"/>
      <c r="QDZ55" s="15"/>
      <c r="QEA55" s="15"/>
      <c r="QEB55" s="15"/>
      <c r="QEC55" s="15"/>
      <c r="QED55" s="15"/>
      <c r="QEE55" s="15"/>
      <c r="QEF55" s="15"/>
      <c r="QEG55" s="15"/>
      <c r="QEH55" s="15"/>
      <c r="QEI55" s="15"/>
      <c r="QEJ55" s="15"/>
      <c r="QEK55" s="15"/>
      <c r="QEL55" s="15"/>
      <c r="QEM55" s="15"/>
      <c r="QEN55" s="15"/>
      <c r="QEO55" s="15"/>
      <c r="QEP55" s="15"/>
      <c r="QEQ55" s="15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15"/>
      <c r="QFD55" s="15"/>
      <c r="QFE55" s="15"/>
      <c r="QFF55" s="15"/>
      <c r="QFG55" s="15"/>
      <c r="QFH55" s="15"/>
      <c r="QFI55" s="15"/>
      <c r="QFJ55" s="15"/>
      <c r="QFK55" s="15"/>
      <c r="QFL55" s="15"/>
      <c r="QFM55" s="15"/>
      <c r="QFN55" s="15"/>
      <c r="QFO55" s="15"/>
      <c r="QFP55" s="15"/>
      <c r="QFQ55" s="15"/>
      <c r="QFR55" s="15"/>
      <c r="QFS55" s="15"/>
      <c r="QFT55" s="15"/>
      <c r="QFU55" s="15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15"/>
      <c r="QGH55" s="15"/>
      <c r="QGI55" s="15"/>
      <c r="QGJ55" s="15"/>
      <c r="QGK55" s="15"/>
      <c r="QGL55" s="15"/>
      <c r="QGM55" s="15"/>
      <c r="QGN55" s="15"/>
      <c r="QGO55" s="15"/>
      <c r="QGP55" s="15"/>
      <c r="QGQ55" s="15"/>
      <c r="QGR55" s="15"/>
      <c r="QGS55" s="15"/>
      <c r="QGT55" s="15"/>
      <c r="QGU55" s="15"/>
      <c r="QGV55" s="15"/>
      <c r="QGW55" s="15"/>
      <c r="QGX55" s="15"/>
      <c r="QGY55" s="15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15"/>
      <c r="QHL55" s="15"/>
      <c r="QHM55" s="15"/>
      <c r="QHN55" s="15"/>
      <c r="QHO55" s="15"/>
      <c r="QHP55" s="15"/>
      <c r="QHQ55" s="15"/>
      <c r="QHR55" s="15"/>
      <c r="QHS55" s="15"/>
      <c r="QHT55" s="15"/>
      <c r="QHU55" s="15"/>
      <c r="QHV55" s="15"/>
      <c r="QHW55" s="15"/>
      <c r="QHX55" s="15"/>
      <c r="QHY55" s="15"/>
      <c r="QHZ55" s="15"/>
      <c r="QIA55" s="15"/>
      <c r="QIB55" s="15"/>
      <c r="QIC55" s="15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15"/>
      <c r="QIP55" s="15"/>
      <c r="QIQ55" s="15"/>
      <c r="QIR55" s="15"/>
      <c r="QIS55" s="15"/>
      <c r="QIT55" s="15"/>
      <c r="QIU55" s="15"/>
      <c r="QIV55" s="15"/>
      <c r="QIW55" s="15"/>
      <c r="QIX55" s="15"/>
      <c r="QIY55" s="15"/>
      <c r="QIZ55" s="15"/>
      <c r="QJA55" s="15"/>
      <c r="QJB55" s="15"/>
      <c r="QJC55" s="15"/>
      <c r="QJD55" s="15"/>
      <c r="QJE55" s="15"/>
      <c r="QJF55" s="15"/>
      <c r="QJG55" s="15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15"/>
      <c r="QJT55" s="15"/>
      <c r="QJU55" s="15"/>
      <c r="QJV55" s="15"/>
      <c r="QJW55" s="15"/>
      <c r="QJX55" s="15"/>
      <c r="QJY55" s="15"/>
      <c r="QJZ55" s="15"/>
      <c r="QKA55" s="15"/>
      <c r="QKB55" s="15"/>
      <c r="QKC55" s="15"/>
      <c r="QKD55" s="15"/>
      <c r="QKE55" s="15"/>
      <c r="QKF55" s="15"/>
      <c r="QKG55" s="15"/>
      <c r="QKH55" s="15"/>
      <c r="QKI55" s="15"/>
      <c r="QKJ55" s="15"/>
      <c r="QKK55" s="15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15"/>
      <c r="QKX55" s="15"/>
      <c r="QKY55" s="15"/>
      <c r="QKZ55" s="15"/>
      <c r="QLA55" s="15"/>
      <c r="QLB55" s="15"/>
      <c r="QLC55" s="15"/>
      <c r="QLD55" s="15"/>
      <c r="QLE55" s="15"/>
      <c r="QLF55" s="15"/>
      <c r="QLG55" s="15"/>
      <c r="QLH55" s="15"/>
      <c r="QLI55" s="15"/>
      <c r="QLJ55" s="15"/>
      <c r="QLK55" s="15"/>
      <c r="QLL55" s="15"/>
      <c r="QLM55" s="15"/>
      <c r="QLN55" s="15"/>
      <c r="QLO55" s="15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15"/>
      <c r="QMB55" s="15"/>
      <c r="QMC55" s="15"/>
      <c r="QMD55" s="15"/>
      <c r="QME55" s="15"/>
      <c r="QMF55" s="15"/>
      <c r="QMG55" s="15"/>
      <c r="QMH55" s="15"/>
      <c r="QMI55" s="15"/>
      <c r="QMJ55" s="15"/>
      <c r="QMK55" s="15"/>
      <c r="QML55" s="15"/>
      <c r="QMM55" s="15"/>
      <c r="QMN55" s="15"/>
      <c r="QMO55" s="15"/>
      <c r="QMP55" s="15"/>
      <c r="QMQ55" s="15"/>
      <c r="QMR55" s="15"/>
      <c r="QMS55" s="15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15"/>
      <c r="QNF55" s="15"/>
      <c r="QNG55" s="15"/>
      <c r="QNH55" s="15"/>
      <c r="QNI55" s="15"/>
      <c r="QNJ55" s="15"/>
      <c r="QNK55" s="15"/>
      <c r="QNL55" s="15"/>
      <c r="QNM55" s="15"/>
      <c r="QNN55" s="15"/>
      <c r="QNO55" s="15"/>
      <c r="QNP55" s="15"/>
      <c r="QNQ55" s="15"/>
      <c r="QNR55" s="15"/>
      <c r="QNS55" s="15"/>
      <c r="QNT55" s="15"/>
      <c r="QNU55" s="15"/>
      <c r="QNV55" s="15"/>
      <c r="QNW55" s="15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15"/>
      <c r="QOJ55" s="15"/>
      <c r="QOK55" s="15"/>
      <c r="QOL55" s="15"/>
      <c r="QOM55" s="15"/>
      <c r="QON55" s="15"/>
      <c r="QOO55" s="15"/>
      <c r="QOP55" s="15"/>
      <c r="QOQ55" s="15"/>
      <c r="QOR55" s="15"/>
      <c r="QOS55" s="15"/>
      <c r="QOT55" s="15"/>
      <c r="QOU55" s="15"/>
      <c r="QOV55" s="15"/>
      <c r="QOW55" s="15"/>
      <c r="QOX55" s="15"/>
      <c r="QOY55" s="15"/>
      <c r="QOZ55" s="15"/>
      <c r="QPA55" s="15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15"/>
      <c r="QPN55" s="15"/>
      <c r="QPO55" s="15"/>
      <c r="QPP55" s="15"/>
      <c r="QPQ55" s="15"/>
      <c r="QPR55" s="15"/>
      <c r="QPS55" s="15"/>
      <c r="QPT55" s="15"/>
      <c r="QPU55" s="15"/>
      <c r="QPV55" s="15"/>
      <c r="QPW55" s="15"/>
      <c r="QPX55" s="15"/>
      <c r="QPY55" s="15"/>
      <c r="QPZ55" s="15"/>
      <c r="QQA55" s="15"/>
      <c r="QQB55" s="15"/>
      <c r="QQC55" s="15"/>
      <c r="QQD55" s="15"/>
      <c r="QQE55" s="15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15"/>
      <c r="QQR55" s="15"/>
      <c r="QQS55" s="15"/>
      <c r="QQT55" s="15"/>
      <c r="QQU55" s="15"/>
      <c r="QQV55" s="15"/>
      <c r="QQW55" s="15"/>
      <c r="QQX55" s="15"/>
      <c r="QQY55" s="15"/>
      <c r="QQZ55" s="15"/>
      <c r="QRA55" s="15"/>
      <c r="QRB55" s="15"/>
      <c r="QRC55" s="15"/>
      <c r="QRD55" s="15"/>
      <c r="QRE55" s="15"/>
      <c r="QRF55" s="15"/>
      <c r="QRG55" s="15"/>
      <c r="QRH55" s="15"/>
      <c r="QRI55" s="15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15"/>
      <c r="QRV55" s="15"/>
      <c r="QRW55" s="15"/>
      <c r="QRX55" s="15"/>
      <c r="QRY55" s="15"/>
      <c r="QRZ55" s="15"/>
      <c r="QSA55" s="15"/>
      <c r="QSB55" s="15"/>
      <c r="QSC55" s="15"/>
      <c r="QSD55" s="15"/>
      <c r="QSE55" s="15"/>
      <c r="QSF55" s="15"/>
      <c r="QSG55" s="15"/>
      <c r="QSH55" s="15"/>
      <c r="QSI55" s="15"/>
      <c r="QSJ55" s="15"/>
      <c r="QSK55" s="15"/>
      <c r="QSL55" s="15"/>
      <c r="QSM55" s="15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15"/>
      <c r="QSZ55" s="15"/>
      <c r="QTA55" s="15"/>
      <c r="QTB55" s="15"/>
      <c r="QTC55" s="15"/>
      <c r="QTD55" s="15"/>
      <c r="QTE55" s="15"/>
      <c r="QTF55" s="15"/>
      <c r="QTG55" s="15"/>
      <c r="QTH55" s="15"/>
      <c r="QTI55" s="15"/>
      <c r="QTJ55" s="15"/>
      <c r="QTK55" s="15"/>
      <c r="QTL55" s="15"/>
      <c r="QTM55" s="15"/>
      <c r="QTN55" s="15"/>
      <c r="QTO55" s="15"/>
      <c r="QTP55" s="15"/>
      <c r="QTQ55" s="15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15"/>
      <c r="QUD55" s="15"/>
      <c r="QUE55" s="15"/>
      <c r="QUF55" s="15"/>
      <c r="QUG55" s="15"/>
      <c r="QUH55" s="15"/>
      <c r="QUI55" s="15"/>
      <c r="QUJ55" s="15"/>
      <c r="QUK55" s="15"/>
      <c r="QUL55" s="15"/>
      <c r="QUM55" s="15"/>
      <c r="QUN55" s="15"/>
      <c r="QUO55" s="15"/>
      <c r="QUP55" s="15"/>
      <c r="QUQ55" s="15"/>
      <c r="QUR55" s="15"/>
      <c r="QUS55" s="15"/>
      <c r="QUT55" s="15"/>
      <c r="QUU55" s="15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15"/>
      <c r="QVH55" s="15"/>
      <c r="QVI55" s="15"/>
      <c r="QVJ55" s="15"/>
      <c r="QVK55" s="15"/>
      <c r="QVL55" s="15"/>
      <c r="QVM55" s="15"/>
      <c r="QVN55" s="15"/>
      <c r="QVO55" s="15"/>
      <c r="QVP55" s="15"/>
      <c r="QVQ55" s="15"/>
      <c r="QVR55" s="15"/>
      <c r="QVS55" s="15"/>
      <c r="QVT55" s="15"/>
      <c r="QVU55" s="15"/>
      <c r="QVV55" s="15"/>
      <c r="QVW55" s="15"/>
      <c r="QVX55" s="15"/>
      <c r="QVY55" s="15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15"/>
      <c r="QWL55" s="15"/>
      <c r="QWM55" s="15"/>
      <c r="QWN55" s="15"/>
      <c r="QWO55" s="15"/>
      <c r="QWP55" s="15"/>
      <c r="QWQ55" s="15"/>
      <c r="QWR55" s="15"/>
      <c r="QWS55" s="15"/>
      <c r="QWT55" s="15"/>
      <c r="QWU55" s="15"/>
      <c r="QWV55" s="15"/>
      <c r="QWW55" s="15"/>
      <c r="QWX55" s="15"/>
      <c r="QWY55" s="15"/>
      <c r="QWZ55" s="15"/>
      <c r="QXA55" s="15"/>
      <c r="QXB55" s="15"/>
      <c r="QXC55" s="15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15"/>
      <c r="QXP55" s="15"/>
      <c r="QXQ55" s="15"/>
      <c r="QXR55" s="15"/>
      <c r="QXS55" s="15"/>
      <c r="QXT55" s="15"/>
      <c r="QXU55" s="15"/>
      <c r="QXV55" s="15"/>
      <c r="QXW55" s="15"/>
      <c r="QXX55" s="15"/>
      <c r="QXY55" s="15"/>
      <c r="QXZ55" s="15"/>
      <c r="QYA55" s="15"/>
      <c r="QYB55" s="15"/>
      <c r="QYC55" s="15"/>
      <c r="QYD55" s="15"/>
      <c r="QYE55" s="15"/>
      <c r="QYF55" s="15"/>
      <c r="QYG55" s="15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15"/>
      <c r="QYT55" s="15"/>
      <c r="QYU55" s="15"/>
      <c r="QYV55" s="15"/>
      <c r="QYW55" s="15"/>
      <c r="QYX55" s="15"/>
      <c r="QYY55" s="15"/>
      <c r="QYZ55" s="15"/>
      <c r="QZA55" s="15"/>
      <c r="QZB55" s="15"/>
      <c r="QZC55" s="15"/>
      <c r="QZD55" s="15"/>
      <c r="QZE55" s="15"/>
      <c r="QZF55" s="15"/>
      <c r="QZG55" s="15"/>
      <c r="QZH55" s="15"/>
      <c r="QZI55" s="15"/>
      <c r="QZJ55" s="15"/>
      <c r="QZK55" s="15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15"/>
      <c r="QZX55" s="15"/>
      <c r="QZY55" s="15"/>
      <c r="QZZ55" s="15"/>
      <c r="RAA55" s="15"/>
      <c r="RAB55" s="15"/>
      <c r="RAC55" s="15"/>
      <c r="RAD55" s="15"/>
      <c r="RAE55" s="15"/>
      <c r="RAF55" s="15"/>
      <c r="RAG55" s="15"/>
      <c r="RAH55" s="15"/>
      <c r="RAI55" s="15"/>
      <c r="RAJ55" s="15"/>
      <c r="RAK55" s="15"/>
      <c r="RAL55" s="15"/>
      <c r="RAM55" s="15"/>
      <c r="RAN55" s="15"/>
      <c r="RAO55" s="15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15"/>
      <c r="RBB55" s="15"/>
      <c r="RBC55" s="15"/>
      <c r="RBD55" s="15"/>
      <c r="RBE55" s="15"/>
      <c r="RBF55" s="15"/>
      <c r="RBG55" s="15"/>
      <c r="RBH55" s="15"/>
      <c r="RBI55" s="15"/>
      <c r="RBJ55" s="15"/>
      <c r="RBK55" s="15"/>
      <c r="RBL55" s="15"/>
      <c r="RBM55" s="15"/>
      <c r="RBN55" s="15"/>
      <c r="RBO55" s="15"/>
      <c r="RBP55" s="15"/>
      <c r="RBQ55" s="15"/>
      <c r="RBR55" s="15"/>
      <c r="RBS55" s="15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15"/>
      <c r="RCF55" s="15"/>
      <c r="RCG55" s="15"/>
      <c r="RCH55" s="15"/>
      <c r="RCI55" s="15"/>
      <c r="RCJ55" s="15"/>
      <c r="RCK55" s="15"/>
      <c r="RCL55" s="15"/>
      <c r="RCM55" s="15"/>
      <c r="RCN55" s="15"/>
      <c r="RCO55" s="15"/>
      <c r="RCP55" s="15"/>
      <c r="RCQ55" s="15"/>
      <c r="RCR55" s="15"/>
      <c r="RCS55" s="15"/>
      <c r="RCT55" s="15"/>
      <c r="RCU55" s="15"/>
      <c r="RCV55" s="15"/>
      <c r="RCW55" s="15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15"/>
      <c r="RDJ55" s="15"/>
      <c r="RDK55" s="15"/>
      <c r="RDL55" s="15"/>
      <c r="RDM55" s="15"/>
      <c r="RDN55" s="15"/>
      <c r="RDO55" s="15"/>
      <c r="RDP55" s="15"/>
      <c r="RDQ55" s="15"/>
      <c r="RDR55" s="15"/>
      <c r="RDS55" s="15"/>
      <c r="RDT55" s="15"/>
      <c r="RDU55" s="15"/>
      <c r="RDV55" s="15"/>
      <c r="RDW55" s="15"/>
      <c r="RDX55" s="15"/>
      <c r="RDY55" s="15"/>
      <c r="RDZ55" s="15"/>
      <c r="REA55" s="15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15"/>
      <c r="REN55" s="15"/>
      <c r="REO55" s="15"/>
      <c r="REP55" s="15"/>
      <c r="REQ55" s="15"/>
      <c r="RER55" s="15"/>
      <c r="RES55" s="15"/>
      <c r="RET55" s="15"/>
      <c r="REU55" s="15"/>
      <c r="REV55" s="15"/>
      <c r="REW55" s="15"/>
      <c r="REX55" s="15"/>
      <c r="REY55" s="15"/>
      <c r="REZ55" s="15"/>
      <c r="RFA55" s="15"/>
      <c r="RFB55" s="15"/>
      <c r="RFC55" s="15"/>
      <c r="RFD55" s="15"/>
      <c r="RFE55" s="15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15"/>
      <c r="RFR55" s="15"/>
      <c r="RFS55" s="15"/>
      <c r="RFT55" s="15"/>
      <c r="RFU55" s="15"/>
      <c r="RFV55" s="15"/>
      <c r="RFW55" s="15"/>
      <c r="RFX55" s="15"/>
      <c r="RFY55" s="15"/>
      <c r="RFZ55" s="15"/>
      <c r="RGA55" s="15"/>
      <c r="RGB55" s="15"/>
      <c r="RGC55" s="15"/>
      <c r="RGD55" s="15"/>
      <c r="RGE55" s="15"/>
      <c r="RGF55" s="15"/>
      <c r="RGG55" s="15"/>
      <c r="RGH55" s="15"/>
      <c r="RGI55" s="15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15"/>
      <c r="RGV55" s="15"/>
      <c r="RGW55" s="15"/>
      <c r="RGX55" s="15"/>
      <c r="RGY55" s="15"/>
      <c r="RGZ55" s="15"/>
      <c r="RHA55" s="15"/>
      <c r="RHB55" s="15"/>
      <c r="RHC55" s="15"/>
      <c r="RHD55" s="15"/>
      <c r="RHE55" s="15"/>
      <c r="RHF55" s="15"/>
      <c r="RHG55" s="15"/>
      <c r="RHH55" s="15"/>
      <c r="RHI55" s="15"/>
      <c r="RHJ55" s="15"/>
      <c r="RHK55" s="15"/>
      <c r="RHL55" s="15"/>
      <c r="RHM55" s="15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15"/>
      <c r="RHZ55" s="15"/>
      <c r="RIA55" s="15"/>
      <c r="RIB55" s="15"/>
      <c r="RIC55" s="15"/>
      <c r="RID55" s="15"/>
      <c r="RIE55" s="15"/>
      <c r="RIF55" s="15"/>
      <c r="RIG55" s="15"/>
      <c r="RIH55" s="15"/>
      <c r="RII55" s="15"/>
      <c r="RIJ55" s="15"/>
      <c r="RIK55" s="15"/>
      <c r="RIL55" s="15"/>
      <c r="RIM55" s="15"/>
      <c r="RIN55" s="15"/>
      <c r="RIO55" s="15"/>
      <c r="RIP55" s="15"/>
      <c r="RIQ55" s="15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15"/>
      <c r="RJD55" s="15"/>
      <c r="RJE55" s="15"/>
      <c r="RJF55" s="15"/>
      <c r="RJG55" s="15"/>
      <c r="RJH55" s="15"/>
      <c r="RJI55" s="15"/>
      <c r="RJJ55" s="15"/>
      <c r="RJK55" s="15"/>
      <c r="RJL55" s="15"/>
      <c r="RJM55" s="15"/>
      <c r="RJN55" s="15"/>
      <c r="RJO55" s="15"/>
      <c r="RJP55" s="15"/>
      <c r="RJQ55" s="15"/>
      <c r="RJR55" s="15"/>
      <c r="RJS55" s="15"/>
      <c r="RJT55" s="15"/>
      <c r="RJU55" s="15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15"/>
      <c r="RKH55" s="15"/>
      <c r="RKI55" s="15"/>
      <c r="RKJ55" s="15"/>
      <c r="RKK55" s="15"/>
      <c r="RKL55" s="15"/>
      <c r="RKM55" s="15"/>
      <c r="RKN55" s="15"/>
      <c r="RKO55" s="15"/>
      <c r="RKP55" s="15"/>
      <c r="RKQ55" s="15"/>
      <c r="RKR55" s="15"/>
      <c r="RKS55" s="15"/>
      <c r="RKT55" s="15"/>
      <c r="RKU55" s="15"/>
      <c r="RKV55" s="15"/>
      <c r="RKW55" s="15"/>
      <c r="RKX55" s="15"/>
      <c r="RKY55" s="15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15"/>
      <c r="RLL55" s="15"/>
      <c r="RLM55" s="15"/>
      <c r="RLN55" s="15"/>
      <c r="RLO55" s="15"/>
      <c r="RLP55" s="15"/>
      <c r="RLQ55" s="15"/>
      <c r="RLR55" s="15"/>
      <c r="RLS55" s="15"/>
      <c r="RLT55" s="15"/>
      <c r="RLU55" s="15"/>
      <c r="RLV55" s="15"/>
      <c r="RLW55" s="15"/>
      <c r="RLX55" s="15"/>
      <c r="RLY55" s="15"/>
      <c r="RLZ55" s="15"/>
      <c r="RMA55" s="15"/>
      <c r="RMB55" s="15"/>
      <c r="RMC55" s="15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15"/>
      <c r="RMP55" s="15"/>
      <c r="RMQ55" s="15"/>
      <c r="RMR55" s="15"/>
      <c r="RMS55" s="15"/>
      <c r="RMT55" s="15"/>
      <c r="RMU55" s="15"/>
      <c r="RMV55" s="15"/>
      <c r="RMW55" s="15"/>
      <c r="RMX55" s="15"/>
      <c r="RMY55" s="15"/>
      <c r="RMZ55" s="15"/>
      <c r="RNA55" s="15"/>
      <c r="RNB55" s="15"/>
      <c r="RNC55" s="15"/>
      <c r="RND55" s="15"/>
      <c r="RNE55" s="15"/>
      <c r="RNF55" s="15"/>
      <c r="RNG55" s="15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15"/>
      <c r="RNT55" s="15"/>
      <c r="RNU55" s="15"/>
      <c r="RNV55" s="15"/>
      <c r="RNW55" s="15"/>
      <c r="RNX55" s="15"/>
      <c r="RNY55" s="15"/>
      <c r="RNZ55" s="15"/>
      <c r="ROA55" s="15"/>
      <c r="ROB55" s="15"/>
      <c r="ROC55" s="15"/>
      <c r="ROD55" s="15"/>
      <c r="ROE55" s="15"/>
      <c r="ROF55" s="15"/>
      <c r="ROG55" s="15"/>
      <c r="ROH55" s="15"/>
      <c r="ROI55" s="15"/>
      <c r="ROJ55" s="15"/>
      <c r="ROK55" s="15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15"/>
      <c r="ROX55" s="15"/>
      <c r="ROY55" s="15"/>
      <c r="ROZ55" s="15"/>
      <c r="RPA55" s="15"/>
      <c r="RPB55" s="15"/>
      <c r="RPC55" s="15"/>
      <c r="RPD55" s="15"/>
      <c r="RPE55" s="15"/>
      <c r="RPF55" s="15"/>
      <c r="RPG55" s="15"/>
      <c r="RPH55" s="15"/>
      <c r="RPI55" s="15"/>
      <c r="RPJ55" s="15"/>
      <c r="RPK55" s="15"/>
      <c r="RPL55" s="15"/>
      <c r="RPM55" s="15"/>
      <c r="RPN55" s="15"/>
      <c r="RPO55" s="15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15"/>
      <c r="RQB55" s="15"/>
      <c r="RQC55" s="15"/>
      <c r="RQD55" s="15"/>
      <c r="RQE55" s="15"/>
      <c r="RQF55" s="15"/>
      <c r="RQG55" s="15"/>
      <c r="RQH55" s="15"/>
      <c r="RQI55" s="15"/>
      <c r="RQJ55" s="15"/>
      <c r="RQK55" s="15"/>
      <c r="RQL55" s="15"/>
      <c r="RQM55" s="15"/>
      <c r="RQN55" s="15"/>
      <c r="RQO55" s="15"/>
      <c r="RQP55" s="15"/>
      <c r="RQQ55" s="15"/>
      <c r="RQR55" s="15"/>
      <c r="RQS55" s="15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15"/>
      <c r="RRF55" s="15"/>
      <c r="RRG55" s="15"/>
      <c r="RRH55" s="15"/>
      <c r="RRI55" s="15"/>
      <c r="RRJ55" s="15"/>
      <c r="RRK55" s="15"/>
      <c r="RRL55" s="15"/>
      <c r="RRM55" s="15"/>
      <c r="RRN55" s="15"/>
      <c r="RRO55" s="15"/>
      <c r="RRP55" s="15"/>
      <c r="RRQ55" s="15"/>
      <c r="RRR55" s="15"/>
      <c r="RRS55" s="15"/>
      <c r="RRT55" s="15"/>
      <c r="RRU55" s="15"/>
      <c r="RRV55" s="15"/>
      <c r="RRW55" s="15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15"/>
      <c r="RSJ55" s="15"/>
      <c r="RSK55" s="15"/>
      <c r="RSL55" s="15"/>
      <c r="RSM55" s="15"/>
      <c r="RSN55" s="15"/>
      <c r="RSO55" s="15"/>
      <c r="RSP55" s="15"/>
      <c r="RSQ55" s="15"/>
      <c r="RSR55" s="15"/>
      <c r="RSS55" s="15"/>
      <c r="RST55" s="15"/>
      <c r="RSU55" s="15"/>
      <c r="RSV55" s="15"/>
      <c r="RSW55" s="15"/>
      <c r="RSX55" s="15"/>
      <c r="RSY55" s="15"/>
      <c r="RSZ55" s="15"/>
      <c r="RTA55" s="15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15"/>
      <c r="RTN55" s="15"/>
      <c r="RTO55" s="15"/>
      <c r="RTP55" s="15"/>
      <c r="RTQ55" s="15"/>
      <c r="RTR55" s="15"/>
      <c r="RTS55" s="15"/>
      <c r="RTT55" s="15"/>
      <c r="RTU55" s="15"/>
      <c r="RTV55" s="15"/>
      <c r="RTW55" s="15"/>
      <c r="RTX55" s="15"/>
      <c r="RTY55" s="15"/>
      <c r="RTZ55" s="15"/>
      <c r="RUA55" s="15"/>
      <c r="RUB55" s="15"/>
      <c r="RUC55" s="15"/>
      <c r="RUD55" s="15"/>
      <c r="RUE55" s="15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15"/>
      <c r="RUR55" s="15"/>
      <c r="RUS55" s="15"/>
      <c r="RUT55" s="15"/>
      <c r="RUU55" s="15"/>
      <c r="RUV55" s="15"/>
      <c r="RUW55" s="15"/>
      <c r="RUX55" s="15"/>
      <c r="RUY55" s="15"/>
      <c r="RUZ55" s="15"/>
      <c r="RVA55" s="15"/>
      <c r="RVB55" s="15"/>
      <c r="RVC55" s="15"/>
      <c r="RVD55" s="15"/>
      <c r="RVE55" s="15"/>
      <c r="RVF55" s="15"/>
      <c r="RVG55" s="15"/>
      <c r="RVH55" s="15"/>
      <c r="RVI55" s="15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15"/>
      <c r="RVV55" s="15"/>
      <c r="RVW55" s="15"/>
      <c r="RVX55" s="15"/>
      <c r="RVY55" s="15"/>
      <c r="RVZ55" s="15"/>
      <c r="RWA55" s="15"/>
      <c r="RWB55" s="15"/>
      <c r="RWC55" s="15"/>
      <c r="RWD55" s="15"/>
      <c r="RWE55" s="15"/>
      <c r="RWF55" s="15"/>
      <c r="RWG55" s="15"/>
      <c r="RWH55" s="15"/>
      <c r="RWI55" s="15"/>
      <c r="RWJ55" s="15"/>
      <c r="RWK55" s="15"/>
      <c r="RWL55" s="15"/>
      <c r="RWM55" s="15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15"/>
      <c r="RWZ55" s="15"/>
      <c r="RXA55" s="15"/>
      <c r="RXB55" s="15"/>
      <c r="RXC55" s="15"/>
      <c r="RXD55" s="15"/>
      <c r="RXE55" s="15"/>
      <c r="RXF55" s="15"/>
      <c r="RXG55" s="15"/>
      <c r="RXH55" s="15"/>
      <c r="RXI55" s="15"/>
      <c r="RXJ55" s="15"/>
      <c r="RXK55" s="15"/>
      <c r="RXL55" s="15"/>
      <c r="RXM55" s="15"/>
      <c r="RXN55" s="15"/>
      <c r="RXO55" s="15"/>
      <c r="RXP55" s="15"/>
      <c r="RXQ55" s="15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15"/>
      <c r="RYD55" s="15"/>
      <c r="RYE55" s="15"/>
      <c r="RYF55" s="15"/>
      <c r="RYG55" s="15"/>
      <c r="RYH55" s="15"/>
      <c r="RYI55" s="15"/>
      <c r="RYJ55" s="15"/>
      <c r="RYK55" s="15"/>
      <c r="RYL55" s="15"/>
      <c r="RYM55" s="15"/>
      <c r="RYN55" s="15"/>
      <c r="RYO55" s="15"/>
      <c r="RYP55" s="15"/>
      <c r="RYQ55" s="15"/>
      <c r="RYR55" s="15"/>
      <c r="RYS55" s="15"/>
      <c r="RYT55" s="15"/>
      <c r="RYU55" s="15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15"/>
      <c r="RZH55" s="15"/>
      <c r="RZI55" s="15"/>
      <c r="RZJ55" s="15"/>
      <c r="RZK55" s="15"/>
      <c r="RZL55" s="15"/>
      <c r="RZM55" s="15"/>
      <c r="RZN55" s="15"/>
      <c r="RZO55" s="15"/>
      <c r="RZP55" s="15"/>
      <c r="RZQ55" s="15"/>
      <c r="RZR55" s="15"/>
      <c r="RZS55" s="15"/>
      <c r="RZT55" s="15"/>
      <c r="RZU55" s="15"/>
      <c r="RZV55" s="15"/>
      <c r="RZW55" s="15"/>
      <c r="RZX55" s="15"/>
      <c r="RZY55" s="15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15"/>
      <c r="SAL55" s="15"/>
      <c r="SAM55" s="15"/>
      <c r="SAN55" s="15"/>
      <c r="SAO55" s="15"/>
      <c r="SAP55" s="15"/>
      <c r="SAQ55" s="15"/>
      <c r="SAR55" s="15"/>
      <c r="SAS55" s="15"/>
      <c r="SAT55" s="15"/>
      <c r="SAU55" s="15"/>
      <c r="SAV55" s="15"/>
      <c r="SAW55" s="15"/>
      <c r="SAX55" s="15"/>
      <c r="SAY55" s="15"/>
      <c r="SAZ55" s="15"/>
      <c r="SBA55" s="15"/>
      <c r="SBB55" s="15"/>
      <c r="SBC55" s="15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15"/>
      <c r="SBP55" s="15"/>
      <c r="SBQ55" s="15"/>
      <c r="SBR55" s="15"/>
      <c r="SBS55" s="15"/>
      <c r="SBT55" s="15"/>
      <c r="SBU55" s="15"/>
      <c r="SBV55" s="15"/>
      <c r="SBW55" s="15"/>
      <c r="SBX55" s="15"/>
      <c r="SBY55" s="15"/>
      <c r="SBZ55" s="15"/>
      <c r="SCA55" s="15"/>
      <c r="SCB55" s="15"/>
      <c r="SCC55" s="15"/>
      <c r="SCD55" s="15"/>
      <c r="SCE55" s="15"/>
      <c r="SCF55" s="15"/>
      <c r="SCG55" s="15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15"/>
      <c r="SCT55" s="15"/>
      <c r="SCU55" s="15"/>
      <c r="SCV55" s="15"/>
      <c r="SCW55" s="15"/>
      <c r="SCX55" s="15"/>
      <c r="SCY55" s="15"/>
      <c r="SCZ55" s="15"/>
      <c r="SDA55" s="15"/>
      <c r="SDB55" s="15"/>
      <c r="SDC55" s="15"/>
      <c r="SDD55" s="15"/>
      <c r="SDE55" s="15"/>
      <c r="SDF55" s="15"/>
      <c r="SDG55" s="15"/>
      <c r="SDH55" s="15"/>
      <c r="SDI55" s="15"/>
      <c r="SDJ55" s="15"/>
      <c r="SDK55" s="15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15"/>
      <c r="SDX55" s="15"/>
      <c r="SDY55" s="15"/>
      <c r="SDZ55" s="15"/>
      <c r="SEA55" s="15"/>
      <c r="SEB55" s="15"/>
      <c r="SEC55" s="15"/>
      <c r="SED55" s="15"/>
      <c r="SEE55" s="15"/>
      <c r="SEF55" s="15"/>
      <c r="SEG55" s="15"/>
      <c r="SEH55" s="15"/>
      <c r="SEI55" s="15"/>
      <c r="SEJ55" s="15"/>
      <c r="SEK55" s="15"/>
      <c r="SEL55" s="15"/>
      <c r="SEM55" s="15"/>
      <c r="SEN55" s="15"/>
      <c r="SEO55" s="15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15"/>
      <c r="SFB55" s="15"/>
      <c r="SFC55" s="15"/>
      <c r="SFD55" s="15"/>
      <c r="SFE55" s="15"/>
      <c r="SFF55" s="15"/>
      <c r="SFG55" s="15"/>
      <c r="SFH55" s="15"/>
      <c r="SFI55" s="15"/>
      <c r="SFJ55" s="15"/>
      <c r="SFK55" s="15"/>
      <c r="SFL55" s="15"/>
      <c r="SFM55" s="15"/>
      <c r="SFN55" s="15"/>
      <c r="SFO55" s="15"/>
      <c r="SFP55" s="15"/>
      <c r="SFQ55" s="15"/>
      <c r="SFR55" s="15"/>
      <c r="SFS55" s="15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15"/>
      <c r="SGF55" s="15"/>
      <c r="SGG55" s="15"/>
      <c r="SGH55" s="15"/>
      <c r="SGI55" s="15"/>
      <c r="SGJ55" s="15"/>
      <c r="SGK55" s="15"/>
      <c r="SGL55" s="15"/>
      <c r="SGM55" s="15"/>
      <c r="SGN55" s="15"/>
      <c r="SGO55" s="15"/>
      <c r="SGP55" s="15"/>
      <c r="SGQ55" s="15"/>
      <c r="SGR55" s="15"/>
      <c r="SGS55" s="15"/>
      <c r="SGT55" s="15"/>
      <c r="SGU55" s="15"/>
      <c r="SGV55" s="15"/>
      <c r="SGW55" s="15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15"/>
      <c r="SHJ55" s="15"/>
      <c r="SHK55" s="15"/>
      <c r="SHL55" s="15"/>
      <c r="SHM55" s="15"/>
      <c r="SHN55" s="15"/>
      <c r="SHO55" s="15"/>
      <c r="SHP55" s="15"/>
      <c r="SHQ55" s="15"/>
      <c r="SHR55" s="15"/>
      <c r="SHS55" s="15"/>
      <c r="SHT55" s="15"/>
      <c r="SHU55" s="15"/>
      <c r="SHV55" s="15"/>
      <c r="SHW55" s="15"/>
      <c r="SHX55" s="15"/>
      <c r="SHY55" s="15"/>
      <c r="SHZ55" s="15"/>
      <c r="SIA55" s="15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15"/>
      <c r="SIN55" s="15"/>
      <c r="SIO55" s="15"/>
      <c r="SIP55" s="15"/>
      <c r="SIQ55" s="15"/>
      <c r="SIR55" s="15"/>
      <c r="SIS55" s="15"/>
      <c r="SIT55" s="15"/>
      <c r="SIU55" s="15"/>
      <c r="SIV55" s="15"/>
      <c r="SIW55" s="15"/>
      <c r="SIX55" s="15"/>
      <c r="SIY55" s="15"/>
      <c r="SIZ55" s="15"/>
      <c r="SJA55" s="15"/>
      <c r="SJB55" s="15"/>
      <c r="SJC55" s="15"/>
      <c r="SJD55" s="15"/>
      <c r="SJE55" s="15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15"/>
      <c r="SJR55" s="15"/>
      <c r="SJS55" s="15"/>
      <c r="SJT55" s="15"/>
      <c r="SJU55" s="15"/>
      <c r="SJV55" s="15"/>
      <c r="SJW55" s="15"/>
      <c r="SJX55" s="15"/>
      <c r="SJY55" s="15"/>
      <c r="SJZ55" s="15"/>
      <c r="SKA55" s="15"/>
      <c r="SKB55" s="15"/>
      <c r="SKC55" s="15"/>
      <c r="SKD55" s="15"/>
      <c r="SKE55" s="15"/>
      <c r="SKF55" s="15"/>
      <c r="SKG55" s="15"/>
      <c r="SKH55" s="15"/>
      <c r="SKI55" s="15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15"/>
      <c r="SKV55" s="15"/>
      <c r="SKW55" s="15"/>
      <c r="SKX55" s="15"/>
      <c r="SKY55" s="15"/>
      <c r="SKZ55" s="15"/>
      <c r="SLA55" s="15"/>
      <c r="SLB55" s="15"/>
      <c r="SLC55" s="15"/>
      <c r="SLD55" s="15"/>
      <c r="SLE55" s="15"/>
      <c r="SLF55" s="15"/>
      <c r="SLG55" s="15"/>
      <c r="SLH55" s="15"/>
      <c r="SLI55" s="15"/>
      <c r="SLJ55" s="15"/>
      <c r="SLK55" s="15"/>
      <c r="SLL55" s="15"/>
      <c r="SLM55" s="15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15"/>
      <c r="SLZ55" s="15"/>
      <c r="SMA55" s="15"/>
      <c r="SMB55" s="15"/>
      <c r="SMC55" s="15"/>
      <c r="SMD55" s="15"/>
      <c r="SME55" s="15"/>
      <c r="SMF55" s="15"/>
      <c r="SMG55" s="15"/>
      <c r="SMH55" s="15"/>
      <c r="SMI55" s="15"/>
      <c r="SMJ55" s="15"/>
      <c r="SMK55" s="15"/>
      <c r="SML55" s="15"/>
      <c r="SMM55" s="15"/>
      <c r="SMN55" s="15"/>
      <c r="SMO55" s="15"/>
      <c r="SMP55" s="15"/>
      <c r="SMQ55" s="15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15"/>
      <c r="SND55" s="15"/>
      <c r="SNE55" s="15"/>
      <c r="SNF55" s="15"/>
      <c r="SNG55" s="15"/>
      <c r="SNH55" s="15"/>
      <c r="SNI55" s="15"/>
      <c r="SNJ55" s="15"/>
      <c r="SNK55" s="15"/>
      <c r="SNL55" s="15"/>
      <c r="SNM55" s="15"/>
      <c r="SNN55" s="15"/>
      <c r="SNO55" s="15"/>
      <c r="SNP55" s="15"/>
      <c r="SNQ55" s="15"/>
      <c r="SNR55" s="15"/>
      <c r="SNS55" s="15"/>
      <c r="SNT55" s="15"/>
      <c r="SNU55" s="15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15"/>
      <c r="SOH55" s="15"/>
      <c r="SOI55" s="15"/>
      <c r="SOJ55" s="15"/>
      <c r="SOK55" s="15"/>
      <c r="SOL55" s="15"/>
      <c r="SOM55" s="15"/>
      <c r="SON55" s="15"/>
      <c r="SOO55" s="15"/>
      <c r="SOP55" s="15"/>
      <c r="SOQ55" s="15"/>
      <c r="SOR55" s="15"/>
      <c r="SOS55" s="15"/>
      <c r="SOT55" s="15"/>
      <c r="SOU55" s="15"/>
      <c r="SOV55" s="15"/>
      <c r="SOW55" s="15"/>
      <c r="SOX55" s="15"/>
      <c r="SOY55" s="15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15"/>
      <c r="SPL55" s="15"/>
      <c r="SPM55" s="15"/>
      <c r="SPN55" s="15"/>
      <c r="SPO55" s="15"/>
      <c r="SPP55" s="15"/>
      <c r="SPQ55" s="15"/>
      <c r="SPR55" s="15"/>
      <c r="SPS55" s="15"/>
      <c r="SPT55" s="15"/>
      <c r="SPU55" s="15"/>
      <c r="SPV55" s="15"/>
      <c r="SPW55" s="15"/>
      <c r="SPX55" s="15"/>
      <c r="SPY55" s="15"/>
      <c r="SPZ55" s="15"/>
      <c r="SQA55" s="15"/>
      <c r="SQB55" s="15"/>
      <c r="SQC55" s="15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15"/>
      <c r="SQP55" s="15"/>
      <c r="SQQ55" s="15"/>
      <c r="SQR55" s="15"/>
      <c r="SQS55" s="15"/>
      <c r="SQT55" s="15"/>
      <c r="SQU55" s="15"/>
      <c r="SQV55" s="15"/>
      <c r="SQW55" s="15"/>
      <c r="SQX55" s="15"/>
      <c r="SQY55" s="15"/>
      <c r="SQZ55" s="15"/>
      <c r="SRA55" s="15"/>
      <c r="SRB55" s="15"/>
      <c r="SRC55" s="15"/>
      <c r="SRD55" s="15"/>
      <c r="SRE55" s="15"/>
      <c r="SRF55" s="15"/>
      <c r="SRG55" s="15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15"/>
      <c r="SRT55" s="15"/>
      <c r="SRU55" s="15"/>
      <c r="SRV55" s="15"/>
      <c r="SRW55" s="15"/>
      <c r="SRX55" s="15"/>
      <c r="SRY55" s="15"/>
      <c r="SRZ55" s="15"/>
      <c r="SSA55" s="15"/>
      <c r="SSB55" s="15"/>
      <c r="SSC55" s="15"/>
      <c r="SSD55" s="15"/>
      <c r="SSE55" s="15"/>
      <c r="SSF55" s="15"/>
      <c r="SSG55" s="15"/>
      <c r="SSH55" s="15"/>
      <c r="SSI55" s="15"/>
      <c r="SSJ55" s="15"/>
      <c r="SSK55" s="15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15"/>
      <c r="SSX55" s="15"/>
      <c r="SSY55" s="15"/>
      <c r="SSZ55" s="15"/>
      <c r="STA55" s="15"/>
      <c r="STB55" s="15"/>
      <c r="STC55" s="15"/>
      <c r="STD55" s="15"/>
      <c r="STE55" s="15"/>
      <c r="STF55" s="15"/>
      <c r="STG55" s="15"/>
      <c r="STH55" s="15"/>
      <c r="STI55" s="15"/>
      <c r="STJ55" s="15"/>
      <c r="STK55" s="15"/>
      <c r="STL55" s="15"/>
      <c r="STM55" s="15"/>
      <c r="STN55" s="15"/>
      <c r="STO55" s="15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15"/>
      <c r="SUB55" s="15"/>
      <c r="SUC55" s="15"/>
      <c r="SUD55" s="15"/>
      <c r="SUE55" s="15"/>
      <c r="SUF55" s="15"/>
      <c r="SUG55" s="15"/>
      <c r="SUH55" s="15"/>
      <c r="SUI55" s="15"/>
      <c r="SUJ55" s="15"/>
      <c r="SUK55" s="15"/>
      <c r="SUL55" s="15"/>
      <c r="SUM55" s="15"/>
      <c r="SUN55" s="15"/>
      <c r="SUO55" s="15"/>
      <c r="SUP55" s="15"/>
      <c r="SUQ55" s="15"/>
      <c r="SUR55" s="15"/>
      <c r="SUS55" s="15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15"/>
      <c r="SVF55" s="15"/>
      <c r="SVG55" s="15"/>
      <c r="SVH55" s="15"/>
      <c r="SVI55" s="15"/>
      <c r="SVJ55" s="15"/>
      <c r="SVK55" s="15"/>
      <c r="SVL55" s="15"/>
      <c r="SVM55" s="15"/>
      <c r="SVN55" s="15"/>
      <c r="SVO55" s="15"/>
      <c r="SVP55" s="15"/>
      <c r="SVQ55" s="15"/>
      <c r="SVR55" s="15"/>
      <c r="SVS55" s="15"/>
      <c r="SVT55" s="15"/>
      <c r="SVU55" s="15"/>
      <c r="SVV55" s="15"/>
      <c r="SVW55" s="15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15"/>
      <c r="SWJ55" s="15"/>
      <c r="SWK55" s="15"/>
      <c r="SWL55" s="15"/>
      <c r="SWM55" s="15"/>
      <c r="SWN55" s="15"/>
      <c r="SWO55" s="15"/>
      <c r="SWP55" s="15"/>
      <c r="SWQ55" s="15"/>
      <c r="SWR55" s="15"/>
      <c r="SWS55" s="15"/>
      <c r="SWT55" s="15"/>
      <c r="SWU55" s="15"/>
      <c r="SWV55" s="15"/>
      <c r="SWW55" s="15"/>
      <c r="SWX55" s="15"/>
      <c r="SWY55" s="15"/>
      <c r="SWZ55" s="15"/>
      <c r="SXA55" s="15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15"/>
      <c r="SXN55" s="15"/>
      <c r="SXO55" s="15"/>
      <c r="SXP55" s="15"/>
      <c r="SXQ55" s="15"/>
      <c r="SXR55" s="15"/>
      <c r="SXS55" s="15"/>
      <c r="SXT55" s="15"/>
      <c r="SXU55" s="15"/>
      <c r="SXV55" s="15"/>
      <c r="SXW55" s="15"/>
      <c r="SXX55" s="15"/>
      <c r="SXY55" s="15"/>
      <c r="SXZ55" s="15"/>
      <c r="SYA55" s="15"/>
      <c r="SYB55" s="15"/>
      <c r="SYC55" s="15"/>
      <c r="SYD55" s="15"/>
      <c r="SYE55" s="15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15"/>
      <c r="SYR55" s="15"/>
      <c r="SYS55" s="15"/>
      <c r="SYT55" s="15"/>
      <c r="SYU55" s="15"/>
      <c r="SYV55" s="15"/>
      <c r="SYW55" s="15"/>
      <c r="SYX55" s="15"/>
      <c r="SYY55" s="15"/>
      <c r="SYZ55" s="15"/>
      <c r="SZA55" s="15"/>
      <c r="SZB55" s="15"/>
      <c r="SZC55" s="15"/>
      <c r="SZD55" s="15"/>
      <c r="SZE55" s="15"/>
      <c r="SZF55" s="15"/>
      <c r="SZG55" s="15"/>
      <c r="SZH55" s="15"/>
      <c r="SZI55" s="15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15"/>
      <c r="SZV55" s="15"/>
      <c r="SZW55" s="15"/>
      <c r="SZX55" s="15"/>
      <c r="SZY55" s="15"/>
      <c r="SZZ55" s="15"/>
      <c r="TAA55" s="15"/>
      <c r="TAB55" s="15"/>
      <c r="TAC55" s="15"/>
      <c r="TAD55" s="15"/>
      <c r="TAE55" s="15"/>
      <c r="TAF55" s="15"/>
      <c r="TAG55" s="15"/>
      <c r="TAH55" s="15"/>
      <c r="TAI55" s="15"/>
      <c r="TAJ55" s="15"/>
      <c r="TAK55" s="15"/>
      <c r="TAL55" s="15"/>
      <c r="TAM55" s="15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15"/>
      <c r="TAZ55" s="15"/>
      <c r="TBA55" s="15"/>
      <c r="TBB55" s="15"/>
      <c r="TBC55" s="15"/>
      <c r="TBD55" s="15"/>
      <c r="TBE55" s="15"/>
      <c r="TBF55" s="15"/>
      <c r="TBG55" s="15"/>
      <c r="TBH55" s="15"/>
      <c r="TBI55" s="15"/>
      <c r="TBJ55" s="15"/>
      <c r="TBK55" s="15"/>
      <c r="TBL55" s="15"/>
      <c r="TBM55" s="15"/>
      <c r="TBN55" s="15"/>
      <c r="TBO55" s="15"/>
      <c r="TBP55" s="15"/>
      <c r="TBQ55" s="15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15"/>
      <c r="TCD55" s="15"/>
      <c r="TCE55" s="15"/>
      <c r="TCF55" s="15"/>
      <c r="TCG55" s="15"/>
      <c r="TCH55" s="15"/>
      <c r="TCI55" s="15"/>
      <c r="TCJ55" s="15"/>
      <c r="TCK55" s="15"/>
      <c r="TCL55" s="15"/>
      <c r="TCM55" s="15"/>
      <c r="TCN55" s="15"/>
      <c r="TCO55" s="15"/>
      <c r="TCP55" s="15"/>
      <c r="TCQ55" s="15"/>
      <c r="TCR55" s="15"/>
      <c r="TCS55" s="15"/>
      <c r="TCT55" s="15"/>
      <c r="TCU55" s="15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15"/>
      <c r="TDH55" s="15"/>
      <c r="TDI55" s="15"/>
      <c r="TDJ55" s="15"/>
      <c r="TDK55" s="15"/>
      <c r="TDL55" s="15"/>
      <c r="TDM55" s="15"/>
      <c r="TDN55" s="15"/>
      <c r="TDO55" s="15"/>
      <c r="TDP55" s="15"/>
      <c r="TDQ55" s="15"/>
      <c r="TDR55" s="15"/>
      <c r="TDS55" s="15"/>
      <c r="TDT55" s="15"/>
      <c r="TDU55" s="15"/>
      <c r="TDV55" s="15"/>
      <c r="TDW55" s="15"/>
      <c r="TDX55" s="15"/>
      <c r="TDY55" s="15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15"/>
      <c r="TEL55" s="15"/>
      <c r="TEM55" s="15"/>
      <c r="TEN55" s="15"/>
      <c r="TEO55" s="15"/>
      <c r="TEP55" s="15"/>
      <c r="TEQ55" s="15"/>
      <c r="TER55" s="15"/>
      <c r="TES55" s="15"/>
      <c r="TET55" s="15"/>
      <c r="TEU55" s="15"/>
      <c r="TEV55" s="15"/>
      <c r="TEW55" s="15"/>
      <c r="TEX55" s="15"/>
      <c r="TEY55" s="15"/>
      <c r="TEZ55" s="15"/>
      <c r="TFA55" s="15"/>
      <c r="TFB55" s="15"/>
      <c r="TFC55" s="15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15"/>
      <c r="TFP55" s="15"/>
      <c r="TFQ55" s="15"/>
      <c r="TFR55" s="15"/>
      <c r="TFS55" s="15"/>
      <c r="TFT55" s="15"/>
      <c r="TFU55" s="15"/>
      <c r="TFV55" s="15"/>
      <c r="TFW55" s="15"/>
      <c r="TFX55" s="15"/>
      <c r="TFY55" s="15"/>
      <c r="TFZ55" s="15"/>
      <c r="TGA55" s="15"/>
      <c r="TGB55" s="15"/>
      <c r="TGC55" s="15"/>
      <c r="TGD55" s="15"/>
      <c r="TGE55" s="15"/>
      <c r="TGF55" s="15"/>
      <c r="TGG55" s="15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15"/>
      <c r="TGT55" s="15"/>
      <c r="TGU55" s="15"/>
      <c r="TGV55" s="15"/>
      <c r="TGW55" s="15"/>
      <c r="TGX55" s="15"/>
      <c r="TGY55" s="15"/>
      <c r="TGZ55" s="15"/>
      <c r="THA55" s="15"/>
      <c r="THB55" s="15"/>
      <c r="THC55" s="15"/>
      <c r="THD55" s="15"/>
      <c r="THE55" s="15"/>
      <c r="THF55" s="15"/>
      <c r="THG55" s="15"/>
      <c r="THH55" s="15"/>
      <c r="THI55" s="15"/>
      <c r="THJ55" s="15"/>
      <c r="THK55" s="15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15"/>
      <c r="THX55" s="15"/>
      <c r="THY55" s="15"/>
      <c r="THZ55" s="15"/>
      <c r="TIA55" s="15"/>
      <c r="TIB55" s="15"/>
      <c r="TIC55" s="15"/>
      <c r="TID55" s="15"/>
      <c r="TIE55" s="15"/>
      <c r="TIF55" s="15"/>
      <c r="TIG55" s="15"/>
      <c r="TIH55" s="15"/>
      <c r="TII55" s="15"/>
      <c r="TIJ55" s="15"/>
      <c r="TIK55" s="15"/>
      <c r="TIL55" s="15"/>
      <c r="TIM55" s="15"/>
      <c r="TIN55" s="15"/>
      <c r="TIO55" s="15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15"/>
      <c r="TJB55" s="15"/>
      <c r="TJC55" s="15"/>
      <c r="TJD55" s="15"/>
      <c r="TJE55" s="15"/>
      <c r="TJF55" s="15"/>
      <c r="TJG55" s="15"/>
      <c r="TJH55" s="15"/>
      <c r="TJI55" s="15"/>
      <c r="TJJ55" s="15"/>
      <c r="TJK55" s="15"/>
      <c r="TJL55" s="15"/>
      <c r="TJM55" s="15"/>
      <c r="TJN55" s="15"/>
      <c r="TJO55" s="15"/>
      <c r="TJP55" s="15"/>
      <c r="TJQ55" s="15"/>
      <c r="TJR55" s="15"/>
      <c r="TJS55" s="15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15"/>
      <c r="TKF55" s="15"/>
      <c r="TKG55" s="15"/>
      <c r="TKH55" s="15"/>
      <c r="TKI55" s="15"/>
      <c r="TKJ55" s="15"/>
      <c r="TKK55" s="15"/>
      <c r="TKL55" s="15"/>
      <c r="TKM55" s="15"/>
      <c r="TKN55" s="15"/>
      <c r="TKO55" s="15"/>
      <c r="TKP55" s="15"/>
      <c r="TKQ55" s="15"/>
      <c r="TKR55" s="15"/>
      <c r="TKS55" s="15"/>
      <c r="TKT55" s="15"/>
      <c r="TKU55" s="15"/>
      <c r="TKV55" s="15"/>
      <c r="TKW55" s="15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15"/>
      <c r="TLJ55" s="15"/>
      <c r="TLK55" s="15"/>
      <c r="TLL55" s="15"/>
      <c r="TLM55" s="15"/>
      <c r="TLN55" s="15"/>
      <c r="TLO55" s="15"/>
      <c r="TLP55" s="15"/>
      <c r="TLQ55" s="15"/>
      <c r="TLR55" s="15"/>
      <c r="TLS55" s="15"/>
      <c r="TLT55" s="15"/>
      <c r="TLU55" s="15"/>
      <c r="TLV55" s="15"/>
      <c r="TLW55" s="15"/>
      <c r="TLX55" s="15"/>
      <c r="TLY55" s="15"/>
      <c r="TLZ55" s="15"/>
      <c r="TMA55" s="15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15"/>
      <c r="TMN55" s="15"/>
      <c r="TMO55" s="15"/>
      <c r="TMP55" s="15"/>
      <c r="TMQ55" s="15"/>
      <c r="TMR55" s="15"/>
      <c r="TMS55" s="15"/>
      <c r="TMT55" s="15"/>
      <c r="TMU55" s="15"/>
      <c r="TMV55" s="15"/>
      <c r="TMW55" s="15"/>
      <c r="TMX55" s="15"/>
      <c r="TMY55" s="15"/>
      <c r="TMZ55" s="15"/>
      <c r="TNA55" s="15"/>
      <c r="TNB55" s="15"/>
      <c r="TNC55" s="15"/>
      <c r="TND55" s="15"/>
      <c r="TNE55" s="15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15"/>
      <c r="TNR55" s="15"/>
      <c r="TNS55" s="15"/>
      <c r="TNT55" s="15"/>
      <c r="TNU55" s="15"/>
      <c r="TNV55" s="15"/>
      <c r="TNW55" s="15"/>
      <c r="TNX55" s="15"/>
      <c r="TNY55" s="15"/>
      <c r="TNZ55" s="15"/>
      <c r="TOA55" s="15"/>
      <c r="TOB55" s="15"/>
      <c r="TOC55" s="15"/>
      <c r="TOD55" s="15"/>
      <c r="TOE55" s="15"/>
      <c r="TOF55" s="15"/>
      <c r="TOG55" s="15"/>
      <c r="TOH55" s="15"/>
      <c r="TOI55" s="15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15"/>
      <c r="TOV55" s="15"/>
      <c r="TOW55" s="15"/>
      <c r="TOX55" s="15"/>
      <c r="TOY55" s="15"/>
      <c r="TOZ55" s="15"/>
      <c r="TPA55" s="15"/>
      <c r="TPB55" s="15"/>
      <c r="TPC55" s="15"/>
      <c r="TPD55" s="15"/>
      <c r="TPE55" s="15"/>
      <c r="TPF55" s="15"/>
      <c r="TPG55" s="15"/>
      <c r="TPH55" s="15"/>
      <c r="TPI55" s="15"/>
      <c r="TPJ55" s="15"/>
      <c r="TPK55" s="15"/>
      <c r="TPL55" s="15"/>
      <c r="TPM55" s="15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15"/>
      <c r="TPZ55" s="15"/>
      <c r="TQA55" s="15"/>
      <c r="TQB55" s="15"/>
      <c r="TQC55" s="15"/>
      <c r="TQD55" s="15"/>
      <c r="TQE55" s="15"/>
      <c r="TQF55" s="15"/>
      <c r="TQG55" s="15"/>
      <c r="TQH55" s="15"/>
      <c r="TQI55" s="15"/>
      <c r="TQJ55" s="15"/>
      <c r="TQK55" s="15"/>
      <c r="TQL55" s="15"/>
      <c r="TQM55" s="15"/>
      <c r="TQN55" s="15"/>
      <c r="TQO55" s="15"/>
      <c r="TQP55" s="15"/>
      <c r="TQQ55" s="15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15"/>
      <c r="TRD55" s="15"/>
      <c r="TRE55" s="15"/>
      <c r="TRF55" s="15"/>
      <c r="TRG55" s="15"/>
      <c r="TRH55" s="15"/>
      <c r="TRI55" s="15"/>
      <c r="TRJ55" s="15"/>
      <c r="TRK55" s="15"/>
      <c r="TRL55" s="15"/>
      <c r="TRM55" s="15"/>
      <c r="TRN55" s="15"/>
      <c r="TRO55" s="15"/>
      <c r="TRP55" s="15"/>
      <c r="TRQ55" s="15"/>
      <c r="TRR55" s="15"/>
      <c r="TRS55" s="15"/>
      <c r="TRT55" s="15"/>
      <c r="TRU55" s="15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15"/>
      <c r="TSH55" s="15"/>
      <c r="TSI55" s="15"/>
      <c r="TSJ55" s="15"/>
      <c r="TSK55" s="15"/>
      <c r="TSL55" s="15"/>
      <c r="TSM55" s="15"/>
      <c r="TSN55" s="15"/>
      <c r="TSO55" s="15"/>
      <c r="TSP55" s="15"/>
      <c r="TSQ55" s="15"/>
      <c r="TSR55" s="15"/>
      <c r="TSS55" s="15"/>
      <c r="TST55" s="15"/>
      <c r="TSU55" s="15"/>
      <c r="TSV55" s="15"/>
      <c r="TSW55" s="15"/>
      <c r="TSX55" s="15"/>
      <c r="TSY55" s="15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15"/>
      <c r="TTL55" s="15"/>
      <c r="TTM55" s="15"/>
      <c r="TTN55" s="15"/>
      <c r="TTO55" s="15"/>
      <c r="TTP55" s="15"/>
      <c r="TTQ55" s="15"/>
      <c r="TTR55" s="15"/>
      <c r="TTS55" s="15"/>
      <c r="TTT55" s="15"/>
      <c r="TTU55" s="15"/>
      <c r="TTV55" s="15"/>
      <c r="TTW55" s="15"/>
      <c r="TTX55" s="15"/>
      <c r="TTY55" s="15"/>
      <c r="TTZ55" s="15"/>
      <c r="TUA55" s="15"/>
      <c r="TUB55" s="15"/>
      <c r="TUC55" s="15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15"/>
      <c r="TUP55" s="15"/>
      <c r="TUQ55" s="15"/>
      <c r="TUR55" s="15"/>
      <c r="TUS55" s="15"/>
      <c r="TUT55" s="15"/>
      <c r="TUU55" s="15"/>
      <c r="TUV55" s="15"/>
      <c r="TUW55" s="15"/>
      <c r="TUX55" s="15"/>
      <c r="TUY55" s="15"/>
      <c r="TUZ55" s="15"/>
      <c r="TVA55" s="15"/>
      <c r="TVB55" s="15"/>
      <c r="TVC55" s="15"/>
      <c r="TVD55" s="15"/>
      <c r="TVE55" s="15"/>
      <c r="TVF55" s="15"/>
      <c r="TVG55" s="15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15"/>
      <c r="TVT55" s="15"/>
      <c r="TVU55" s="15"/>
      <c r="TVV55" s="15"/>
      <c r="TVW55" s="15"/>
      <c r="TVX55" s="15"/>
      <c r="TVY55" s="15"/>
      <c r="TVZ55" s="15"/>
      <c r="TWA55" s="15"/>
      <c r="TWB55" s="15"/>
      <c r="TWC55" s="15"/>
      <c r="TWD55" s="15"/>
      <c r="TWE55" s="15"/>
      <c r="TWF55" s="15"/>
      <c r="TWG55" s="15"/>
      <c r="TWH55" s="15"/>
      <c r="TWI55" s="15"/>
      <c r="TWJ55" s="15"/>
      <c r="TWK55" s="15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15"/>
      <c r="TWX55" s="15"/>
      <c r="TWY55" s="15"/>
      <c r="TWZ55" s="15"/>
      <c r="TXA55" s="15"/>
      <c r="TXB55" s="15"/>
      <c r="TXC55" s="15"/>
      <c r="TXD55" s="15"/>
      <c r="TXE55" s="15"/>
      <c r="TXF55" s="15"/>
      <c r="TXG55" s="15"/>
      <c r="TXH55" s="15"/>
      <c r="TXI55" s="15"/>
      <c r="TXJ55" s="15"/>
      <c r="TXK55" s="15"/>
      <c r="TXL55" s="15"/>
      <c r="TXM55" s="15"/>
      <c r="TXN55" s="15"/>
      <c r="TXO55" s="15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15"/>
      <c r="TYB55" s="15"/>
      <c r="TYC55" s="15"/>
      <c r="TYD55" s="15"/>
      <c r="TYE55" s="15"/>
      <c r="TYF55" s="15"/>
      <c r="TYG55" s="15"/>
      <c r="TYH55" s="15"/>
      <c r="TYI55" s="15"/>
      <c r="TYJ55" s="15"/>
      <c r="TYK55" s="15"/>
      <c r="TYL55" s="15"/>
      <c r="TYM55" s="15"/>
      <c r="TYN55" s="15"/>
      <c r="TYO55" s="15"/>
      <c r="TYP55" s="15"/>
      <c r="TYQ55" s="15"/>
      <c r="TYR55" s="15"/>
      <c r="TYS55" s="15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15"/>
      <c r="TZF55" s="15"/>
      <c r="TZG55" s="15"/>
      <c r="TZH55" s="15"/>
      <c r="TZI55" s="15"/>
      <c r="TZJ55" s="15"/>
      <c r="TZK55" s="15"/>
      <c r="TZL55" s="15"/>
      <c r="TZM55" s="15"/>
      <c r="TZN55" s="15"/>
      <c r="TZO55" s="15"/>
      <c r="TZP55" s="15"/>
      <c r="TZQ55" s="15"/>
      <c r="TZR55" s="15"/>
      <c r="TZS55" s="15"/>
      <c r="TZT55" s="15"/>
      <c r="TZU55" s="15"/>
      <c r="TZV55" s="15"/>
      <c r="TZW55" s="15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15"/>
      <c r="UAJ55" s="15"/>
      <c r="UAK55" s="15"/>
      <c r="UAL55" s="15"/>
      <c r="UAM55" s="15"/>
      <c r="UAN55" s="15"/>
      <c r="UAO55" s="15"/>
      <c r="UAP55" s="15"/>
      <c r="UAQ55" s="15"/>
      <c r="UAR55" s="15"/>
      <c r="UAS55" s="15"/>
      <c r="UAT55" s="15"/>
      <c r="UAU55" s="15"/>
      <c r="UAV55" s="15"/>
      <c r="UAW55" s="15"/>
      <c r="UAX55" s="15"/>
      <c r="UAY55" s="15"/>
      <c r="UAZ55" s="15"/>
      <c r="UBA55" s="15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15"/>
      <c r="UBN55" s="15"/>
      <c r="UBO55" s="15"/>
      <c r="UBP55" s="15"/>
      <c r="UBQ55" s="15"/>
      <c r="UBR55" s="15"/>
      <c r="UBS55" s="15"/>
      <c r="UBT55" s="15"/>
      <c r="UBU55" s="15"/>
      <c r="UBV55" s="15"/>
      <c r="UBW55" s="15"/>
      <c r="UBX55" s="15"/>
      <c r="UBY55" s="15"/>
      <c r="UBZ55" s="15"/>
      <c r="UCA55" s="15"/>
      <c r="UCB55" s="15"/>
      <c r="UCC55" s="15"/>
      <c r="UCD55" s="15"/>
      <c r="UCE55" s="15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15"/>
      <c r="UCR55" s="15"/>
      <c r="UCS55" s="15"/>
      <c r="UCT55" s="15"/>
      <c r="UCU55" s="15"/>
      <c r="UCV55" s="15"/>
      <c r="UCW55" s="15"/>
      <c r="UCX55" s="15"/>
      <c r="UCY55" s="15"/>
      <c r="UCZ55" s="15"/>
      <c r="UDA55" s="15"/>
      <c r="UDB55" s="15"/>
      <c r="UDC55" s="15"/>
      <c r="UDD55" s="15"/>
      <c r="UDE55" s="15"/>
      <c r="UDF55" s="15"/>
      <c r="UDG55" s="15"/>
      <c r="UDH55" s="15"/>
      <c r="UDI55" s="15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15"/>
      <c r="UDV55" s="15"/>
      <c r="UDW55" s="15"/>
      <c r="UDX55" s="15"/>
      <c r="UDY55" s="15"/>
      <c r="UDZ55" s="15"/>
      <c r="UEA55" s="15"/>
      <c r="UEB55" s="15"/>
      <c r="UEC55" s="15"/>
      <c r="UED55" s="15"/>
      <c r="UEE55" s="15"/>
      <c r="UEF55" s="15"/>
      <c r="UEG55" s="15"/>
      <c r="UEH55" s="15"/>
      <c r="UEI55" s="15"/>
      <c r="UEJ55" s="15"/>
      <c r="UEK55" s="15"/>
      <c r="UEL55" s="15"/>
      <c r="UEM55" s="15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15"/>
      <c r="UEZ55" s="15"/>
      <c r="UFA55" s="15"/>
      <c r="UFB55" s="15"/>
      <c r="UFC55" s="15"/>
      <c r="UFD55" s="15"/>
      <c r="UFE55" s="15"/>
      <c r="UFF55" s="15"/>
      <c r="UFG55" s="15"/>
      <c r="UFH55" s="15"/>
      <c r="UFI55" s="15"/>
      <c r="UFJ55" s="15"/>
      <c r="UFK55" s="15"/>
      <c r="UFL55" s="15"/>
      <c r="UFM55" s="15"/>
      <c r="UFN55" s="15"/>
      <c r="UFO55" s="15"/>
      <c r="UFP55" s="15"/>
      <c r="UFQ55" s="15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15"/>
      <c r="UGD55" s="15"/>
      <c r="UGE55" s="15"/>
      <c r="UGF55" s="15"/>
      <c r="UGG55" s="15"/>
      <c r="UGH55" s="15"/>
      <c r="UGI55" s="15"/>
      <c r="UGJ55" s="15"/>
      <c r="UGK55" s="15"/>
      <c r="UGL55" s="15"/>
      <c r="UGM55" s="15"/>
      <c r="UGN55" s="15"/>
      <c r="UGO55" s="15"/>
      <c r="UGP55" s="15"/>
      <c r="UGQ55" s="15"/>
      <c r="UGR55" s="15"/>
      <c r="UGS55" s="15"/>
      <c r="UGT55" s="15"/>
      <c r="UGU55" s="15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15"/>
      <c r="UHH55" s="15"/>
      <c r="UHI55" s="15"/>
      <c r="UHJ55" s="15"/>
      <c r="UHK55" s="15"/>
      <c r="UHL55" s="15"/>
      <c r="UHM55" s="15"/>
      <c r="UHN55" s="15"/>
      <c r="UHO55" s="15"/>
      <c r="UHP55" s="15"/>
      <c r="UHQ55" s="15"/>
      <c r="UHR55" s="15"/>
      <c r="UHS55" s="15"/>
      <c r="UHT55" s="15"/>
      <c r="UHU55" s="15"/>
      <c r="UHV55" s="15"/>
      <c r="UHW55" s="15"/>
      <c r="UHX55" s="15"/>
      <c r="UHY55" s="15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15"/>
      <c r="UIL55" s="15"/>
      <c r="UIM55" s="15"/>
      <c r="UIN55" s="15"/>
      <c r="UIO55" s="15"/>
      <c r="UIP55" s="15"/>
      <c r="UIQ55" s="15"/>
      <c r="UIR55" s="15"/>
      <c r="UIS55" s="15"/>
      <c r="UIT55" s="15"/>
      <c r="UIU55" s="15"/>
      <c r="UIV55" s="15"/>
      <c r="UIW55" s="15"/>
      <c r="UIX55" s="15"/>
      <c r="UIY55" s="15"/>
      <c r="UIZ55" s="15"/>
      <c r="UJA55" s="15"/>
      <c r="UJB55" s="15"/>
      <c r="UJC55" s="15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15"/>
      <c r="UJP55" s="15"/>
      <c r="UJQ55" s="15"/>
      <c r="UJR55" s="15"/>
      <c r="UJS55" s="15"/>
      <c r="UJT55" s="15"/>
      <c r="UJU55" s="15"/>
      <c r="UJV55" s="15"/>
      <c r="UJW55" s="15"/>
      <c r="UJX55" s="15"/>
      <c r="UJY55" s="15"/>
      <c r="UJZ55" s="15"/>
      <c r="UKA55" s="15"/>
      <c r="UKB55" s="15"/>
      <c r="UKC55" s="15"/>
      <c r="UKD55" s="15"/>
      <c r="UKE55" s="15"/>
      <c r="UKF55" s="15"/>
      <c r="UKG55" s="15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15"/>
      <c r="UKT55" s="15"/>
      <c r="UKU55" s="15"/>
      <c r="UKV55" s="15"/>
      <c r="UKW55" s="15"/>
      <c r="UKX55" s="15"/>
      <c r="UKY55" s="15"/>
      <c r="UKZ55" s="15"/>
      <c r="ULA55" s="15"/>
      <c r="ULB55" s="15"/>
      <c r="ULC55" s="15"/>
      <c r="ULD55" s="15"/>
      <c r="ULE55" s="15"/>
      <c r="ULF55" s="15"/>
      <c r="ULG55" s="15"/>
      <c r="ULH55" s="15"/>
      <c r="ULI55" s="15"/>
      <c r="ULJ55" s="15"/>
      <c r="ULK55" s="15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15"/>
      <c r="ULX55" s="15"/>
      <c r="ULY55" s="15"/>
      <c r="ULZ55" s="15"/>
      <c r="UMA55" s="15"/>
      <c r="UMB55" s="15"/>
      <c r="UMC55" s="15"/>
      <c r="UMD55" s="15"/>
      <c r="UME55" s="15"/>
      <c r="UMF55" s="15"/>
      <c r="UMG55" s="15"/>
      <c r="UMH55" s="15"/>
      <c r="UMI55" s="15"/>
      <c r="UMJ55" s="15"/>
      <c r="UMK55" s="15"/>
      <c r="UML55" s="15"/>
      <c r="UMM55" s="15"/>
      <c r="UMN55" s="15"/>
      <c r="UMO55" s="15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15"/>
      <c r="UNB55" s="15"/>
      <c r="UNC55" s="15"/>
      <c r="UND55" s="15"/>
      <c r="UNE55" s="15"/>
      <c r="UNF55" s="15"/>
      <c r="UNG55" s="15"/>
      <c r="UNH55" s="15"/>
      <c r="UNI55" s="15"/>
      <c r="UNJ55" s="15"/>
      <c r="UNK55" s="15"/>
      <c r="UNL55" s="15"/>
      <c r="UNM55" s="15"/>
      <c r="UNN55" s="15"/>
      <c r="UNO55" s="15"/>
      <c r="UNP55" s="15"/>
      <c r="UNQ55" s="15"/>
      <c r="UNR55" s="15"/>
      <c r="UNS55" s="15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15"/>
      <c r="UOF55" s="15"/>
      <c r="UOG55" s="15"/>
      <c r="UOH55" s="15"/>
      <c r="UOI55" s="15"/>
      <c r="UOJ55" s="15"/>
      <c r="UOK55" s="15"/>
      <c r="UOL55" s="15"/>
      <c r="UOM55" s="15"/>
      <c r="UON55" s="15"/>
      <c r="UOO55" s="15"/>
      <c r="UOP55" s="15"/>
      <c r="UOQ55" s="15"/>
      <c r="UOR55" s="15"/>
      <c r="UOS55" s="15"/>
      <c r="UOT55" s="15"/>
      <c r="UOU55" s="15"/>
      <c r="UOV55" s="15"/>
      <c r="UOW55" s="15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15"/>
      <c r="UPJ55" s="15"/>
      <c r="UPK55" s="15"/>
      <c r="UPL55" s="15"/>
      <c r="UPM55" s="15"/>
      <c r="UPN55" s="15"/>
      <c r="UPO55" s="15"/>
      <c r="UPP55" s="15"/>
      <c r="UPQ55" s="15"/>
      <c r="UPR55" s="15"/>
      <c r="UPS55" s="15"/>
      <c r="UPT55" s="15"/>
      <c r="UPU55" s="15"/>
      <c r="UPV55" s="15"/>
      <c r="UPW55" s="15"/>
      <c r="UPX55" s="15"/>
      <c r="UPY55" s="15"/>
      <c r="UPZ55" s="15"/>
      <c r="UQA55" s="15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15"/>
      <c r="UQN55" s="15"/>
      <c r="UQO55" s="15"/>
      <c r="UQP55" s="15"/>
      <c r="UQQ55" s="15"/>
      <c r="UQR55" s="15"/>
      <c r="UQS55" s="15"/>
      <c r="UQT55" s="15"/>
      <c r="UQU55" s="15"/>
      <c r="UQV55" s="15"/>
      <c r="UQW55" s="15"/>
      <c r="UQX55" s="15"/>
      <c r="UQY55" s="15"/>
      <c r="UQZ55" s="15"/>
      <c r="URA55" s="15"/>
      <c r="URB55" s="15"/>
      <c r="URC55" s="15"/>
      <c r="URD55" s="15"/>
      <c r="URE55" s="15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15"/>
      <c r="URR55" s="15"/>
      <c r="URS55" s="15"/>
      <c r="URT55" s="15"/>
      <c r="URU55" s="15"/>
      <c r="URV55" s="15"/>
      <c r="URW55" s="15"/>
      <c r="URX55" s="15"/>
      <c r="URY55" s="15"/>
      <c r="URZ55" s="15"/>
      <c r="USA55" s="15"/>
      <c r="USB55" s="15"/>
      <c r="USC55" s="15"/>
      <c r="USD55" s="15"/>
      <c r="USE55" s="15"/>
      <c r="USF55" s="15"/>
      <c r="USG55" s="15"/>
      <c r="USH55" s="15"/>
      <c r="USI55" s="15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15"/>
      <c r="USV55" s="15"/>
      <c r="USW55" s="15"/>
      <c r="USX55" s="15"/>
      <c r="USY55" s="15"/>
      <c r="USZ55" s="15"/>
      <c r="UTA55" s="15"/>
      <c r="UTB55" s="15"/>
      <c r="UTC55" s="15"/>
      <c r="UTD55" s="15"/>
      <c r="UTE55" s="15"/>
      <c r="UTF55" s="15"/>
      <c r="UTG55" s="15"/>
      <c r="UTH55" s="15"/>
      <c r="UTI55" s="15"/>
      <c r="UTJ55" s="15"/>
      <c r="UTK55" s="15"/>
      <c r="UTL55" s="15"/>
      <c r="UTM55" s="15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15"/>
      <c r="UTZ55" s="15"/>
      <c r="UUA55" s="15"/>
      <c r="UUB55" s="15"/>
      <c r="UUC55" s="15"/>
      <c r="UUD55" s="15"/>
      <c r="UUE55" s="15"/>
      <c r="UUF55" s="15"/>
      <c r="UUG55" s="15"/>
      <c r="UUH55" s="15"/>
      <c r="UUI55" s="15"/>
      <c r="UUJ55" s="15"/>
      <c r="UUK55" s="15"/>
      <c r="UUL55" s="15"/>
      <c r="UUM55" s="15"/>
      <c r="UUN55" s="15"/>
      <c r="UUO55" s="15"/>
      <c r="UUP55" s="15"/>
      <c r="UUQ55" s="15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15"/>
      <c r="UVD55" s="15"/>
      <c r="UVE55" s="15"/>
      <c r="UVF55" s="15"/>
      <c r="UVG55" s="15"/>
      <c r="UVH55" s="15"/>
      <c r="UVI55" s="15"/>
      <c r="UVJ55" s="15"/>
      <c r="UVK55" s="15"/>
      <c r="UVL55" s="15"/>
      <c r="UVM55" s="15"/>
      <c r="UVN55" s="15"/>
      <c r="UVO55" s="15"/>
      <c r="UVP55" s="15"/>
      <c r="UVQ55" s="15"/>
      <c r="UVR55" s="15"/>
      <c r="UVS55" s="15"/>
      <c r="UVT55" s="15"/>
      <c r="UVU55" s="15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15"/>
      <c r="UWH55" s="15"/>
      <c r="UWI55" s="15"/>
      <c r="UWJ55" s="15"/>
      <c r="UWK55" s="15"/>
      <c r="UWL55" s="15"/>
      <c r="UWM55" s="15"/>
      <c r="UWN55" s="15"/>
      <c r="UWO55" s="15"/>
      <c r="UWP55" s="15"/>
      <c r="UWQ55" s="15"/>
      <c r="UWR55" s="15"/>
      <c r="UWS55" s="15"/>
      <c r="UWT55" s="15"/>
      <c r="UWU55" s="15"/>
      <c r="UWV55" s="15"/>
      <c r="UWW55" s="15"/>
      <c r="UWX55" s="15"/>
      <c r="UWY55" s="15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15"/>
      <c r="UXL55" s="15"/>
      <c r="UXM55" s="15"/>
      <c r="UXN55" s="15"/>
      <c r="UXO55" s="15"/>
      <c r="UXP55" s="15"/>
      <c r="UXQ55" s="15"/>
      <c r="UXR55" s="15"/>
      <c r="UXS55" s="15"/>
      <c r="UXT55" s="15"/>
      <c r="UXU55" s="15"/>
      <c r="UXV55" s="15"/>
      <c r="UXW55" s="15"/>
      <c r="UXX55" s="15"/>
      <c r="UXY55" s="15"/>
      <c r="UXZ55" s="15"/>
      <c r="UYA55" s="15"/>
      <c r="UYB55" s="15"/>
      <c r="UYC55" s="15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15"/>
      <c r="UYP55" s="15"/>
      <c r="UYQ55" s="15"/>
      <c r="UYR55" s="15"/>
      <c r="UYS55" s="15"/>
      <c r="UYT55" s="15"/>
      <c r="UYU55" s="15"/>
      <c r="UYV55" s="15"/>
      <c r="UYW55" s="15"/>
      <c r="UYX55" s="15"/>
      <c r="UYY55" s="15"/>
      <c r="UYZ55" s="15"/>
      <c r="UZA55" s="15"/>
      <c r="UZB55" s="15"/>
      <c r="UZC55" s="15"/>
      <c r="UZD55" s="15"/>
      <c r="UZE55" s="15"/>
      <c r="UZF55" s="15"/>
      <c r="UZG55" s="15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15"/>
      <c r="UZT55" s="15"/>
      <c r="UZU55" s="15"/>
      <c r="UZV55" s="15"/>
      <c r="UZW55" s="15"/>
      <c r="UZX55" s="15"/>
      <c r="UZY55" s="15"/>
      <c r="UZZ55" s="15"/>
      <c r="VAA55" s="15"/>
      <c r="VAB55" s="15"/>
      <c r="VAC55" s="15"/>
      <c r="VAD55" s="15"/>
      <c r="VAE55" s="15"/>
      <c r="VAF55" s="15"/>
      <c r="VAG55" s="15"/>
      <c r="VAH55" s="15"/>
      <c r="VAI55" s="15"/>
      <c r="VAJ55" s="15"/>
      <c r="VAK55" s="15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15"/>
      <c r="VAX55" s="15"/>
      <c r="VAY55" s="15"/>
      <c r="VAZ55" s="15"/>
      <c r="VBA55" s="15"/>
      <c r="VBB55" s="15"/>
      <c r="VBC55" s="15"/>
      <c r="VBD55" s="15"/>
      <c r="VBE55" s="15"/>
      <c r="VBF55" s="15"/>
      <c r="VBG55" s="15"/>
      <c r="VBH55" s="15"/>
      <c r="VBI55" s="15"/>
      <c r="VBJ55" s="15"/>
      <c r="VBK55" s="15"/>
      <c r="VBL55" s="15"/>
      <c r="VBM55" s="15"/>
      <c r="VBN55" s="15"/>
      <c r="VBO55" s="15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15"/>
      <c r="VCB55" s="15"/>
      <c r="VCC55" s="15"/>
      <c r="VCD55" s="15"/>
      <c r="VCE55" s="15"/>
      <c r="VCF55" s="15"/>
      <c r="VCG55" s="15"/>
      <c r="VCH55" s="15"/>
      <c r="VCI55" s="15"/>
      <c r="VCJ55" s="15"/>
      <c r="VCK55" s="15"/>
      <c r="VCL55" s="15"/>
      <c r="VCM55" s="15"/>
      <c r="VCN55" s="15"/>
      <c r="VCO55" s="15"/>
      <c r="VCP55" s="15"/>
      <c r="VCQ55" s="15"/>
      <c r="VCR55" s="15"/>
      <c r="VCS55" s="15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15"/>
      <c r="VDF55" s="15"/>
      <c r="VDG55" s="15"/>
      <c r="VDH55" s="15"/>
      <c r="VDI55" s="15"/>
      <c r="VDJ55" s="15"/>
      <c r="VDK55" s="15"/>
      <c r="VDL55" s="15"/>
      <c r="VDM55" s="15"/>
      <c r="VDN55" s="15"/>
      <c r="VDO55" s="15"/>
      <c r="VDP55" s="15"/>
      <c r="VDQ55" s="15"/>
      <c r="VDR55" s="15"/>
      <c r="VDS55" s="15"/>
      <c r="VDT55" s="15"/>
      <c r="VDU55" s="15"/>
      <c r="VDV55" s="15"/>
      <c r="VDW55" s="15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15"/>
      <c r="VEJ55" s="15"/>
      <c r="VEK55" s="15"/>
      <c r="VEL55" s="15"/>
      <c r="VEM55" s="15"/>
      <c r="VEN55" s="15"/>
      <c r="VEO55" s="15"/>
      <c r="VEP55" s="15"/>
      <c r="VEQ55" s="15"/>
      <c r="VER55" s="15"/>
      <c r="VES55" s="15"/>
      <c r="VET55" s="15"/>
      <c r="VEU55" s="15"/>
      <c r="VEV55" s="15"/>
      <c r="VEW55" s="15"/>
      <c r="VEX55" s="15"/>
      <c r="VEY55" s="15"/>
      <c r="VEZ55" s="15"/>
      <c r="VFA55" s="15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15"/>
      <c r="VFN55" s="15"/>
      <c r="VFO55" s="15"/>
      <c r="VFP55" s="15"/>
      <c r="VFQ55" s="15"/>
      <c r="VFR55" s="15"/>
      <c r="VFS55" s="15"/>
      <c r="VFT55" s="15"/>
      <c r="VFU55" s="15"/>
      <c r="VFV55" s="15"/>
      <c r="VFW55" s="15"/>
      <c r="VFX55" s="15"/>
      <c r="VFY55" s="15"/>
      <c r="VFZ55" s="15"/>
      <c r="VGA55" s="15"/>
      <c r="VGB55" s="15"/>
      <c r="VGC55" s="15"/>
      <c r="VGD55" s="15"/>
      <c r="VGE55" s="15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15"/>
      <c r="VGR55" s="15"/>
      <c r="VGS55" s="15"/>
      <c r="VGT55" s="15"/>
      <c r="VGU55" s="15"/>
      <c r="VGV55" s="15"/>
      <c r="VGW55" s="15"/>
      <c r="VGX55" s="15"/>
      <c r="VGY55" s="15"/>
      <c r="VGZ55" s="15"/>
      <c r="VHA55" s="15"/>
      <c r="VHB55" s="15"/>
      <c r="VHC55" s="15"/>
      <c r="VHD55" s="15"/>
      <c r="VHE55" s="15"/>
      <c r="VHF55" s="15"/>
      <c r="VHG55" s="15"/>
      <c r="VHH55" s="15"/>
      <c r="VHI55" s="15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15"/>
      <c r="VHV55" s="15"/>
      <c r="VHW55" s="15"/>
      <c r="VHX55" s="15"/>
      <c r="VHY55" s="15"/>
      <c r="VHZ55" s="15"/>
      <c r="VIA55" s="15"/>
      <c r="VIB55" s="15"/>
      <c r="VIC55" s="15"/>
      <c r="VID55" s="15"/>
      <c r="VIE55" s="15"/>
      <c r="VIF55" s="15"/>
      <c r="VIG55" s="15"/>
      <c r="VIH55" s="15"/>
      <c r="VII55" s="15"/>
      <c r="VIJ55" s="15"/>
      <c r="VIK55" s="15"/>
      <c r="VIL55" s="15"/>
      <c r="VIM55" s="15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15"/>
      <c r="VIZ55" s="15"/>
      <c r="VJA55" s="15"/>
      <c r="VJB55" s="15"/>
      <c r="VJC55" s="15"/>
      <c r="VJD55" s="15"/>
      <c r="VJE55" s="15"/>
      <c r="VJF55" s="15"/>
      <c r="VJG55" s="15"/>
      <c r="VJH55" s="15"/>
      <c r="VJI55" s="15"/>
      <c r="VJJ55" s="15"/>
      <c r="VJK55" s="15"/>
      <c r="VJL55" s="15"/>
      <c r="VJM55" s="15"/>
      <c r="VJN55" s="15"/>
      <c r="VJO55" s="15"/>
      <c r="VJP55" s="15"/>
      <c r="VJQ55" s="15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15"/>
      <c r="VKD55" s="15"/>
      <c r="VKE55" s="15"/>
      <c r="VKF55" s="15"/>
      <c r="VKG55" s="15"/>
      <c r="VKH55" s="15"/>
      <c r="VKI55" s="15"/>
      <c r="VKJ55" s="15"/>
      <c r="VKK55" s="15"/>
      <c r="VKL55" s="15"/>
      <c r="VKM55" s="15"/>
      <c r="VKN55" s="15"/>
      <c r="VKO55" s="15"/>
      <c r="VKP55" s="15"/>
      <c r="VKQ55" s="15"/>
      <c r="VKR55" s="15"/>
      <c r="VKS55" s="15"/>
      <c r="VKT55" s="15"/>
      <c r="VKU55" s="15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15"/>
      <c r="VLH55" s="15"/>
      <c r="VLI55" s="15"/>
      <c r="VLJ55" s="15"/>
      <c r="VLK55" s="15"/>
      <c r="VLL55" s="15"/>
      <c r="VLM55" s="15"/>
      <c r="VLN55" s="15"/>
      <c r="VLO55" s="15"/>
      <c r="VLP55" s="15"/>
      <c r="VLQ55" s="15"/>
      <c r="VLR55" s="15"/>
      <c r="VLS55" s="15"/>
      <c r="VLT55" s="15"/>
      <c r="VLU55" s="15"/>
      <c r="VLV55" s="15"/>
      <c r="VLW55" s="15"/>
      <c r="VLX55" s="15"/>
      <c r="VLY55" s="15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15"/>
      <c r="VML55" s="15"/>
      <c r="VMM55" s="15"/>
      <c r="VMN55" s="15"/>
      <c r="VMO55" s="15"/>
      <c r="VMP55" s="15"/>
      <c r="VMQ55" s="15"/>
      <c r="VMR55" s="15"/>
      <c r="VMS55" s="15"/>
      <c r="VMT55" s="15"/>
      <c r="VMU55" s="15"/>
      <c r="VMV55" s="15"/>
      <c r="VMW55" s="15"/>
      <c r="VMX55" s="15"/>
      <c r="VMY55" s="15"/>
      <c r="VMZ55" s="15"/>
      <c r="VNA55" s="15"/>
      <c r="VNB55" s="15"/>
      <c r="VNC55" s="15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15"/>
      <c r="VNP55" s="15"/>
      <c r="VNQ55" s="15"/>
      <c r="VNR55" s="15"/>
      <c r="VNS55" s="15"/>
      <c r="VNT55" s="15"/>
      <c r="VNU55" s="15"/>
      <c r="VNV55" s="15"/>
      <c r="VNW55" s="15"/>
      <c r="VNX55" s="15"/>
      <c r="VNY55" s="15"/>
      <c r="VNZ55" s="15"/>
      <c r="VOA55" s="15"/>
      <c r="VOB55" s="15"/>
      <c r="VOC55" s="15"/>
      <c r="VOD55" s="15"/>
      <c r="VOE55" s="15"/>
      <c r="VOF55" s="15"/>
      <c r="VOG55" s="15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15"/>
      <c r="VOT55" s="15"/>
      <c r="VOU55" s="15"/>
      <c r="VOV55" s="15"/>
      <c r="VOW55" s="15"/>
      <c r="VOX55" s="15"/>
      <c r="VOY55" s="15"/>
      <c r="VOZ55" s="15"/>
      <c r="VPA55" s="15"/>
      <c r="VPB55" s="15"/>
      <c r="VPC55" s="15"/>
      <c r="VPD55" s="15"/>
      <c r="VPE55" s="15"/>
      <c r="VPF55" s="15"/>
      <c r="VPG55" s="15"/>
      <c r="VPH55" s="15"/>
      <c r="VPI55" s="15"/>
      <c r="VPJ55" s="15"/>
      <c r="VPK55" s="15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15"/>
      <c r="VPX55" s="15"/>
      <c r="VPY55" s="15"/>
      <c r="VPZ55" s="15"/>
      <c r="VQA55" s="15"/>
      <c r="VQB55" s="15"/>
      <c r="VQC55" s="15"/>
      <c r="VQD55" s="15"/>
      <c r="VQE55" s="15"/>
      <c r="VQF55" s="15"/>
      <c r="VQG55" s="15"/>
      <c r="VQH55" s="15"/>
      <c r="VQI55" s="15"/>
      <c r="VQJ55" s="15"/>
      <c r="VQK55" s="15"/>
      <c r="VQL55" s="15"/>
      <c r="VQM55" s="15"/>
      <c r="VQN55" s="15"/>
      <c r="VQO55" s="15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15"/>
      <c r="VRB55" s="15"/>
      <c r="VRC55" s="15"/>
      <c r="VRD55" s="15"/>
      <c r="VRE55" s="15"/>
      <c r="VRF55" s="15"/>
      <c r="VRG55" s="15"/>
      <c r="VRH55" s="15"/>
      <c r="VRI55" s="15"/>
      <c r="VRJ55" s="15"/>
      <c r="VRK55" s="15"/>
      <c r="VRL55" s="15"/>
      <c r="VRM55" s="15"/>
      <c r="VRN55" s="15"/>
      <c r="VRO55" s="15"/>
      <c r="VRP55" s="15"/>
      <c r="VRQ55" s="15"/>
      <c r="VRR55" s="15"/>
      <c r="VRS55" s="15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15"/>
      <c r="VSF55" s="15"/>
      <c r="VSG55" s="15"/>
      <c r="VSH55" s="15"/>
      <c r="VSI55" s="15"/>
      <c r="VSJ55" s="15"/>
      <c r="VSK55" s="15"/>
      <c r="VSL55" s="15"/>
      <c r="VSM55" s="15"/>
      <c r="VSN55" s="15"/>
      <c r="VSO55" s="15"/>
      <c r="VSP55" s="15"/>
      <c r="VSQ55" s="15"/>
      <c r="VSR55" s="15"/>
      <c r="VSS55" s="15"/>
      <c r="VST55" s="15"/>
      <c r="VSU55" s="15"/>
      <c r="VSV55" s="15"/>
      <c r="VSW55" s="15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15"/>
      <c r="VTJ55" s="15"/>
      <c r="VTK55" s="15"/>
      <c r="VTL55" s="15"/>
      <c r="VTM55" s="15"/>
      <c r="VTN55" s="15"/>
      <c r="VTO55" s="15"/>
      <c r="VTP55" s="15"/>
      <c r="VTQ55" s="15"/>
      <c r="VTR55" s="15"/>
      <c r="VTS55" s="15"/>
      <c r="VTT55" s="15"/>
      <c r="VTU55" s="15"/>
      <c r="VTV55" s="15"/>
      <c r="VTW55" s="15"/>
      <c r="VTX55" s="15"/>
      <c r="VTY55" s="15"/>
      <c r="VTZ55" s="15"/>
      <c r="VUA55" s="15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15"/>
      <c r="VUN55" s="15"/>
      <c r="VUO55" s="15"/>
      <c r="VUP55" s="15"/>
      <c r="VUQ55" s="15"/>
      <c r="VUR55" s="15"/>
      <c r="VUS55" s="15"/>
      <c r="VUT55" s="15"/>
      <c r="VUU55" s="15"/>
      <c r="VUV55" s="15"/>
      <c r="VUW55" s="15"/>
      <c r="VUX55" s="15"/>
      <c r="VUY55" s="15"/>
      <c r="VUZ55" s="15"/>
      <c r="VVA55" s="15"/>
      <c r="VVB55" s="15"/>
      <c r="VVC55" s="15"/>
      <c r="VVD55" s="15"/>
      <c r="VVE55" s="15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15"/>
      <c r="VVR55" s="15"/>
      <c r="VVS55" s="15"/>
      <c r="VVT55" s="15"/>
      <c r="VVU55" s="15"/>
      <c r="VVV55" s="15"/>
      <c r="VVW55" s="15"/>
      <c r="VVX55" s="15"/>
      <c r="VVY55" s="15"/>
      <c r="VVZ55" s="15"/>
      <c r="VWA55" s="15"/>
      <c r="VWB55" s="15"/>
      <c r="VWC55" s="15"/>
      <c r="VWD55" s="15"/>
      <c r="VWE55" s="15"/>
      <c r="VWF55" s="15"/>
      <c r="VWG55" s="15"/>
      <c r="VWH55" s="15"/>
      <c r="VWI55" s="15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15"/>
      <c r="VWV55" s="15"/>
      <c r="VWW55" s="15"/>
      <c r="VWX55" s="15"/>
      <c r="VWY55" s="15"/>
      <c r="VWZ55" s="15"/>
      <c r="VXA55" s="15"/>
      <c r="VXB55" s="15"/>
      <c r="VXC55" s="15"/>
      <c r="VXD55" s="15"/>
      <c r="VXE55" s="15"/>
      <c r="VXF55" s="15"/>
      <c r="VXG55" s="15"/>
      <c r="VXH55" s="15"/>
      <c r="VXI55" s="15"/>
      <c r="VXJ55" s="15"/>
      <c r="VXK55" s="15"/>
      <c r="VXL55" s="15"/>
      <c r="VXM55" s="15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15"/>
      <c r="VXZ55" s="15"/>
      <c r="VYA55" s="15"/>
      <c r="VYB55" s="15"/>
      <c r="VYC55" s="15"/>
      <c r="VYD55" s="15"/>
      <c r="VYE55" s="15"/>
      <c r="VYF55" s="15"/>
      <c r="VYG55" s="15"/>
      <c r="VYH55" s="15"/>
      <c r="VYI55" s="15"/>
      <c r="VYJ55" s="15"/>
      <c r="VYK55" s="15"/>
      <c r="VYL55" s="15"/>
      <c r="VYM55" s="15"/>
      <c r="VYN55" s="15"/>
      <c r="VYO55" s="15"/>
      <c r="VYP55" s="15"/>
      <c r="VYQ55" s="15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15"/>
      <c r="VZD55" s="15"/>
      <c r="VZE55" s="15"/>
      <c r="VZF55" s="15"/>
      <c r="VZG55" s="15"/>
      <c r="VZH55" s="15"/>
      <c r="VZI55" s="15"/>
      <c r="VZJ55" s="15"/>
      <c r="VZK55" s="15"/>
      <c r="VZL55" s="15"/>
      <c r="VZM55" s="15"/>
      <c r="VZN55" s="15"/>
      <c r="VZO55" s="15"/>
      <c r="VZP55" s="15"/>
      <c r="VZQ55" s="15"/>
      <c r="VZR55" s="15"/>
      <c r="VZS55" s="15"/>
      <c r="VZT55" s="15"/>
      <c r="VZU55" s="15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15"/>
      <c r="WAH55" s="15"/>
      <c r="WAI55" s="15"/>
      <c r="WAJ55" s="15"/>
      <c r="WAK55" s="15"/>
      <c r="WAL55" s="15"/>
      <c r="WAM55" s="15"/>
      <c r="WAN55" s="15"/>
      <c r="WAO55" s="15"/>
      <c r="WAP55" s="15"/>
      <c r="WAQ55" s="15"/>
      <c r="WAR55" s="15"/>
      <c r="WAS55" s="15"/>
      <c r="WAT55" s="15"/>
      <c r="WAU55" s="15"/>
      <c r="WAV55" s="15"/>
      <c r="WAW55" s="15"/>
      <c r="WAX55" s="15"/>
      <c r="WAY55" s="15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15"/>
      <c r="WBL55" s="15"/>
      <c r="WBM55" s="15"/>
      <c r="WBN55" s="15"/>
      <c r="WBO55" s="15"/>
      <c r="WBP55" s="15"/>
      <c r="WBQ55" s="15"/>
      <c r="WBR55" s="15"/>
      <c r="WBS55" s="15"/>
      <c r="WBT55" s="15"/>
      <c r="WBU55" s="15"/>
      <c r="WBV55" s="15"/>
      <c r="WBW55" s="15"/>
      <c r="WBX55" s="15"/>
      <c r="WBY55" s="15"/>
      <c r="WBZ55" s="15"/>
      <c r="WCA55" s="15"/>
      <c r="WCB55" s="15"/>
      <c r="WCC55" s="15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15"/>
      <c r="WCP55" s="15"/>
      <c r="WCQ55" s="15"/>
      <c r="WCR55" s="15"/>
      <c r="WCS55" s="15"/>
      <c r="WCT55" s="15"/>
      <c r="WCU55" s="15"/>
      <c r="WCV55" s="15"/>
      <c r="WCW55" s="15"/>
      <c r="WCX55" s="15"/>
      <c r="WCY55" s="15"/>
      <c r="WCZ55" s="15"/>
      <c r="WDA55" s="15"/>
      <c r="WDB55" s="15"/>
      <c r="WDC55" s="15"/>
      <c r="WDD55" s="15"/>
      <c r="WDE55" s="15"/>
      <c r="WDF55" s="15"/>
      <c r="WDG55" s="15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15"/>
      <c r="WDT55" s="15"/>
      <c r="WDU55" s="15"/>
      <c r="WDV55" s="15"/>
      <c r="WDW55" s="15"/>
      <c r="WDX55" s="15"/>
      <c r="WDY55" s="15"/>
      <c r="WDZ55" s="15"/>
      <c r="WEA55" s="15"/>
      <c r="WEB55" s="15"/>
      <c r="WEC55" s="15"/>
      <c r="WED55" s="15"/>
      <c r="WEE55" s="15"/>
      <c r="WEF55" s="15"/>
      <c r="WEG55" s="15"/>
      <c r="WEH55" s="15"/>
      <c r="WEI55" s="15"/>
      <c r="WEJ55" s="15"/>
      <c r="WEK55" s="15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15"/>
      <c r="WEX55" s="15"/>
      <c r="WEY55" s="15"/>
      <c r="WEZ55" s="15"/>
      <c r="WFA55" s="15"/>
      <c r="WFB55" s="15"/>
      <c r="WFC55" s="15"/>
      <c r="WFD55" s="15"/>
      <c r="WFE55" s="15"/>
      <c r="WFF55" s="15"/>
      <c r="WFG55" s="15"/>
      <c r="WFH55" s="15"/>
      <c r="WFI55" s="15"/>
      <c r="WFJ55" s="15"/>
      <c r="WFK55" s="15"/>
      <c r="WFL55" s="15"/>
      <c r="WFM55" s="15"/>
      <c r="WFN55" s="15"/>
      <c r="WFO55" s="15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15"/>
      <c r="WGB55" s="15"/>
      <c r="WGC55" s="15"/>
      <c r="WGD55" s="15"/>
      <c r="WGE55" s="15"/>
      <c r="WGF55" s="15"/>
      <c r="WGG55" s="15"/>
      <c r="WGH55" s="15"/>
      <c r="WGI55" s="15"/>
      <c r="WGJ55" s="15"/>
      <c r="WGK55" s="15"/>
      <c r="WGL55" s="15"/>
      <c r="WGM55" s="15"/>
      <c r="WGN55" s="15"/>
      <c r="WGO55" s="15"/>
      <c r="WGP55" s="15"/>
      <c r="WGQ55" s="15"/>
      <c r="WGR55" s="15"/>
      <c r="WGS55" s="15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15"/>
      <c r="WHF55" s="15"/>
      <c r="WHG55" s="15"/>
      <c r="WHH55" s="15"/>
      <c r="WHI55" s="15"/>
      <c r="WHJ55" s="15"/>
      <c r="WHK55" s="15"/>
      <c r="WHL55" s="15"/>
      <c r="WHM55" s="15"/>
      <c r="WHN55" s="15"/>
      <c r="WHO55" s="15"/>
      <c r="WHP55" s="15"/>
      <c r="WHQ55" s="15"/>
      <c r="WHR55" s="15"/>
      <c r="WHS55" s="15"/>
      <c r="WHT55" s="15"/>
      <c r="WHU55" s="15"/>
      <c r="WHV55" s="15"/>
      <c r="WHW55" s="15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15"/>
      <c r="WIJ55" s="15"/>
      <c r="WIK55" s="15"/>
      <c r="WIL55" s="15"/>
      <c r="WIM55" s="15"/>
      <c r="WIN55" s="15"/>
      <c r="WIO55" s="15"/>
      <c r="WIP55" s="15"/>
      <c r="WIQ55" s="15"/>
      <c r="WIR55" s="15"/>
      <c r="WIS55" s="15"/>
      <c r="WIT55" s="15"/>
      <c r="WIU55" s="15"/>
      <c r="WIV55" s="15"/>
      <c r="WIW55" s="15"/>
      <c r="WIX55" s="15"/>
      <c r="WIY55" s="15"/>
      <c r="WIZ55" s="15"/>
      <c r="WJA55" s="15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15"/>
      <c r="WJN55" s="15"/>
      <c r="WJO55" s="15"/>
      <c r="WJP55" s="15"/>
      <c r="WJQ55" s="15"/>
      <c r="WJR55" s="15"/>
      <c r="WJS55" s="15"/>
      <c r="WJT55" s="15"/>
      <c r="WJU55" s="15"/>
      <c r="WJV55" s="15"/>
      <c r="WJW55" s="15"/>
      <c r="WJX55" s="15"/>
      <c r="WJY55" s="15"/>
      <c r="WJZ55" s="15"/>
      <c r="WKA55" s="15"/>
      <c r="WKB55" s="15"/>
      <c r="WKC55" s="15"/>
      <c r="WKD55" s="15"/>
      <c r="WKE55" s="15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15"/>
      <c r="WKR55" s="15"/>
      <c r="WKS55" s="15"/>
      <c r="WKT55" s="15"/>
      <c r="WKU55" s="15"/>
      <c r="WKV55" s="15"/>
      <c r="WKW55" s="15"/>
      <c r="WKX55" s="15"/>
      <c r="WKY55" s="15"/>
      <c r="WKZ55" s="15"/>
      <c r="WLA55" s="15"/>
      <c r="WLB55" s="15"/>
      <c r="WLC55" s="15"/>
      <c r="WLD55" s="15"/>
      <c r="WLE55" s="15"/>
      <c r="WLF55" s="15"/>
      <c r="WLG55" s="15"/>
      <c r="WLH55" s="15"/>
      <c r="WLI55" s="15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15"/>
      <c r="WLV55" s="15"/>
      <c r="WLW55" s="15"/>
      <c r="WLX55" s="15"/>
      <c r="WLY55" s="15"/>
      <c r="WLZ55" s="15"/>
      <c r="WMA55" s="15"/>
      <c r="WMB55" s="15"/>
      <c r="WMC55" s="15"/>
      <c r="WMD55" s="15"/>
      <c r="WME55" s="15"/>
      <c r="WMF55" s="15"/>
      <c r="WMG55" s="15"/>
      <c r="WMH55" s="15"/>
      <c r="WMI55" s="15"/>
      <c r="WMJ55" s="15"/>
      <c r="WMK55" s="15"/>
      <c r="WML55" s="15"/>
      <c r="WMM55" s="15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15"/>
      <c r="WMZ55" s="15"/>
      <c r="WNA55" s="15"/>
      <c r="WNB55" s="15"/>
      <c r="WNC55" s="15"/>
      <c r="WND55" s="15"/>
      <c r="WNE55" s="15"/>
      <c r="WNF55" s="15"/>
      <c r="WNG55" s="15"/>
      <c r="WNH55" s="15"/>
      <c r="WNI55" s="15"/>
      <c r="WNJ55" s="15"/>
      <c r="WNK55" s="15"/>
      <c r="WNL55" s="15"/>
      <c r="WNM55" s="15"/>
      <c r="WNN55" s="15"/>
      <c r="WNO55" s="15"/>
      <c r="WNP55" s="15"/>
      <c r="WNQ55" s="15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15"/>
      <c r="WOD55" s="15"/>
      <c r="WOE55" s="15"/>
      <c r="WOF55" s="15"/>
      <c r="WOG55" s="15"/>
      <c r="WOH55" s="15"/>
      <c r="WOI55" s="15"/>
      <c r="WOJ55" s="15"/>
      <c r="WOK55" s="15"/>
      <c r="WOL55" s="15"/>
      <c r="WOM55" s="15"/>
      <c r="WON55" s="15"/>
      <c r="WOO55" s="15"/>
      <c r="WOP55" s="15"/>
      <c r="WOQ55" s="15"/>
      <c r="WOR55" s="15"/>
      <c r="WOS55" s="15"/>
      <c r="WOT55" s="15"/>
      <c r="WOU55" s="15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15"/>
      <c r="WPH55" s="15"/>
      <c r="WPI55" s="15"/>
      <c r="WPJ55" s="15"/>
      <c r="WPK55" s="15"/>
      <c r="WPL55" s="15"/>
      <c r="WPM55" s="15"/>
      <c r="WPN55" s="15"/>
      <c r="WPO55" s="15"/>
      <c r="WPP55" s="15"/>
      <c r="WPQ55" s="15"/>
      <c r="WPR55" s="15"/>
      <c r="WPS55" s="15"/>
      <c r="WPT55" s="15"/>
      <c r="WPU55" s="15"/>
      <c r="WPV55" s="15"/>
      <c r="WPW55" s="15"/>
      <c r="WPX55" s="15"/>
      <c r="WPY55" s="15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15"/>
      <c r="WQL55" s="15"/>
      <c r="WQM55" s="15"/>
      <c r="WQN55" s="15"/>
      <c r="WQO55" s="15"/>
      <c r="WQP55" s="15"/>
      <c r="WQQ55" s="15"/>
      <c r="WQR55" s="15"/>
      <c r="WQS55" s="15"/>
      <c r="WQT55" s="15"/>
      <c r="WQU55" s="15"/>
      <c r="WQV55" s="15"/>
      <c r="WQW55" s="15"/>
      <c r="WQX55" s="15"/>
      <c r="WQY55" s="15"/>
      <c r="WQZ55" s="15"/>
      <c r="WRA55" s="15"/>
      <c r="WRB55" s="15"/>
      <c r="WRC55" s="15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15"/>
      <c r="WRP55" s="15"/>
      <c r="WRQ55" s="15"/>
      <c r="WRR55" s="15"/>
      <c r="WRS55" s="15"/>
      <c r="WRT55" s="15"/>
      <c r="WRU55" s="15"/>
      <c r="WRV55" s="15"/>
      <c r="WRW55" s="15"/>
      <c r="WRX55" s="15"/>
      <c r="WRY55" s="15"/>
      <c r="WRZ55" s="15"/>
      <c r="WSA55" s="15"/>
      <c r="WSB55" s="15"/>
      <c r="WSC55" s="15"/>
      <c r="WSD55" s="15"/>
      <c r="WSE55" s="15"/>
      <c r="WSF55" s="15"/>
      <c r="WSG55" s="15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15"/>
      <c r="WST55" s="15"/>
      <c r="WSU55" s="15"/>
      <c r="WSV55" s="15"/>
      <c r="WSW55" s="15"/>
      <c r="WSX55" s="15"/>
      <c r="WSY55" s="15"/>
      <c r="WSZ55" s="15"/>
      <c r="WTA55" s="15"/>
      <c r="WTB55" s="15"/>
      <c r="WTC55" s="15"/>
      <c r="WTD55" s="15"/>
      <c r="WTE55" s="15"/>
      <c r="WTF55" s="15"/>
      <c r="WTG55" s="15"/>
      <c r="WTH55" s="15"/>
      <c r="WTI55" s="15"/>
      <c r="WTJ55" s="15"/>
      <c r="WTK55" s="15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15"/>
      <c r="WTX55" s="15"/>
      <c r="WTY55" s="15"/>
      <c r="WTZ55" s="15"/>
      <c r="WUA55" s="15"/>
      <c r="WUB55" s="15"/>
      <c r="WUC55" s="15"/>
      <c r="WUD55" s="15"/>
      <c r="WUE55" s="15"/>
      <c r="WUF55" s="15"/>
      <c r="WUG55" s="15"/>
      <c r="WUH55" s="15"/>
      <c r="WUI55" s="15"/>
      <c r="WUJ55" s="15"/>
      <c r="WUK55" s="15"/>
      <c r="WUL55" s="15"/>
      <c r="WUM55" s="15"/>
      <c r="WUN55" s="15"/>
      <c r="WUO55" s="15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15"/>
      <c r="WVB55" s="15"/>
      <c r="WVC55" s="15"/>
      <c r="WVD55" s="15"/>
      <c r="WVE55" s="15"/>
      <c r="WVF55" s="15"/>
      <c r="WVG55" s="15"/>
      <c r="WVH55" s="15"/>
      <c r="WVI55" s="15"/>
      <c r="WVJ55" s="15"/>
      <c r="WVK55" s="15"/>
      <c r="WVL55" s="15"/>
      <c r="WVM55" s="15"/>
      <c r="WVN55" s="15"/>
      <c r="WVO55" s="15"/>
      <c r="WVP55" s="15"/>
      <c r="WVQ55" s="15"/>
      <c r="WVR55" s="15"/>
      <c r="WVS55" s="15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15"/>
      <c r="WWF55" s="15"/>
      <c r="WWG55" s="15"/>
      <c r="WWH55" s="15"/>
      <c r="WWI55" s="15"/>
      <c r="WWJ55" s="15"/>
      <c r="WWK55" s="15"/>
      <c r="WWL55" s="15"/>
      <c r="WWM55" s="15"/>
      <c r="WWN55" s="15"/>
      <c r="WWO55" s="15"/>
      <c r="WWP55" s="15"/>
      <c r="WWQ55" s="15"/>
      <c r="WWR55" s="15"/>
      <c r="WWS55" s="15"/>
      <c r="WWT55" s="15"/>
      <c r="WWU55" s="15"/>
      <c r="WWV55" s="15"/>
      <c r="WWW55" s="15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15"/>
      <c r="WXJ55" s="15"/>
      <c r="WXK55" s="15"/>
      <c r="WXL55" s="15"/>
      <c r="WXM55" s="15"/>
      <c r="WXN55" s="15"/>
      <c r="WXO55" s="15"/>
      <c r="WXP55" s="15"/>
      <c r="WXQ55" s="15"/>
      <c r="WXR55" s="15"/>
      <c r="WXS55" s="15"/>
      <c r="WXT55" s="15"/>
      <c r="WXU55" s="15"/>
      <c r="WXV55" s="15"/>
      <c r="WXW55" s="15"/>
      <c r="WXX55" s="15"/>
      <c r="WXY55" s="15"/>
      <c r="WXZ55" s="15"/>
      <c r="WYA55" s="15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15"/>
      <c r="WYN55" s="15"/>
      <c r="WYO55" s="15"/>
      <c r="WYP55" s="15"/>
      <c r="WYQ55" s="15"/>
      <c r="WYR55" s="15"/>
      <c r="WYS55" s="15"/>
      <c r="WYT55" s="15"/>
      <c r="WYU55" s="15"/>
      <c r="WYV55" s="15"/>
      <c r="WYW55" s="15"/>
      <c r="WYX55" s="15"/>
      <c r="WYY55" s="15"/>
      <c r="WYZ55" s="15"/>
      <c r="WZA55" s="15"/>
      <c r="WZB55" s="15"/>
      <c r="WZC55" s="15"/>
      <c r="WZD55" s="15"/>
      <c r="WZE55" s="15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15"/>
      <c r="WZR55" s="15"/>
      <c r="WZS55" s="15"/>
      <c r="WZT55" s="15"/>
      <c r="WZU55" s="15"/>
      <c r="WZV55" s="15"/>
      <c r="WZW55" s="15"/>
      <c r="WZX55" s="15"/>
      <c r="WZY55" s="15"/>
      <c r="WZZ55" s="15"/>
      <c r="XAA55" s="15"/>
      <c r="XAB55" s="15"/>
      <c r="XAC55" s="15"/>
      <c r="XAD55" s="15"/>
      <c r="XAE55" s="15"/>
      <c r="XAF55" s="15"/>
      <c r="XAG55" s="15"/>
      <c r="XAH55" s="15"/>
      <c r="XAI55" s="15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15"/>
      <c r="XAV55" s="15"/>
      <c r="XAW55" s="15"/>
      <c r="XAX55" s="15"/>
      <c r="XAY55" s="15"/>
      <c r="XAZ55" s="15"/>
      <c r="XBA55" s="15"/>
      <c r="XBB55" s="15"/>
      <c r="XBC55" s="15"/>
      <c r="XBD55" s="15"/>
      <c r="XBE55" s="15"/>
      <c r="XBF55" s="15"/>
      <c r="XBG55" s="15"/>
      <c r="XBH55" s="15"/>
      <c r="XBI55" s="15"/>
      <c r="XBJ55" s="15"/>
      <c r="XBK55" s="15"/>
      <c r="XBL55" s="15"/>
      <c r="XBM55" s="15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15"/>
      <c r="XBZ55" s="15"/>
      <c r="XCA55" s="15"/>
      <c r="XCB55" s="15"/>
      <c r="XCC55" s="15"/>
      <c r="XCD55" s="15"/>
      <c r="XCE55" s="15"/>
      <c r="XCF55" s="15"/>
      <c r="XCG55" s="15"/>
      <c r="XCH55" s="15"/>
      <c r="XCI55" s="15"/>
      <c r="XCJ55" s="15"/>
      <c r="XCK55" s="15"/>
      <c r="XCL55" s="15"/>
      <c r="XCM55" s="15"/>
      <c r="XCN55" s="15"/>
      <c r="XCO55" s="15"/>
      <c r="XCP55" s="15"/>
      <c r="XCQ55" s="15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15"/>
      <c r="XDD55" s="15"/>
      <c r="XDE55" s="15"/>
      <c r="XDF55" s="15"/>
      <c r="XDG55" s="15"/>
      <c r="XDH55" s="15"/>
      <c r="XDI55" s="15"/>
      <c r="XDJ55" s="15"/>
      <c r="XDK55" s="15"/>
      <c r="XDL55" s="15"/>
      <c r="XDM55" s="15"/>
      <c r="XDN55" s="15"/>
      <c r="XDO55" s="15"/>
      <c r="XDP55" s="15"/>
      <c r="XDQ55" s="15"/>
      <c r="XDR55" s="15"/>
      <c r="XDS55" s="15"/>
      <c r="XDT55" s="15"/>
      <c r="XDU55" s="15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15"/>
      <c r="XEH55" s="15"/>
      <c r="XEI55" s="15"/>
      <c r="XEJ55" s="15"/>
      <c r="XEK55" s="15"/>
      <c r="XEL55" s="15"/>
      <c r="XEM55" s="15"/>
      <c r="XEN55" s="15"/>
      <c r="XEO55" s="15"/>
      <c r="XEP55" s="15"/>
      <c r="XEQ55" s="15"/>
      <c r="XER55" s="15"/>
      <c r="XES55" s="15"/>
      <c r="XET55" s="15"/>
      <c r="XEU55" s="15"/>
      <c r="XEV55" s="15"/>
      <c r="XEW55" s="15"/>
      <c r="XEX55" s="15"/>
      <c r="XEY55" s="15"/>
      <c r="XEZ55" s="15"/>
      <c r="XFA55" s="15"/>
      <c r="XFB55" s="15"/>
      <c r="XFC55" s="15"/>
    </row>
    <row r="56" spans="2:16383" s="15" customFormat="1">
      <c r="B56" s="136" t="s">
        <v>195</v>
      </c>
      <c r="C56" s="114"/>
      <c r="D56" s="116">
        <f t="shared" ref="D56:M56" si="5">IFERROR(D55/C55-1,"na")</f>
        <v>0.32675160956491345</v>
      </c>
      <c r="E56" s="116">
        <f t="shared" si="5"/>
        <v>0.32285105211735088</v>
      </c>
      <c r="F56" s="116">
        <f t="shared" si="5"/>
        <v>0.28253900181956215</v>
      </c>
      <c r="G56" s="116">
        <f t="shared" si="5"/>
        <v>0.23233518946603171</v>
      </c>
      <c r="H56" s="116">
        <f t="shared" si="5"/>
        <v>0.19750720810128763</v>
      </c>
      <c r="I56" s="116">
        <f t="shared" si="5"/>
        <v>0.16999281647407094</v>
      </c>
      <c r="J56" s="116">
        <f t="shared" si="5"/>
        <v>0.14887095924843585</v>
      </c>
      <c r="K56" s="116">
        <f t="shared" si="5"/>
        <v>0.13249568584154114</v>
      </c>
      <c r="L56" s="116">
        <f t="shared" si="5"/>
        <v>0.12154174661239581</v>
      </c>
      <c r="M56" s="116">
        <f t="shared" si="5"/>
        <v>3.0000000000000027E-2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103</v>
      </c>
      <c r="C57" s="115">
        <f>+INDEX(Model!$A:$AQ,MATCH("EBITDA",Model!$A:$A,0),MATCH(DCF!C$51,Model!$3:$3,0))</f>
        <v>133.69832223361345</v>
      </c>
      <c r="D57" s="115">
        <f>+INDEX(Model!$A:$AQ,MATCH("EBITDA",Model!$A:$A,0),MATCH(DCF!D$51,Model!$3:$3,0))</f>
        <v>191.64852683600634</v>
      </c>
      <c r="E57" s="115">
        <f>+INDEX(Model!$A:$AQ,MATCH("EBITDA",Model!$A:$A,0),MATCH(DCF!E$51,Model!$3:$3,0))</f>
        <v>273.33385584293353</v>
      </c>
      <c r="F57" s="115">
        <f>+INDEX(Model!$A:$AQ,MATCH("EBITDA",Model!$A:$A,0),MATCH(DCF!F$51,Model!$3:$3,0))</f>
        <v>375.97022443407104</v>
      </c>
      <c r="G57" s="115">
        <f>+INDEX(Model!$A:$AQ,MATCH("EBITDA",Model!$A:$A,0),MATCH(DCF!G$51,Model!$3:$3,0))</f>
        <v>494.63361171396025</v>
      </c>
      <c r="H57" s="115">
        <f>+INDEX(Model!$A:$AQ,MATCH("EBITDA",Model!$A:$A,0),MATCH(DCF!H$51,Model!$3:$3,0))</f>
        <v>629.82398915669773</v>
      </c>
      <c r="I57" s="115">
        <f>+INDEX(Model!$A:$AQ,MATCH("EBITDA",Model!$A:$A,0),MATCH(DCF!I$51,Model!$3:$3,0))</f>
        <v>772.40403162285293</v>
      </c>
      <c r="J57" s="115">
        <f>+INDEX(Model!$A:$AQ,MATCH("EBITDA",Model!$A:$A,0),MATCH(DCF!J$51,Model!$3:$3,0))</f>
        <v>928.19412539937593</v>
      </c>
      <c r="K57" s="115">
        <f>+INDEX(Model!$A:$AQ,MATCH("EBITDA",Model!$A:$A,0),MATCH(DCF!K$51,Model!$3:$3,0))</f>
        <v>1091.9472508335787</v>
      </c>
      <c r="L57" s="115">
        <f>+INDEX(Model!$A:$AQ,MATCH("EBITDA",Model!$A:$A,0),MATCH(DCF!L$51,Model!$3:$3,0))</f>
        <v>1270.3912632677241</v>
      </c>
      <c r="M57" s="162">
        <f>+L57*(1+$K$36)</f>
        <v>1308.5030011657559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15"/>
      <c r="WHF57" s="15"/>
      <c r="WHG57" s="15"/>
      <c r="WHH57" s="15"/>
      <c r="WHI57" s="15"/>
      <c r="WHJ57" s="15"/>
      <c r="WHK57" s="15"/>
      <c r="WHL57" s="15"/>
      <c r="WHM57" s="15"/>
      <c r="WHN57" s="15"/>
      <c r="WHO57" s="15"/>
      <c r="WHP57" s="15"/>
      <c r="WHQ57" s="15"/>
      <c r="WHR57" s="15"/>
      <c r="WHS57" s="15"/>
      <c r="WHT57" s="15"/>
      <c r="WHU57" s="15"/>
      <c r="WHV57" s="15"/>
      <c r="WHW57" s="15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15"/>
      <c r="WIJ57" s="15"/>
      <c r="WIK57" s="15"/>
      <c r="WIL57" s="15"/>
      <c r="WIM57" s="15"/>
      <c r="WIN57" s="15"/>
      <c r="WIO57" s="15"/>
      <c r="WIP57" s="15"/>
      <c r="WIQ57" s="15"/>
      <c r="WIR57" s="15"/>
      <c r="WIS57" s="15"/>
      <c r="WIT57" s="15"/>
      <c r="WIU57" s="15"/>
      <c r="WIV57" s="15"/>
      <c r="WIW57" s="15"/>
      <c r="WIX57" s="15"/>
      <c r="WIY57" s="15"/>
      <c r="WIZ57" s="15"/>
      <c r="WJA57" s="15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15"/>
      <c r="WJN57" s="15"/>
      <c r="WJO57" s="15"/>
      <c r="WJP57" s="15"/>
      <c r="WJQ57" s="15"/>
      <c r="WJR57" s="15"/>
      <c r="WJS57" s="15"/>
      <c r="WJT57" s="15"/>
      <c r="WJU57" s="15"/>
      <c r="WJV57" s="15"/>
      <c r="WJW57" s="15"/>
      <c r="WJX57" s="15"/>
      <c r="WJY57" s="15"/>
      <c r="WJZ57" s="15"/>
      <c r="WKA57" s="15"/>
      <c r="WKB57" s="15"/>
      <c r="WKC57" s="15"/>
      <c r="WKD57" s="15"/>
      <c r="WKE57" s="15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15"/>
      <c r="WKR57" s="15"/>
      <c r="WKS57" s="15"/>
      <c r="WKT57" s="15"/>
      <c r="WKU57" s="15"/>
      <c r="WKV57" s="15"/>
      <c r="WKW57" s="15"/>
      <c r="WKX57" s="15"/>
      <c r="WKY57" s="15"/>
      <c r="WKZ57" s="15"/>
      <c r="WLA57" s="15"/>
      <c r="WLB57" s="15"/>
      <c r="WLC57" s="15"/>
      <c r="WLD57" s="15"/>
      <c r="WLE57" s="15"/>
      <c r="WLF57" s="15"/>
      <c r="WLG57" s="15"/>
      <c r="WLH57" s="15"/>
      <c r="WLI57" s="15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15"/>
      <c r="WLV57" s="15"/>
      <c r="WLW57" s="15"/>
      <c r="WLX57" s="15"/>
      <c r="WLY57" s="15"/>
      <c r="WLZ57" s="15"/>
      <c r="WMA57" s="15"/>
      <c r="WMB57" s="15"/>
      <c r="WMC57" s="15"/>
      <c r="WMD57" s="15"/>
      <c r="WME57" s="15"/>
      <c r="WMF57" s="15"/>
      <c r="WMG57" s="15"/>
      <c r="WMH57" s="15"/>
      <c r="WMI57" s="15"/>
      <c r="WMJ57" s="15"/>
      <c r="WMK57" s="15"/>
      <c r="WML57" s="15"/>
      <c r="WMM57" s="15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15"/>
      <c r="WMZ57" s="15"/>
      <c r="WNA57" s="15"/>
      <c r="WNB57" s="15"/>
      <c r="WNC57" s="15"/>
      <c r="WND57" s="15"/>
      <c r="WNE57" s="15"/>
      <c r="WNF57" s="15"/>
      <c r="WNG57" s="15"/>
      <c r="WNH57" s="15"/>
      <c r="WNI57" s="15"/>
      <c r="WNJ57" s="15"/>
      <c r="WNK57" s="15"/>
      <c r="WNL57" s="15"/>
      <c r="WNM57" s="15"/>
      <c r="WNN57" s="15"/>
      <c r="WNO57" s="15"/>
      <c r="WNP57" s="15"/>
      <c r="WNQ57" s="15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15"/>
      <c r="WOD57" s="15"/>
      <c r="WOE57" s="15"/>
      <c r="WOF57" s="15"/>
      <c r="WOG57" s="15"/>
      <c r="WOH57" s="15"/>
      <c r="WOI57" s="15"/>
      <c r="WOJ57" s="15"/>
      <c r="WOK57" s="15"/>
      <c r="WOL57" s="15"/>
      <c r="WOM57" s="15"/>
      <c r="WON57" s="15"/>
      <c r="WOO57" s="15"/>
      <c r="WOP57" s="15"/>
      <c r="WOQ57" s="15"/>
      <c r="WOR57" s="15"/>
      <c r="WOS57" s="15"/>
      <c r="WOT57" s="15"/>
      <c r="WOU57" s="15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15"/>
      <c r="WPH57" s="15"/>
      <c r="WPI57" s="15"/>
      <c r="WPJ57" s="15"/>
      <c r="WPK57" s="15"/>
      <c r="WPL57" s="15"/>
      <c r="WPM57" s="15"/>
      <c r="WPN57" s="15"/>
      <c r="WPO57" s="15"/>
      <c r="WPP57" s="15"/>
      <c r="WPQ57" s="15"/>
      <c r="WPR57" s="15"/>
      <c r="WPS57" s="15"/>
      <c r="WPT57" s="15"/>
      <c r="WPU57" s="15"/>
      <c r="WPV57" s="15"/>
      <c r="WPW57" s="15"/>
      <c r="WPX57" s="15"/>
      <c r="WPY57" s="15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15"/>
      <c r="WQL57" s="15"/>
      <c r="WQM57" s="15"/>
      <c r="WQN57" s="15"/>
      <c r="WQO57" s="15"/>
      <c r="WQP57" s="15"/>
      <c r="WQQ57" s="15"/>
      <c r="WQR57" s="15"/>
      <c r="WQS57" s="15"/>
      <c r="WQT57" s="15"/>
      <c r="WQU57" s="15"/>
      <c r="WQV57" s="15"/>
      <c r="WQW57" s="15"/>
      <c r="WQX57" s="15"/>
      <c r="WQY57" s="15"/>
      <c r="WQZ57" s="15"/>
      <c r="WRA57" s="15"/>
      <c r="WRB57" s="15"/>
      <c r="WRC57" s="15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15"/>
      <c r="WRP57" s="15"/>
      <c r="WRQ57" s="15"/>
      <c r="WRR57" s="15"/>
      <c r="WRS57" s="15"/>
      <c r="WRT57" s="15"/>
      <c r="WRU57" s="15"/>
      <c r="WRV57" s="15"/>
      <c r="WRW57" s="15"/>
      <c r="WRX57" s="15"/>
      <c r="WRY57" s="15"/>
      <c r="WRZ57" s="15"/>
      <c r="WSA57" s="15"/>
      <c r="WSB57" s="15"/>
      <c r="WSC57" s="15"/>
      <c r="WSD57" s="15"/>
      <c r="WSE57" s="15"/>
      <c r="WSF57" s="15"/>
      <c r="WSG57" s="15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15"/>
      <c r="WST57" s="15"/>
      <c r="WSU57" s="15"/>
      <c r="WSV57" s="15"/>
      <c r="WSW57" s="15"/>
      <c r="WSX57" s="15"/>
      <c r="WSY57" s="15"/>
      <c r="WSZ57" s="15"/>
      <c r="WTA57" s="15"/>
      <c r="WTB57" s="15"/>
      <c r="WTC57" s="15"/>
      <c r="WTD57" s="15"/>
      <c r="WTE57" s="15"/>
      <c r="WTF57" s="15"/>
      <c r="WTG57" s="15"/>
      <c r="WTH57" s="15"/>
      <c r="WTI57" s="15"/>
      <c r="WTJ57" s="15"/>
      <c r="WTK57" s="15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15"/>
      <c r="WTX57" s="15"/>
      <c r="WTY57" s="15"/>
      <c r="WTZ57" s="15"/>
      <c r="WUA57" s="15"/>
      <c r="WUB57" s="15"/>
      <c r="WUC57" s="15"/>
      <c r="WUD57" s="15"/>
      <c r="WUE57" s="15"/>
      <c r="WUF57" s="15"/>
      <c r="WUG57" s="15"/>
      <c r="WUH57" s="15"/>
      <c r="WUI57" s="15"/>
      <c r="WUJ57" s="15"/>
      <c r="WUK57" s="15"/>
      <c r="WUL57" s="15"/>
      <c r="WUM57" s="15"/>
      <c r="WUN57" s="15"/>
      <c r="WUO57" s="15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15"/>
      <c r="WVB57" s="15"/>
      <c r="WVC57" s="15"/>
      <c r="WVD57" s="15"/>
      <c r="WVE57" s="15"/>
      <c r="WVF57" s="15"/>
      <c r="WVG57" s="15"/>
      <c r="WVH57" s="15"/>
      <c r="WVI57" s="15"/>
      <c r="WVJ57" s="15"/>
      <c r="WVK57" s="15"/>
      <c r="WVL57" s="15"/>
      <c r="WVM57" s="15"/>
      <c r="WVN57" s="15"/>
      <c r="WVO57" s="15"/>
      <c r="WVP57" s="15"/>
      <c r="WVQ57" s="15"/>
      <c r="WVR57" s="15"/>
      <c r="WVS57" s="15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15"/>
      <c r="WWF57" s="15"/>
      <c r="WWG57" s="15"/>
      <c r="WWH57" s="15"/>
      <c r="WWI57" s="15"/>
      <c r="WWJ57" s="15"/>
      <c r="WWK57" s="15"/>
      <c r="WWL57" s="15"/>
      <c r="WWM57" s="15"/>
      <c r="WWN57" s="15"/>
      <c r="WWO57" s="15"/>
      <c r="WWP57" s="15"/>
      <c r="WWQ57" s="15"/>
      <c r="WWR57" s="15"/>
      <c r="WWS57" s="15"/>
      <c r="WWT57" s="15"/>
      <c r="WWU57" s="15"/>
      <c r="WWV57" s="15"/>
      <c r="WWW57" s="15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15"/>
      <c r="WXJ57" s="15"/>
      <c r="WXK57" s="15"/>
      <c r="WXL57" s="15"/>
      <c r="WXM57" s="15"/>
      <c r="WXN57" s="15"/>
      <c r="WXO57" s="15"/>
      <c r="WXP57" s="15"/>
      <c r="WXQ57" s="15"/>
      <c r="WXR57" s="15"/>
      <c r="WXS57" s="15"/>
      <c r="WXT57" s="15"/>
      <c r="WXU57" s="15"/>
      <c r="WXV57" s="15"/>
      <c r="WXW57" s="15"/>
      <c r="WXX57" s="15"/>
      <c r="WXY57" s="15"/>
      <c r="WXZ57" s="15"/>
      <c r="WYA57" s="15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15"/>
      <c r="WYN57" s="15"/>
      <c r="WYO57" s="15"/>
      <c r="WYP57" s="15"/>
      <c r="WYQ57" s="15"/>
      <c r="WYR57" s="15"/>
      <c r="WYS57" s="15"/>
      <c r="WYT57" s="15"/>
      <c r="WYU57" s="15"/>
      <c r="WYV57" s="15"/>
      <c r="WYW57" s="15"/>
      <c r="WYX57" s="15"/>
      <c r="WYY57" s="15"/>
      <c r="WYZ57" s="15"/>
      <c r="WZA57" s="15"/>
      <c r="WZB57" s="15"/>
      <c r="WZC57" s="15"/>
      <c r="WZD57" s="15"/>
      <c r="WZE57" s="15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15"/>
      <c r="WZR57" s="15"/>
      <c r="WZS57" s="15"/>
      <c r="WZT57" s="15"/>
      <c r="WZU57" s="15"/>
      <c r="WZV57" s="15"/>
      <c r="WZW57" s="15"/>
      <c r="WZX57" s="15"/>
      <c r="WZY57" s="15"/>
      <c r="WZZ57" s="15"/>
      <c r="XAA57" s="15"/>
      <c r="XAB57" s="15"/>
      <c r="XAC57" s="15"/>
      <c r="XAD57" s="15"/>
      <c r="XAE57" s="15"/>
      <c r="XAF57" s="15"/>
      <c r="XAG57" s="15"/>
      <c r="XAH57" s="15"/>
      <c r="XAI57" s="15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15"/>
      <c r="XAV57" s="15"/>
      <c r="XAW57" s="15"/>
      <c r="XAX57" s="15"/>
      <c r="XAY57" s="15"/>
      <c r="XAZ57" s="15"/>
      <c r="XBA57" s="15"/>
      <c r="XBB57" s="15"/>
      <c r="XBC57" s="15"/>
      <c r="XBD57" s="15"/>
      <c r="XBE57" s="15"/>
      <c r="XBF57" s="15"/>
      <c r="XBG57" s="15"/>
      <c r="XBH57" s="15"/>
      <c r="XBI57" s="15"/>
      <c r="XBJ57" s="15"/>
      <c r="XBK57" s="15"/>
      <c r="XBL57" s="15"/>
      <c r="XBM57" s="15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15"/>
      <c r="XBZ57" s="15"/>
      <c r="XCA57" s="15"/>
      <c r="XCB57" s="15"/>
      <c r="XCC57" s="15"/>
      <c r="XCD57" s="15"/>
      <c r="XCE57" s="15"/>
      <c r="XCF57" s="15"/>
      <c r="XCG57" s="15"/>
      <c r="XCH57" s="15"/>
      <c r="XCI57" s="15"/>
      <c r="XCJ57" s="15"/>
      <c r="XCK57" s="15"/>
      <c r="XCL57" s="15"/>
      <c r="XCM57" s="15"/>
      <c r="XCN57" s="15"/>
      <c r="XCO57" s="15"/>
      <c r="XCP57" s="15"/>
      <c r="XCQ57" s="15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15"/>
      <c r="XDD57" s="15"/>
      <c r="XDE57" s="15"/>
      <c r="XDF57" s="15"/>
      <c r="XDG57" s="15"/>
      <c r="XDH57" s="15"/>
      <c r="XDI57" s="15"/>
      <c r="XDJ57" s="15"/>
      <c r="XDK57" s="15"/>
      <c r="XDL57" s="15"/>
      <c r="XDM57" s="15"/>
      <c r="XDN57" s="15"/>
      <c r="XDO57" s="15"/>
      <c r="XDP57" s="15"/>
      <c r="XDQ57" s="15"/>
      <c r="XDR57" s="15"/>
      <c r="XDS57" s="15"/>
      <c r="XDT57" s="15"/>
      <c r="XDU57" s="15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15"/>
      <c r="XEH57" s="15"/>
      <c r="XEI57" s="15"/>
      <c r="XEJ57" s="15"/>
      <c r="XEK57" s="15"/>
      <c r="XEL57" s="15"/>
      <c r="XEM57" s="15"/>
      <c r="XEN57" s="15"/>
      <c r="XEO57" s="15"/>
      <c r="XEP57" s="15"/>
      <c r="XEQ57" s="15"/>
      <c r="XER57" s="15"/>
      <c r="XES57" s="15"/>
      <c r="XET57" s="15"/>
      <c r="XEU57" s="15"/>
      <c r="XEV57" s="15"/>
      <c r="XEW57" s="15"/>
      <c r="XEX57" s="15"/>
      <c r="XEY57" s="15"/>
      <c r="XEZ57" s="15"/>
      <c r="XFA57" s="15"/>
      <c r="XFB57" s="15"/>
      <c r="XFC57" s="15"/>
    </row>
    <row r="58" spans="2:16383" s="15" customFormat="1">
      <c r="B58" s="136" t="s">
        <v>196</v>
      </c>
      <c r="C58" s="114"/>
      <c r="D58" s="116">
        <f t="shared" ref="D58:M58" si="6">IFERROR(D57/C57-1,"na")</f>
        <v>0.43344002852283725</v>
      </c>
      <c r="E58" s="116">
        <f t="shared" si="6"/>
        <v>0.42622466426170513</v>
      </c>
      <c r="F58" s="116">
        <f t="shared" si="6"/>
        <v>0.37549819166973486</v>
      </c>
      <c r="G58" s="116">
        <f t="shared" si="6"/>
        <v>0.31561910908904345</v>
      </c>
      <c r="H58" s="116">
        <f t="shared" si="6"/>
        <v>0.27331417485821041</v>
      </c>
      <c r="I58" s="116">
        <f t="shared" si="6"/>
        <v>0.22638077450346494</v>
      </c>
      <c r="J58" s="116">
        <f t="shared" si="6"/>
        <v>0.20169508106942624</v>
      </c>
      <c r="K58" s="116">
        <f t="shared" si="6"/>
        <v>0.17642120430760566</v>
      </c>
      <c r="L58" s="116">
        <f t="shared" si="6"/>
        <v>0.16341816172706469</v>
      </c>
      <c r="M58" s="116">
        <f t="shared" si="6"/>
        <v>3.0000000000000027E-2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5" customFormat="1">
      <c r="B59" s="136" t="s">
        <v>193</v>
      </c>
      <c r="C59" s="116">
        <f>IFERROR(C57/C55,"na")</f>
        <v>6.2182854415636778E-2</v>
      </c>
      <c r="D59" s="116">
        <f t="shared" ref="D59:M59" si="7">IFERROR(D57/D55,"na")</f>
        <v>6.7183180306381762E-2</v>
      </c>
      <c r="E59" s="116">
        <f t="shared" si="7"/>
        <v>7.2433180306381795E-2</v>
      </c>
      <c r="F59" s="116">
        <f t="shared" si="7"/>
        <v>7.7683180306381813E-2</v>
      </c>
      <c r="G59" s="116">
        <f t="shared" si="7"/>
        <v>8.2933180306381776E-2</v>
      </c>
      <c r="H59" s="116">
        <f t="shared" si="7"/>
        <v>8.8183180306381781E-2</v>
      </c>
      <c r="I59" s="116">
        <f t="shared" si="7"/>
        <v>9.2433180306381729E-2</v>
      </c>
      <c r="J59" s="116">
        <f t="shared" si="7"/>
        <v>9.6683180306381747E-2</v>
      </c>
      <c r="K59" s="116">
        <f t="shared" si="7"/>
        <v>0.10043318030638178</v>
      </c>
      <c r="L59" s="116">
        <f t="shared" si="7"/>
        <v>0.10418318030638173</v>
      </c>
      <c r="M59" s="116">
        <f t="shared" si="7"/>
        <v>0.10418318030638173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0999999999999996" customHeight="1">
      <c r="B60" s="9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</row>
    <row r="61" spans="2:16383">
      <c r="B61" t="s">
        <v>4</v>
      </c>
      <c r="C61" s="115">
        <f>+INDEX(Model!$A:$AQ,MATCH("EBIT",Model!$A:$A,0),MATCH(DCF!C$51,Model!$3:$3,0))</f>
        <v>37.483334671103883</v>
      </c>
      <c r="D61" s="115">
        <f>+INDEX(Model!$A:$AQ,MATCH("EBIT",Model!$A:$A,0),MATCH(DCF!D$51,Model!$3:$3,0))</f>
        <v>79.655572201605196</v>
      </c>
      <c r="E61" s="115">
        <f ca="1">+INDEX(Model!$A:$AQ,MATCH("EBIT",Model!$A:$A,0),MATCH(DCF!E$51,Model!$3:$3,0))</f>
        <v>137.14815125203819</v>
      </c>
      <c r="F61" s="115">
        <f ca="1">+INDEX(Model!$A:$AQ,MATCH("EBIT",Model!$A:$A,0),MATCH(DCF!F$51,Model!$3:$3,0))</f>
        <v>204.96422153188863</v>
      </c>
      <c r="G61" s="115">
        <f ca="1">+INDEX(Model!$A:$AQ,MATCH("EBIT",Model!$A:$A,0),MATCH(DCF!G$51,Model!$3:$3,0))</f>
        <v>287.25586127481489</v>
      </c>
      <c r="H61" s="115">
        <f ca="1">+INDEX(Model!$A:$AQ,MATCH("EBIT",Model!$A:$A,0),MATCH(DCF!H$51,Model!$3:$3,0))</f>
        <v>384.60627147300625</v>
      </c>
      <c r="I61" s="115">
        <f ca="1">+INDEX(Model!$A:$AQ,MATCH("EBIT",Model!$A:$A,0),MATCH(DCF!I$51,Model!$3:$3,0))</f>
        <v>488.61484404696637</v>
      </c>
      <c r="J61" s="115">
        <f ca="1">+INDEX(Model!$A:$AQ,MATCH("EBIT",Model!$A:$A,0),MATCH(DCF!J$51,Model!$3:$3,0))</f>
        <v>604.68979682259715</v>
      </c>
      <c r="K61" s="115">
        <f ca="1">+INDEX(Model!$A:$AQ,MATCH("EBIT",Model!$A:$A,0),MATCH(DCF!K$51,Model!$3:$3,0))</f>
        <v>727.41919647220709</v>
      </c>
      <c r="L61" s="115">
        <f ca="1">+INDEX(Model!$A:$AQ,MATCH("EBIT",Model!$A:$A,0),MATCH(DCF!L$51,Model!$3:$3,0))</f>
        <v>863.35853582461709</v>
      </c>
      <c r="M61" s="162">
        <f ca="1">+L61*(1+$K$36)</f>
        <v>889.25929189935562</v>
      </c>
    </row>
    <row r="62" spans="2:16383" s="15" customFormat="1">
      <c r="B62" s="136" t="s">
        <v>5</v>
      </c>
      <c r="C62" s="116">
        <f>-IFERROR(-INDEX(Model!$A:$AQ,MATCH("Current Tax Rate",Model!$A:$A,0),MATCH(DCF!C$51,Model!$3:$3,0))-INDEX(Model!$A:$AQ,MATCH("Deferred Tax Rate",Model!$A:$A,0),MATCH(DCF!C$51,Model!$3:$3,0)),"na")</f>
        <v>0.24</v>
      </c>
      <c r="D62" s="116">
        <f>-IFERROR(-INDEX(Model!$A:$AQ,MATCH("Current Tax Rate",Model!$A:$A,0),MATCH(DCF!D$51,Model!$3:$3,0))-INDEX(Model!$A:$AQ,MATCH("Deferred Tax Rate",Model!$A:$A,0),MATCH(DCF!D$51,Model!$3:$3,0)),"na")</f>
        <v>0.23999999999999896</v>
      </c>
      <c r="E62" s="116">
        <f>-IFERROR(-INDEX(Model!$A:$AQ,MATCH("Current Tax Rate",Model!$A:$A,0),MATCH(DCF!E$51,Model!$3:$3,0))-INDEX(Model!$A:$AQ,MATCH("Deferred Tax Rate",Model!$A:$A,0),MATCH(DCF!E$51,Model!$3:$3,0)),"na")</f>
        <v>0.24</v>
      </c>
      <c r="F62" s="116">
        <f>-IFERROR(-INDEX(Model!$A:$AQ,MATCH("Current Tax Rate",Model!$A:$A,0),MATCH(DCF!F$51,Model!$3:$3,0))-INDEX(Model!$A:$AQ,MATCH("Deferred Tax Rate",Model!$A:$A,0),MATCH(DCF!F$51,Model!$3:$3,0)),"na")</f>
        <v>0.24</v>
      </c>
      <c r="G62" s="116">
        <f>-IFERROR(-INDEX(Model!$A:$AQ,MATCH("Current Tax Rate",Model!$A:$A,0),MATCH(DCF!G$51,Model!$3:$3,0))-INDEX(Model!$A:$AQ,MATCH("Deferred Tax Rate",Model!$A:$A,0),MATCH(DCF!G$51,Model!$3:$3,0)),"na")</f>
        <v>0.24</v>
      </c>
      <c r="H62" s="116">
        <f>-IFERROR(-INDEX(Model!$A:$AQ,MATCH("Current Tax Rate",Model!$A:$A,0),MATCH(DCF!H$51,Model!$3:$3,0))-INDEX(Model!$A:$AQ,MATCH("Deferred Tax Rate",Model!$A:$A,0),MATCH(DCF!H$51,Model!$3:$3,0)),"na")</f>
        <v>0.24</v>
      </c>
      <c r="I62" s="116">
        <f>-IFERROR(-INDEX(Model!$A:$AQ,MATCH("Current Tax Rate",Model!$A:$A,0),MATCH(DCF!I$51,Model!$3:$3,0))-INDEX(Model!$A:$AQ,MATCH("Deferred Tax Rate",Model!$A:$A,0),MATCH(DCF!I$51,Model!$3:$3,0)),"na")</f>
        <v>0.24</v>
      </c>
      <c r="J62" s="116">
        <f>-IFERROR(-INDEX(Model!$A:$AQ,MATCH("Current Tax Rate",Model!$A:$A,0),MATCH(DCF!J$51,Model!$3:$3,0))-INDEX(Model!$A:$AQ,MATCH("Deferred Tax Rate",Model!$A:$A,0),MATCH(DCF!J$51,Model!$3:$3,0)),"na")</f>
        <v>0.24</v>
      </c>
      <c r="K62" s="116">
        <f>-IFERROR(-INDEX(Model!$A:$AQ,MATCH("Current Tax Rate",Model!$A:$A,0),MATCH(DCF!K$51,Model!$3:$3,0))-INDEX(Model!$A:$AQ,MATCH("Deferred Tax Rate",Model!$A:$A,0),MATCH(DCF!K$51,Model!$3:$3,0)),"na")</f>
        <v>0.24</v>
      </c>
      <c r="L62" s="116">
        <f>-IFERROR(-INDEX(Model!$A:$AQ,MATCH("Current Tax Rate",Model!$A:$A,0),MATCH(DCF!L$51,Model!$3:$3,0))-INDEX(Model!$A:$AQ,MATCH("Deferred Tax Rate",Model!$A:$A,0),MATCH(DCF!L$51,Model!$3:$3,0)),"na")</f>
        <v>0.24</v>
      </c>
      <c r="M62" s="116">
        <f>-IFERROR(-INDEX(Model!$A:$AQ,MATCH("Current Tax Rate",Model!$A:$A,0),MATCH(DCF!M$51,Model!$3:$3,0))-INDEX(Model!$A:$AQ,MATCH("Deferred Tax Rate",Model!$A:$A,0),MATCH(DCF!M$51,Model!$3:$3,0)),"na")</f>
        <v>0.24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147">
        <f>IFERROR(C61*(1-C62),0)</f>
        <v>28.48733435003895</v>
      </c>
      <c r="D63" s="147">
        <f t="shared" ref="D63:M63" si="8">IFERROR(D61*(1-D62),0)</f>
        <v>60.538234873220027</v>
      </c>
      <c r="E63" s="147">
        <f t="shared" ca="1" si="8"/>
        <v>104.23259495154903</v>
      </c>
      <c r="F63" s="147">
        <f t="shared" ca="1" si="8"/>
        <v>155.77280836423535</v>
      </c>
      <c r="G63" s="147">
        <f t="shared" ca="1" si="8"/>
        <v>218.31445456885933</v>
      </c>
      <c r="H63" s="147">
        <f t="shared" ca="1" si="8"/>
        <v>292.30076631948475</v>
      </c>
      <c r="I63" s="147">
        <f t="shared" ca="1" si="8"/>
        <v>371.34728147569444</v>
      </c>
      <c r="J63" s="147">
        <f t="shared" ca="1" si="8"/>
        <v>459.56424558517381</v>
      </c>
      <c r="K63" s="147">
        <f t="shared" ca="1" si="8"/>
        <v>552.83858931887744</v>
      </c>
      <c r="L63" s="147">
        <f t="shared" ca="1" si="8"/>
        <v>656.15248722670901</v>
      </c>
      <c r="M63" s="147">
        <f t="shared" ca="1" si="8"/>
        <v>675.83706184351024</v>
      </c>
    </row>
    <row r="64" spans="2:16383">
      <c r="B64" s="27" t="s">
        <v>7</v>
      </c>
      <c r="C64" s="115">
        <f>-INDEX(Model!$A:$AQ,MATCH("DD&amp;A",Model!$A:$A,0),MATCH(DCF!C$51,Model!$3:$3,0))</f>
        <v>56.864641919936297</v>
      </c>
      <c r="D64" s="115">
        <f>-INDEX(Model!$A:$AQ,MATCH("DD&amp;A",Model!$A:$A,0),MATCH(DCF!D$51,Model!$3:$3,0))</f>
        <v>74.41727884721729</v>
      </c>
      <c r="E64" s="115">
        <f ca="1">-INDEX(Model!$A:$AQ,MATCH("DD&amp;A",Model!$A:$A,0),MATCH(DCF!E$51,Model!$3:$3,0))</f>
        <v>84.031859921818494</v>
      </c>
      <c r="F64" s="115">
        <f ca="1">-INDEX(Model!$A:$AQ,MATCH("DD&amp;A",Model!$A:$A,0),MATCH(DCF!F$51,Model!$3:$3,0))</f>
        <v>108.03696292580806</v>
      </c>
      <c r="G64" s="115">
        <f ca="1">-INDEX(Model!$A:$AQ,MATCH("DD&amp;A",Model!$A:$A,0),MATCH(DCF!G$51,Model!$3:$3,0))</f>
        <v>138.87297068462817</v>
      </c>
      <c r="H64" s="115">
        <f ca="1">-INDEX(Model!$A:$AQ,MATCH("DD&amp;A",Model!$A:$A,0),MATCH(DCF!H$51,Model!$3:$3,0))</f>
        <v>170.94654232694222</v>
      </c>
      <c r="I64" s="115">
        <f ca="1">-INDEX(Model!$A:$AQ,MATCH("DD&amp;A",Model!$A:$A,0),MATCH(DCF!I$51,Model!$3:$3,0))</f>
        <v>204.44358408917316</v>
      </c>
      <c r="J64" s="115">
        <f ca="1">-INDEX(Model!$A:$AQ,MATCH("DD&amp;A",Model!$A:$A,0),MATCH(DCF!J$51,Model!$3:$3,0))</f>
        <v>238.93052641070821</v>
      </c>
      <c r="K64" s="115">
        <f ca="1">-INDEX(Model!$A:$AQ,MATCH("DD&amp;A",Model!$A:$A,0),MATCH(DCF!K$51,Model!$3:$3,0))</f>
        <v>274.57228296655109</v>
      </c>
      <c r="L64" s="115">
        <f ca="1">-INDEX(Model!$A:$AQ,MATCH("DD&amp;A",Model!$A:$A,0),MATCH(DCF!L$51,Model!$3:$3,0))</f>
        <v>311.54121627014371</v>
      </c>
      <c r="M64" s="115">
        <f ca="1">-INDEX(Model!$A:$AQ,MATCH("DD&amp;A",Model!$A:$A,0),MATCH(DCF!M$51,Model!$3:$3,0))</f>
        <v>350.09517535766702</v>
      </c>
    </row>
    <row r="65" spans="2:16383">
      <c r="B65" s="27" t="s">
        <v>194</v>
      </c>
      <c r="C65" s="115">
        <f>+INDEX(Model!$A:$AQ,MATCH("Capex",Model!$A:$A,0),MATCH(DCF!C$51,Model!$3:$3,0))+INDEX(Model!$A:$AQ,MATCH("M&amp;A",Model!$A:$A,0),MATCH(DCF!C$51,Model!$3:$3,0))+INDEX(Model!$A:$AQ,MATCH("Repayment of contingent and deferred consideration",Model!$A:$A,0),MATCH(DCF!C$51,Model!$3:$3,0))+INDEX(Model!$A:$AQ,MATCH("Payments on lease liabilites",Model!$A:$A,0),MATCH(DCF!C$51,Model!$3:$3,0))</f>
        <v>-211.31683839181372</v>
      </c>
      <c r="D65" s="115">
        <f>+INDEX(Model!$A:$AQ,MATCH("Capex",Model!$A:$A,0),MATCH(DCF!D$51,Model!$3:$3,0))+INDEX(Model!$A:$AQ,MATCH("M&amp;A",Model!$A:$A,0),MATCH(DCF!D$51,Model!$3:$3,0))+INDEX(Model!$A:$AQ,MATCH("Repayment of contingent and deferred consideration",Model!$A:$A,0),MATCH(DCF!D$51,Model!$3:$3,0))+INDEX(Model!$A:$AQ,MATCH("Payments on lease liabilites",Model!$A:$A,0),MATCH(DCF!D$51,Model!$3:$3,0))</f>
        <v>-283.53727221711165</v>
      </c>
      <c r="E65" s="115">
        <f ca="1">+INDEX(Model!$A:$AQ,MATCH("Capex",Model!$A:$A,0),MATCH(DCF!E$51,Model!$3:$3,0))+INDEX(Model!$A:$AQ,MATCH("M&amp;A",Model!$A:$A,0),MATCH(DCF!E$51,Model!$3:$3,0))+INDEX(Model!$A:$AQ,MATCH("Repayment of contingent and deferred consideration",Model!$A:$A,0),MATCH(DCF!E$51,Model!$3:$3,0))+INDEX(Model!$A:$AQ,MATCH("Payments on lease liabilites",Model!$A:$A,0),MATCH(DCF!E$51,Model!$3:$3,0))</f>
        <v>-339.67533424522549</v>
      </c>
      <c r="F65" s="115">
        <f ca="1">+INDEX(Model!$A:$AQ,MATCH("Capex",Model!$A:$A,0),MATCH(DCF!F$51,Model!$3:$3,0))+INDEX(Model!$A:$AQ,MATCH("M&amp;A",Model!$A:$A,0),MATCH(DCF!F$51,Model!$3:$3,0))+INDEX(Model!$A:$AQ,MATCH("Repayment of contingent and deferred consideration",Model!$A:$A,0),MATCH(DCF!F$51,Model!$3:$3,0))+INDEX(Model!$A:$AQ,MATCH("Payments on lease liabilites",Model!$A:$A,0),MATCH(DCF!F$51,Model!$3:$3,0))</f>
        <v>-409.8073000814004</v>
      </c>
      <c r="G65" s="115">
        <f ca="1">+INDEX(Model!$A:$AQ,MATCH("Capex",Model!$A:$A,0),MATCH(DCF!G$51,Model!$3:$3,0))+INDEX(Model!$A:$AQ,MATCH("M&amp;A",Model!$A:$A,0),MATCH(DCF!G$51,Model!$3:$3,0))+INDEX(Model!$A:$AQ,MATCH("Repayment of contingent and deferred consideration",Model!$A:$A,0),MATCH(DCF!G$51,Model!$3:$3,0))+INDEX(Model!$A:$AQ,MATCH("Payments on lease liabilites",Model!$A:$A,0),MATCH(DCF!G$51,Model!$3:$3,0))</f>
        <v>-460.62523996690931</v>
      </c>
      <c r="H65" s="115">
        <f ca="1">+INDEX(Model!$A:$AQ,MATCH("Capex",Model!$A:$A,0),MATCH(DCF!H$51,Model!$3:$3,0))+INDEX(Model!$A:$AQ,MATCH("M&amp;A",Model!$A:$A,0),MATCH(DCF!H$51,Model!$3:$3,0))+INDEX(Model!$A:$AQ,MATCH("Repayment of contingent and deferred consideration",Model!$A:$A,0),MATCH(DCF!H$51,Model!$3:$3,0))+INDEX(Model!$A:$AQ,MATCH("Payments on lease liabilites",Model!$A:$A,0),MATCH(DCF!H$51,Model!$3:$3,0))</f>
        <v>-512.07199167801127</v>
      </c>
      <c r="I65" s="115">
        <f ca="1">+INDEX(Model!$A:$AQ,MATCH("Capex",Model!$A:$A,0),MATCH(DCF!I$51,Model!$3:$3,0))+INDEX(Model!$A:$AQ,MATCH("M&amp;A",Model!$A:$A,0),MATCH(DCF!I$51,Model!$3:$3,0))+INDEX(Model!$A:$AQ,MATCH("Repayment of contingent and deferred consideration",Model!$A:$A,0),MATCH(DCF!I$51,Model!$3:$3,0))+INDEX(Model!$A:$AQ,MATCH("Payments on lease liabilites",Model!$A:$A,0),MATCH(DCF!I$51,Model!$3:$3,0))</f>
        <v>-560.66079969860482</v>
      </c>
      <c r="J65" s="115">
        <f ca="1">+INDEX(Model!$A:$AQ,MATCH("Capex",Model!$A:$A,0),MATCH(DCF!J$51,Model!$3:$3,0))+INDEX(Model!$A:$AQ,MATCH("M&amp;A",Model!$A:$A,0),MATCH(DCF!J$51,Model!$3:$3,0))+INDEX(Model!$A:$AQ,MATCH("Repayment of contingent and deferred consideration",Model!$A:$A,0),MATCH(DCF!J$51,Model!$3:$3,0))+INDEX(Model!$A:$AQ,MATCH("Payments on lease liabilites",Model!$A:$A,0),MATCH(DCF!J$51,Model!$3:$3,0))</f>
        <v>-610.45726256308478</v>
      </c>
      <c r="K65" s="115">
        <f ca="1">+INDEX(Model!$A:$AQ,MATCH("Capex",Model!$A:$A,0),MATCH(DCF!K$51,Model!$3:$3,0))+INDEX(Model!$A:$AQ,MATCH("M&amp;A",Model!$A:$A,0),MATCH(DCF!K$51,Model!$3:$3,0))+INDEX(Model!$A:$AQ,MATCH("Repayment of contingent and deferred consideration",Model!$A:$A,0),MATCH(DCF!K$51,Model!$3:$3,0))+INDEX(Model!$A:$AQ,MATCH("Payments on lease liabilites",Model!$A:$A,0),MATCH(DCF!K$51,Model!$3:$3,0))</f>
        <v>-662.06623203099082</v>
      </c>
      <c r="L65" s="115">
        <f ca="1">+INDEX(Model!$A:$AQ,MATCH("Capex",Model!$A:$A,0),MATCH(DCF!L$51,Model!$3:$3,0))+INDEX(Model!$A:$AQ,MATCH("M&amp;A",Model!$A:$A,0),MATCH(DCF!L$51,Model!$3:$3,0))+INDEX(Model!$A:$AQ,MATCH("Repayment of contingent and deferred consideration",Model!$A:$A,0),MATCH(DCF!L$51,Model!$3:$3,0))+INDEX(Model!$A:$AQ,MATCH("Payments on lease liabilites",Model!$A:$A,0),MATCH(DCF!L$51,Model!$3:$3,0))</f>
        <v>-715.83998934818339</v>
      </c>
      <c r="M65" s="138">
        <f ca="1">(M63*-INDEX($J$37:$L$37,MATCH($L$85,$J$36:$L$36,0)))-M64-M66</f>
        <v>-504.59597579213585</v>
      </c>
    </row>
    <row r="66" spans="2:16383">
      <c r="B66" s="27" t="s">
        <v>128</v>
      </c>
      <c r="C66" s="115">
        <f>+INDEX(Model!$A:$AQ,MATCH("Change in NWC",Model!$A:$A,0),MATCH(DCF!C$51,Model!$3:$3,0))</f>
        <v>10.042231077064429</v>
      </c>
      <c r="D66" s="115">
        <f>+INDEX(Model!$A:$AQ,MATCH("Change in NWC",Model!$A:$A,0),MATCH(DCF!D$51,Model!$3:$3,0))</f>
        <v>14.514483149941503</v>
      </c>
      <c r="E66" s="115">
        <f>+INDEX(Model!$A:$AQ,MATCH("Change in NWC",Model!$A:$A,0),MATCH(DCF!E$51,Model!$3:$3,0))</f>
        <v>11.459863653025376</v>
      </c>
      <c r="F66" s="115">
        <f>+INDEX(Model!$A:$AQ,MATCH("Change in NWC",Model!$A:$A,0),MATCH(DCF!F$51,Model!$3:$3,0))</f>
        <v>9.3436815635995298</v>
      </c>
      <c r="G66" s="115">
        <f>+INDEX(Model!$A:$AQ,MATCH("Change in NWC",Model!$A:$A,0),MATCH(DCF!G$51,Model!$3:$3,0))</f>
        <v>4.8288049680515819</v>
      </c>
      <c r="H66" s="115">
        <f>+INDEX(Model!$A:$AQ,MATCH("Change in NWC",Model!$A:$A,0),MATCH(DCF!H$51,Model!$3:$3,0))</f>
        <v>-0.19848680008092057</v>
      </c>
      <c r="I66" s="115">
        <f>+INDEX(Model!$A:$AQ,MATCH("Change in NWC",Model!$A:$A,0),MATCH(DCF!I$51,Model!$3:$3,0))</f>
        <v>-5.8132887028799392</v>
      </c>
      <c r="J66" s="115">
        <f>+INDEX(Model!$A:$AQ,MATCH("Change in NWC",Model!$A:$A,0),MATCH(DCF!J$51,Model!$3:$3,0))</f>
        <v>-11.762882519317488</v>
      </c>
      <c r="K66" s="115">
        <f>+INDEX(Model!$A:$AQ,MATCH("Change in NWC",Model!$A:$A,0),MATCH(DCF!K$51,Model!$3:$3,0))</f>
        <v>-17.954564372243283</v>
      </c>
      <c r="L66" s="115">
        <f>+INDEX(Model!$A:$AQ,MATCH("Change in NWC",Model!$A:$A,0),MATCH(DCF!L$51,Model!$3:$3,0))</f>
        <v>-24.265908279156005</v>
      </c>
      <c r="M66" s="115">
        <f>+INDEX(Model!$A:$AQ,MATCH("Change in NWC",Model!$A:$A,0),MATCH(DCF!M$51,Model!$3:$3,0))</f>
        <v>-30.950875513760483</v>
      </c>
      <c r="O66" s="15"/>
      <c r="P66" s="15"/>
      <c r="Q66" s="15"/>
      <c r="R66" s="15"/>
      <c r="S66" s="15"/>
      <c r="T66" s="15"/>
      <c r="U66" s="15"/>
      <c r="V66" s="15"/>
    </row>
    <row r="67" spans="2:16383">
      <c r="B67" s="27" t="s">
        <v>113</v>
      </c>
      <c r="C67" s="115">
        <f>+INDEX(Model!$A:$AQ,MATCH("Deferred taxes",Model!$A:$A,0),MATCH(DCF!C$51,Model!$3:$3,0))</f>
        <v>4.24026506991129</v>
      </c>
      <c r="D67" s="115">
        <f>+INDEX(Model!$A:$AQ,MATCH("Deferred taxes",Model!$A:$A,0),MATCH(DCF!D$51,Model!$3:$3,0))</f>
        <v>3.1586403762648181</v>
      </c>
      <c r="E67" s="115">
        <f ca="1">+INDEX(Model!$A:$AQ,MATCH("Deferred taxes",Model!$A:$A,0),MATCH(DCF!E$51,Model!$3:$3,0))</f>
        <v>2.0285409788837319</v>
      </c>
      <c r="F67" s="115">
        <f ca="1">+INDEX(Model!$A:$AQ,MATCH("Deferred taxes",Model!$A:$A,0),MATCH(DCF!F$51,Model!$3:$3,0))</f>
        <v>0</v>
      </c>
      <c r="G67" s="115">
        <f ca="1">+INDEX(Model!$A:$AQ,MATCH("Deferred taxes",Model!$A:$A,0),MATCH(DCF!G$51,Model!$3:$3,0))</f>
        <v>0</v>
      </c>
      <c r="H67" s="115">
        <f ca="1">+INDEX(Model!$A:$AQ,MATCH("Deferred taxes",Model!$A:$A,0),MATCH(DCF!H$51,Model!$3:$3,0))</f>
        <v>0</v>
      </c>
      <c r="I67" s="115">
        <f ca="1">+INDEX(Model!$A:$AQ,MATCH("Deferred taxes",Model!$A:$A,0),MATCH(DCF!I$51,Model!$3:$3,0))</f>
        <v>0</v>
      </c>
      <c r="J67" s="115">
        <f ca="1">+INDEX(Model!$A:$AQ,MATCH("Deferred taxes",Model!$A:$A,0),MATCH(DCF!J$51,Model!$3:$3,0))</f>
        <v>0</v>
      </c>
      <c r="K67" s="115">
        <f ca="1">+INDEX(Model!$A:$AQ,MATCH("Deferred taxes",Model!$A:$A,0),MATCH(DCF!K$51,Model!$3:$3,0))</f>
        <v>0</v>
      </c>
      <c r="L67" s="115">
        <f ca="1">+INDEX(Model!$A:$AQ,MATCH("Deferred taxes",Model!$A:$A,0),MATCH(DCF!L$51,Model!$3:$3,0))</f>
        <v>0</v>
      </c>
      <c r="M67" s="115">
        <f ca="1">+INDEX(Model!$A:$AQ,MATCH("Deferred taxes",Model!$A:$A,0),MATCH(DCF!M$51,Model!$3:$3,0))</f>
        <v>0</v>
      </c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2:16383">
      <c r="B68" s="2" t="s">
        <v>10</v>
      </c>
      <c r="C68" s="8">
        <f>SUM(C63:C67)</f>
        <v>-111.68236597486276</v>
      </c>
      <c r="D68" s="8">
        <f t="shared" ref="D68:K68" si="9">SUM(D63:D67)</f>
        <v>-130.908634970468</v>
      </c>
      <c r="E68" s="8">
        <f t="shared" ca="1" si="9"/>
        <v>-137.92247473994885</v>
      </c>
      <c r="F68" s="8">
        <f t="shared" ca="1" si="9"/>
        <v>-136.6538472277575</v>
      </c>
      <c r="G68" s="8">
        <f t="shared" ca="1" si="9"/>
        <v>-98.609009745370216</v>
      </c>
      <c r="H68" s="8">
        <f t="shared" ca="1" si="9"/>
        <v>-49.023169831665221</v>
      </c>
      <c r="I68" s="8">
        <f t="shared" ca="1" si="9"/>
        <v>9.3167771633827865</v>
      </c>
      <c r="J68" s="8">
        <f t="shared" ca="1" si="9"/>
        <v>76.274626913479779</v>
      </c>
      <c r="K68" s="8">
        <f t="shared" ca="1" si="9"/>
        <v>147.39007588219437</v>
      </c>
      <c r="L68" s="8">
        <f ca="1">SUM(L63:L67)</f>
        <v>227.58780586951337</v>
      </c>
      <c r="M68" s="8">
        <f ca="1">SUM(M63:M67)</f>
        <v>490.38538589528093</v>
      </c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  <c r="AMK68" s="15"/>
      <c r="AML68" s="15"/>
      <c r="AMM68" s="15"/>
      <c r="AMN68" s="15"/>
      <c r="AMO68" s="15"/>
      <c r="AMP68" s="15"/>
      <c r="AMQ68" s="15"/>
      <c r="AMR68" s="15"/>
      <c r="AMS68" s="15"/>
      <c r="AMT68" s="15"/>
      <c r="AMU68" s="15"/>
      <c r="AMV68" s="15"/>
      <c r="AMW68" s="15"/>
      <c r="AMX68" s="15"/>
      <c r="AMY68" s="15"/>
      <c r="AMZ68" s="15"/>
      <c r="ANA68" s="15"/>
      <c r="ANB68" s="15"/>
      <c r="ANC68" s="15"/>
      <c r="AND68" s="15"/>
      <c r="ANE68" s="15"/>
      <c r="ANF68" s="15"/>
      <c r="ANG68" s="15"/>
      <c r="ANH68" s="15"/>
      <c r="ANI68" s="15"/>
      <c r="ANJ68" s="15"/>
      <c r="ANK68" s="15"/>
      <c r="ANL68" s="15"/>
      <c r="ANM68" s="15"/>
      <c r="ANN68" s="15"/>
      <c r="ANO68" s="15"/>
      <c r="ANP68" s="15"/>
      <c r="ANQ68" s="15"/>
      <c r="ANR68" s="15"/>
      <c r="ANS68" s="15"/>
      <c r="ANT68" s="15"/>
      <c r="ANU68" s="15"/>
      <c r="ANV68" s="15"/>
      <c r="ANW68" s="15"/>
      <c r="ANX68" s="15"/>
      <c r="ANY68" s="15"/>
      <c r="ANZ68" s="15"/>
      <c r="AOA68" s="15"/>
      <c r="AOB68" s="15"/>
      <c r="AOC68" s="15"/>
      <c r="AOD68" s="15"/>
      <c r="AOE68" s="15"/>
      <c r="AOF68" s="15"/>
      <c r="AOG68" s="15"/>
      <c r="AOH68" s="15"/>
      <c r="AOI68" s="15"/>
      <c r="AOJ68" s="15"/>
      <c r="AOK68" s="15"/>
      <c r="AOL68" s="15"/>
      <c r="AOM68" s="15"/>
      <c r="AON68" s="15"/>
      <c r="AOO68" s="15"/>
      <c r="AOP68" s="15"/>
      <c r="AOQ68" s="15"/>
      <c r="AOR68" s="15"/>
      <c r="AOS68" s="15"/>
      <c r="AOT68" s="15"/>
      <c r="AOU68" s="15"/>
      <c r="AOV68" s="15"/>
      <c r="AOW68" s="15"/>
      <c r="AOX68" s="15"/>
      <c r="AOY68" s="15"/>
      <c r="AOZ68" s="15"/>
      <c r="APA68" s="15"/>
      <c r="APB68" s="15"/>
      <c r="APC68" s="15"/>
      <c r="APD68" s="15"/>
      <c r="APE68" s="15"/>
      <c r="APF68" s="15"/>
      <c r="APG68" s="15"/>
      <c r="APH68" s="15"/>
      <c r="API68" s="15"/>
      <c r="APJ68" s="15"/>
      <c r="APK68" s="15"/>
      <c r="APL68" s="15"/>
      <c r="APM68" s="15"/>
      <c r="APN68" s="15"/>
      <c r="APO68" s="15"/>
      <c r="APP68" s="15"/>
      <c r="APQ68" s="15"/>
      <c r="APR68" s="15"/>
      <c r="APS68" s="15"/>
      <c r="APT68" s="15"/>
      <c r="APU68" s="15"/>
      <c r="APV68" s="15"/>
      <c r="APW68" s="15"/>
      <c r="APX68" s="15"/>
      <c r="APY68" s="15"/>
      <c r="APZ68" s="15"/>
      <c r="AQA68" s="15"/>
      <c r="AQB68" s="15"/>
      <c r="AQC68" s="15"/>
      <c r="AQD68" s="15"/>
      <c r="AQE68" s="15"/>
      <c r="AQF68" s="15"/>
      <c r="AQG68" s="15"/>
      <c r="AQH68" s="15"/>
      <c r="AQI68" s="15"/>
      <c r="AQJ68" s="15"/>
      <c r="AQK68" s="15"/>
      <c r="AQL68" s="15"/>
      <c r="AQM68" s="15"/>
      <c r="AQN68" s="15"/>
      <c r="AQO68" s="15"/>
      <c r="AQP68" s="15"/>
      <c r="AQQ68" s="15"/>
      <c r="AQR68" s="15"/>
      <c r="AQS68" s="15"/>
      <c r="AQT68" s="15"/>
      <c r="AQU68" s="15"/>
      <c r="AQV68" s="15"/>
      <c r="AQW68" s="15"/>
      <c r="AQX68" s="15"/>
      <c r="AQY68" s="15"/>
      <c r="AQZ68" s="15"/>
      <c r="ARA68" s="15"/>
      <c r="ARB68" s="15"/>
      <c r="ARC68" s="15"/>
      <c r="ARD68" s="15"/>
      <c r="ARE68" s="15"/>
      <c r="ARF68" s="15"/>
      <c r="ARG68" s="15"/>
      <c r="ARH68" s="15"/>
      <c r="ARI68" s="15"/>
      <c r="ARJ68" s="15"/>
      <c r="ARK68" s="15"/>
      <c r="ARL68" s="15"/>
      <c r="ARM68" s="15"/>
      <c r="ARN68" s="15"/>
      <c r="ARO68" s="15"/>
      <c r="ARP68" s="15"/>
      <c r="ARQ68" s="15"/>
      <c r="ARR68" s="15"/>
      <c r="ARS68" s="15"/>
      <c r="ART68" s="15"/>
      <c r="ARU68" s="15"/>
      <c r="ARV68" s="15"/>
      <c r="ARW68" s="15"/>
      <c r="ARX68" s="15"/>
      <c r="ARY68" s="15"/>
      <c r="ARZ68" s="15"/>
      <c r="ASA68" s="15"/>
      <c r="ASB68" s="15"/>
      <c r="ASC68" s="15"/>
      <c r="ASD68" s="15"/>
      <c r="ASE68" s="15"/>
      <c r="ASF68" s="15"/>
      <c r="ASG68" s="15"/>
      <c r="ASH68" s="15"/>
      <c r="ASI68" s="15"/>
      <c r="ASJ68" s="15"/>
      <c r="ASK68" s="15"/>
      <c r="ASL68" s="15"/>
      <c r="ASM68" s="15"/>
      <c r="ASN68" s="15"/>
      <c r="ASO68" s="15"/>
      <c r="ASP68" s="15"/>
      <c r="ASQ68" s="15"/>
      <c r="ASR68" s="15"/>
      <c r="ASS68" s="15"/>
      <c r="AST68" s="15"/>
      <c r="ASU68" s="15"/>
      <c r="ASV68" s="15"/>
      <c r="ASW68" s="15"/>
      <c r="ASX68" s="15"/>
      <c r="ASY68" s="15"/>
      <c r="ASZ68" s="15"/>
      <c r="ATA68" s="15"/>
      <c r="ATB68" s="15"/>
      <c r="ATC68" s="15"/>
      <c r="ATD68" s="15"/>
      <c r="ATE68" s="15"/>
      <c r="ATF68" s="15"/>
      <c r="ATG68" s="15"/>
      <c r="ATH68" s="15"/>
      <c r="ATI68" s="15"/>
      <c r="ATJ68" s="15"/>
      <c r="ATK68" s="15"/>
      <c r="ATL68" s="15"/>
      <c r="ATM68" s="15"/>
      <c r="ATN68" s="15"/>
      <c r="ATO68" s="15"/>
      <c r="ATP68" s="15"/>
      <c r="ATQ68" s="15"/>
      <c r="ATR68" s="15"/>
      <c r="ATS68" s="15"/>
      <c r="ATT68" s="15"/>
      <c r="ATU68" s="15"/>
      <c r="ATV68" s="15"/>
      <c r="ATW68" s="15"/>
      <c r="ATX68" s="15"/>
      <c r="ATY68" s="15"/>
      <c r="ATZ68" s="15"/>
      <c r="AUA68" s="15"/>
      <c r="AUB68" s="15"/>
      <c r="AUC68" s="15"/>
      <c r="AUD68" s="15"/>
      <c r="AUE68" s="15"/>
      <c r="AUF68" s="15"/>
      <c r="AUG68" s="15"/>
      <c r="AUH68" s="15"/>
      <c r="AUI68" s="15"/>
      <c r="AUJ68" s="15"/>
      <c r="AUK68" s="15"/>
      <c r="AUL68" s="15"/>
      <c r="AUM68" s="15"/>
      <c r="AUN68" s="15"/>
      <c r="AUO68" s="15"/>
      <c r="AUP68" s="15"/>
      <c r="AUQ68" s="15"/>
      <c r="AUR68" s="15"/>
      <c r="AUS68" s="15"/>
      <c r="AUT68" s="15"/>
      <c r="AUU68" s="15"/>
      <c r="AUV68" s="15"/>
      <c r="AUW68" s="15"/>
      <c r="AUX68" s="15"/>
      <c r="AUY68" s="15"/>
      <c r="AUZ68" s="15"/>
      <c r="AVA68" s="15"/>
      <c r="AVB68" s="15"/>
      <c r="AVC68" s="15"/>
      <c r="AVD68" s="15"/>
      <c r="AVE68" s="15"/>
      <c r="AVF68" s="15"/>
      <c r="AVG68" s="15"/>
      <c r="AVH68" s="15"/>
      <c r="AVI68" s="15"/>
      <c r="AVJ68" s="15"/>
      <c r="AVK68" s="15"/>
      <c r="AVL68" s="15"/>
      <c r="AVM68" s="15"/>
      <c r="AVN68" s="15"/>
      <c r="AVO68" s="15"/>
      <c r="AVP68" s="15"/>
      <c r="AVQ68" s="15"/>
      <c r="AVR68" s="15"/>
      <c r="AVS68" s="15"/>
      <c r="AVT68" s="15"/>
      <c r="AVU68" s="15"/>
      <c r="AVV68" s="15"/>
      <c r="AVW68" s="15"/>
      <c r="AVX68" s="15"/>
      <c r="AVY68" s="15"/>
      <c r="AVZ68" s="15"/>
      <c r="AWA68" s="15"/>
      <c r="AWB68" s="15"/>
      <c r="AWC68" s="15"/>
      <c r="AWD68" s="15"/>
      <c r="AWE68" s="15"/>
      <c r="AWF68" s="15"/>
      <c r="AWG68" s="15"/>
      <c r="AWH68" s="15"/>
      <c r="AWI68" s="15"/>
      <c r="AWJ68" s="15"/>
      <c r="AWK68" s="15"/>
      <c r="AWL68" s="15"/>
      <c r="AWM68" s="15"/>
      <c r="AWN68" s="15"/>
      <c r="AWO68" s="15"/>
      <c r="AWP68" s="15"/>
      <c r="AWQ68" s="15"/>
      <c r="AWR68" s="15"/>
      <c r="AWS68" s="15"/>
      <c r="AWT68" s="15"/>
      <c r="AWU68" s="15"/>
      <c r="AWV68" s="15"/>
      <c r="AWW68" s="15"/>
      <c r="AWX68" s="15"/>
      <c r="AWY68" s="15"/>
      <c r="AWZ68" s="15"/>
      <c r="AXA68" s="15"/>
      <c r="AXB68" s="15"/>
      <c r="AXC68" s="15"/>
      <c r="AXD68" s="15"/>
      <c r="AXE68" s="15"/>
      <c r="AXF68" s="15"/>
      <c r="AXG68" s="15"/>
      <c r="AXH68" s="15"/>
      <c r="AXI68" s="15"/>
      <c r="AXJ68" s="15"/>
      <c r="AXK68" s="15"/>
      <c r="AXL68" s="15"/>
      <c r="AXM68" s="15"/>
      <c r="AXN68" s="15"/>
      <c r="AXO68" s="15"/>
      <c r="AXP68" s="15"/>
      <c r="AXQ68" s="15"/>
      <c r="AXR68" s="15"/>
      <c r="AXS68" s="15"/>
      <c r="AXT68" s="15"/>
      <c r="AXU68" s="15"/>
      <c r="AXV68" s="15"/>
      <c r="AXW68" s="15"/>
      <c r="AXX68" s="15"/>
      <c r="AXY68" s="15"/>
      <c r="AXZ68" s="15"/>
      <c r="AYA68" s="15"/>
      <c r="AYB68" s="15"/>
      <c r="AYC68" s="15"/>
      <c r="AYD68" s="15"/>
      <c r="AYE68" s="15"/>
      <c r="AYF68" s="15"/>
      <c r="AYG68" s="15"/>
      <c r="AYH68" s="15"/>
      <c r="AYI68" s="15"/>
      <c r="AYJ68" s="15"/>
      <c r="AYK68" s="15"/>
      <c r="AYL68" s="15"/>
      <c r="AYM68" s="15"/>
      <c r="AYN68" s="15"/>
      <c r="AYO68" s="15"/>
      <c r="AYP68" s="15"/>
      <c r="AYQ68" s="15"/>
      <c r="AYR68" s="15"/>
      <c r="AYS68" s="15"/>
      <c r="AYT68" s="15"/>
      <c r="AYU68" s="15"/>
      <c r="AYV68" s="15"/>
      <c r="AYW68" s="15"/>
      <c r="AYX68" s="15"/>
      <c r="AYY68" s="15"/>
      <c r="AYZ68" s="15"/>
      <c r="AZA68" s="15"/>
      <c r="AZB68" s="15"/>
      <c r="AZC68" s="15"/>
      <c r="AZD68" s="15"/>
      <c r="AZE68" s="15"/>
      <c r="AZF68" s="15"/>
      <c r="AZG68" s="15"/>
      <c r="AZH68" s="15"/>
      <c r="AZI68" s="15"/>
      <c r="AZJ68" s="15"/>
      <c r="AZK68" s="15"/>
      <c r="AZL68" s="15"/>
      <c r="AZM68" s="15"/>
      <c r="AZN68" s="15"/>
      <c r="AZO68" s="15"/>
      <c r="AZP68" s="15"/>
      <c r="AZQ68" s="15"/>
      <c r="AZR68" s="15"/>
      <c r="AZS68" s="15"/>
      <c r="AZT68" s="15"/>
      <c r="AZU68" s="15"/>
      <c r="AZV68" s="15"/>
      <c r="AZW68" s="15"/>
      <c r="AZX68" s="15"/>
      <c r="AZY68" s="15"/>
      <c r="AZZ68" s="15"/>
      <c r="BAA68" s="15"/>
      <c r="BAB68" s="15"/>
      <c r="BAC68" s="15"/>
      <c r="BAD68" s="15"/>
      <c r="BAE68" s="15"/>
      <c r="BAF68" s="15"/>
      <c r="BAG68" s="15"/>
      <c r="BAH68" s="15"/>
      <c r="BAI68" s="15"/>
      <c r="BAJ68" s="15"/>
      <c r="BAK68" s="15"/>
      <c r="BAL68" s="15"/>
      <c r="BAM68" s="15"/>
      <c r="BAN68" s="15"/>
      <c r="BAO68" s="15"/>
      <c r="BAP68" s="15"/>
      <c r="BAQ68" s="15"/>
      <c r="BAR68" s="15"/>
      <c r="BAS68" s="15"/>
      <c r="BAT68" s="15"/>
      <c r="BAU68" s="15"/>
      <c r="BAV68" s="15"/>
      <c r="BAW68" s="15"/>
      <c r="BAX68" s="15"/>
      <c r="BAY68" s="15"/>
      <c r="BAZ68" s="15"/>
      <c r="BBA68" s="15"/>
      <c r="BBB68" s="15"/>
      <c r="BBC68" s="15"/>
      <c r="BBD68" s="15"/>
      <c r="BBE68" s="15"/>
      <c r="BBF68" s="15"/>
      <c r="BBG68" s="15"/>
      <c r="BBH68" s="15"/>
      <c r="BBI68" s="15"/>
      <c r="BBJ68" s="15"/>
      <c r="BBK68" s="15"/>
      <c r="BBL68" s="15"/>
      <c r="BBM68" s="15"/>
      <c r="BBN68" s="15"/>
      <c r="BBO68" s="15"/>
      <c r="BBP68" s="15"/>
      <c r="BBQ68" s="15"/>
      <c r="BBR68" s="15"/>
      <c r="BBS68" s="15"/>
      <c r="BBT68" s="15"/>
      <c r="BBU68" s="15"/>
      <c r="BBV68" s="15"/>
      <c r="BBW68" s="15"/>
      <c r="BBX68" s="15"/>
      <c r="BBY68" s="15"/>
      <c r="BBZ68" s="15"/>
      <c r="BCA68" s="15"/>
      <c r="BCB68" s="15"/>
      <c r="BCC68" s="15"/>
      <c r="BCD68" s="15"/>
      <c r="BCE68" s="15"/>
      <c r="BCF68" s="15"/>
      <c r="BCG68" s="15"/>
      <c r="BCH68" s="15"/>
      <c r="BCI68" s="15"/>
      <c r="BCJ68" s="15"/>
      <c r="BCK68" s="15"/>
      <c r="BCL68" s="15"/>
      <c r="BCM68" s="15"/>
      <c r="BCN68" s="15"/>
      <c r="BCO68" s="15"/>
      <c r="BCP68" s="15"/>
      <c r="BCQ68" s="15"/>
      <c r="BCR68" s="15"/>
      <c r="BCS68" s="15"/>
      <c r="BCT68" s="15"/>
      <c r="BCU68" s="15"/>
      <c r="BCV68" s="15"/>
      <c r="BCW68" s="15"/>
      <c r="BCX68" s="15"/>
      <c r="BCY68" s="15"/>
      <c r="BCZ68" s="15"/>
      <c r="BDA68" s="15"/>
      <c r="BDB68" s="15"/>
      <c r="BDC68" s="15"/>
      <c r="BDD68" s="15"/>
      <c r="BDE68" s="15"/>
      <c r="BDF68" s="15"/>
      <c r="BDG68" s="15"/>
      <c r="BDH68" s="15"/>
      <c r="BDI68" s="15"/>
      <c r="BDJ68" s="15"/>
      <c r="BDK68" s="15"/>
      <c r="BDL68" s="15"/>
      <c r="BDM68" s="15"/>
      <c r="BDN68" s="15"/>
      <c r="BDO68" s="15"/>
      <c r="BDP68" s="15"/>
      <c r="BDQ68" s="15"/>
      <c r="BDR68" s="15"/>
      <c r="BDS68" s="15"/>
      <c r="BDT68" s="15"/>
      <c r="BDU68" s="15"/>
      <c r="BDV68" s="15"/>
      <c r="BDW68" s="15"/>
      <c r="BDX68" s="15"/>
      <c r="BDY68" s="15"/>
      <c r="BDZ68" s="15"/>
      <c r="BEA68" s="15"/>
      <c r="BEB68" s="15"/>
      <c r="BEC68" s="15"/>
      <c r="BED68" s="15"/>
      <c r="BEE68" s="15"/>
      <c r="BEF68" s="15"/>
      <c r="BEG68" s="15"/>
      <c r="BEH68" s="15"/>
      <c r="BEI68" s="15"/>
      <c r="BEJ68" s="15"/>
      <c r="BEK68" s="15"/>
      <c r="BEL68" s="15"/>
      <c r="BEM68" s="15"/>
      <c r="BEN68" s="15"/>
      <c r="BEO68" s="15"/>
      <c r="BEP68" s="15"/>
      <c r="BEQ68" s="15"/>
      <c r="BER68" s="15"/>
      <c r="BES68" s="15"/>
      <c r="BET68" s="15"/>
      <c r="BEU68" s="15"/>
      <c r="BEV68" s="15"/>
      <c r="BEW68" s="15"/>
      <c r="BEX68" s="15"/>
      <c r="BEY68" s="15"/>
      <c r="BEZ68" s="15"/>
      <c r="BFA68" s="15"/>
      <c r="BFB68" s="15"/>
      <c r="BFC68" s="15"/>
      <c r="BFD68" s="15"/>
      <c r="BFE68" s="15"/>
      <c r="BFF68" s="15"/>
      <c r="BFG68" s="15"/>
      <c r="BFH68" s="15"/>
      <c r="BFI68" s="15"/>
      <c r="BFJ68" s="15"/>
      <c r="BFK68" s="15"/>
      <c r="BFL68" s="15"/>
      <c r="BFM68" s="15"/>
      <c r="BFN68" s="15"/>
      <c r="BFO68" s="15"/>
      <c r="BFP68" s="15"/>
      <c r="BFQ68" s="15"/>
      <c r="BFR68" s="15"/>
      <c r="BFS68" s="15"/>
      <c r="BFT68" s="15"/>
      <c r="BFU68" s="15"/>
      <c r="BFV68" s="15"/>
      <c r="BFW68" s="15"/>
      <c r="BFX68" s="15"/>
      <c r="BFY68" s="15"/>
      <c r="BFZ68" s="15"/>
      <c r="BGA68" s="15"/>
      <c r="BGB68" s="15"/>
      <c r="BGC68" s="15"/>
      <c r="BGD68" s="15"/>
      <c r="BGE68" s="15"/>
      <c r="BGF68" s="15"/>
      <c r="BGG68" s="15"/>
      <c r="BGH68" s="15"/>
      <c r="BGI68" s="15"/>
      <c r="BGJ68" s="15"/>
      <c r="BGK68" s="15"/>
      <c r="BGL68" s="15"/>
      <c r="BGM68" s="15"/>
      <c r="BGN68" s="15"/>
      <c r="BGO68" s="15"/>
      <c r="BGP68" s="15"/>
      <c r="BGQ68" s="15"/>
      <c r="BGR68" s="15"/>
      <c r="BGS68" s="15"/>
      <c r="BGT68" s="15"/>
      <c r="BGU68" s="15"/>
      <c r="BGV68" s="15"/>
      <c r="BGW68" s="15"/>
      <c r="BGX68" s="15"/>
      <c r="BGY68" s="15"/>
      <c r="BGZ68" s="15"/>
      <c r="BHA68" s="15"/>
      <c r="BHB68" s="15"/>
      <c r="BHC68" s="15"/>
      <c r="BHD68" s="15"/>
      <c r="BHE68" s="15"/>
      <c r="BHF68" s="15"/>
      <c r="BHG68" s="15"/>
      <c r="BHH68" s="15"/>
      <c r="BHI68" s="15"/>
      <c r="BHJ68" s="15"/>
      <c r="BHK68" s="15"/>
      <c r="BHL68" s="15"/>
      <c r="BHM68" s="15"/>
      <c r="BHN68" s="15"/>
      <c r="BHO68" s="15"/>
      <c r="BHP68" s="15"/>
      <c r="BHQ68" s="15"/>
      <c r="BHR68" s="15"/>
      <c r="BHS68" s="15"/>
      <c r="BHT68" s="15"/>
      <c r="BHU68" s="15"/>
      <c r="BHV68" s="15"/>
      <c r="BHW68" s="15"/>
      <c r="BHX68" s="15"/>
      <c r="BHY68" s="15"/>
      <c r="BHZ68" s="15"/>
      <c r="BIA68" s="15"/>
      <c r="BIB68" s="15"/>
      <c r="BIC68" s="15"/>
      <c r="BID68" s="15"/>
      <c r="BIE68" s="15"/>
      <c r="BIF68" s="15"/>
      <c r="BIG68" s="15"/>
      <c r="BIH68" s="15"/>
      <c r="BII68" s="15"/>
      <c r="BIJ68" s="15"/>
      <c r="BIK68" s="15"/>
      <c r="BIL68" s="15"/>
      <c r="BIM68" s="15"/>
      <c r="BIN68" s="15"/>
      <c r="BIO68" s="15"/>
      <c r="BIP68" s="15"/>
      <c r="BIQ68" s="15"/>
      <c r="BIR68" s="15"/>
      <c r="BIS68" s="15"/>
      <c r="BIT68" s="15"/>
      <c r="BIU68" s="15"/>
      <c r="BIV68" s="15"/>
      <c r="BIW68" s="15"/>
      <c r="BIX68" s="15"/>
      <c r="BIY68" s="15"/>
      <c r="BIZ68" s="15"/>
      <c r="BJA68" s="15"/>
      <c r="BJB68" s="15"/>
      <c r="BJC68" s="15"/>
      <c r="BJD68" s="15"/>
      <c r="BJE68" s="15"/>
      <c r="BJF68" s="15"/>
      <c r="BJG68" s="15"/>
      <c r="BJH68" s="15"/>
      <c r="BJI68" s="15"/>
      <c r="BJJ68" s="15"/>
      <c r="BJK68" s="15"/>
      <c r="BJL68" s="15"/>
      <c r="BJM68" s="15"/>
      <c r="BJN68" s="15"/>
      <c r="BJO68" s="15"/>
      <c r="BJP68" s="15"/>
      <c r="BJQ68" s="15"/>
      <c r="BJR68" s="15"/>
      <c r="BJS68" s="15"/>
      <c r="BJT68" s="15"/>
      <c r="BJU68" s="15"/>
      <c r="BJV68" s="15"/>
      <c r="BJW68" s="15"/>
      <c r="BJX68" s="15"/>
      <c r="BJY68" s="15"/>
      <c r="BJZ68" s="15"/>
      <c r="BKA68" s="15"/>
      <c r="BKB68" s="15"/>
      <c r="BKC68" s="15"/>
      <c r="BKD68" s="15"/>
      <c r="BKE68" s="15"/>
      <c r="BKF68" s="15"/>
      <c r="BKG68" s="15"/>
      <c r="BKH68" s="15"/>
      <c r="BKI68" s="15"/>
      <c r="BKJ68" s="15"/>
      <c r="BKK68" s="15"/>
      <c r="BKL68" s="15"/>
      <c r="BKM68" s="15"/>
      <c r="BKN68" s="15"/>
      <c r="BKO68" s="15"/>
      <c r="BKP68" s="15"/>
      <c r="BKQ68" s="15"/>
      <c r="BKR68" s="15"/>
      <c r="BKS68" s="15"/>
      <c r="BKT68" s="15"/>
      <c r="BKU68" s="15"/>
      <c r="BKV68" s="15"/>
      <c r="BKW68" s="15"/>
      <c r="BKX68" s="15"/>
      <c r="BKY68" s="15"/>
      <c r="BKZ68" s="15"/>
      <c r="BLA68" s="15"/>
      <c r="BLB68" s="15"/>
      <c r="BLC68" s="15"/>
      <c r="BLD68" s="15"/>
      <c r="BLE68" s="15"/>
      <c r="BLF68" s="15"/>
      <c r="BLG68" s="15"/>
      <c r="BLH68" s="15"/>
      <c r="BLI68" s="15"/>
      <c r="BLJ68" s="15"/>
      <c r="BLK68" s="15"/>
      <c r="BLL68" s="15"/>
      <c r="BLM68" s="15"/>
      <c r="BLN68" s="15"/>
      <c r="BLO68" s="15"/>
      <c r="BLP68" s="15"/>
      <c r="BLQ68" s="15"/>
      <c r="BLR68" s="15"/>
      <c r="BLS68" s="15"/>
      <c r="BLT68" s="15"/>
      <c r="BLU68" s="15"/>
      <c r="BLV68" s="15"/>
      <c r="BLW68" s="15"/>
      <c r="BLX68" s="15"/>
      <c r="BLY68" s="15"/>
      <c r="BLZ68" s="15"/>
      <c r="BMA68" s="15"/>
      <c r="BMB68" s="15"/>
      <c r="BMC68" s="15"/>
      <c r="BMD68" s="15"/>
      <c r="BME68" s="15"/>
      <c r="BMF68" s="15"/>
      <c r="BMG68" s="15"/>
      <c r="BMH68" s="15"/>
      <c r="BMI68" s="15"/>
      <c r="BMJ68" s="15"/>
      <c r="BMK68" s="15"/>
      <c r="BML68" s="15"/>
      <c r="BMM68" s="15"/>
      <c r="BMN68" s="15"/>
      <c r="BMO68" s="15"/>
      <c r="BMP68" s="15"/>
      <c r="BMQ68" s="15"/>
      <c r="BMR68" s="15"/>
      <c r="BMS68" s="15"/>
      <c r="BMT68" s="15"/>
      <c r="BMU68" s="15"/>
      <c r="BMV68" s="15"/>
      <c r="BMW68" s="15"/>
      <c r="BMX68" s="15"/>
      <c r="BMY68" s="15"/>
      <c r="BMZ68" s="15"/>
      <c r="BNA68" s="15"/>
      <c r="BNB68" s="15"/>
      <c r="BNC68" s="15"/>
      <c r="BND68" s="15"/>
      <c r="BNE68" s="15"/>
      <c r="BNF68" s="15"/>
      <c r="BNG68" s="15"/>
      <c r="BNH68" s="15"/>
      <c r="BNI68" s="15"/>
      <c r="BNJ68" s="15"/>
      <c r="BNK68" s="15"/>
      <c r="BNL68" s="15"/>
      <c r="BNM68" s="15"/>
      <c r="BNN68" s="15"/>
      <c r="BNO68" s="15"/>
      <c r="BNP68" s="15"/>
      <c r="BNQ68" s="15"/>
      <c r="BNR68" s="15"/>
      <c r="BNS68" s="15"/>
      <c r="BNT68" s="15"/>
      <c r="BNU68" s="15"/>
      <c r="BNV68" s="15"/>
      <c r="BNW68" s="15"/>
      <c r="BNX68" s="15"/>
      <c r="BNY68" s="15"/>
      <c r="BNZ68" s="15"/>
      <c r="BOA68" s="15"/>
      <c r="BOB68" s="15"/>
      <c r="BOC68" s="15"/>
      <c r="BOD68" s="15"/>
      <c r="BOE68" s="15"/>
      <c r="BOF68" s="15"/>
      <c r="BOG68" s="15"/>
      <c r="BOH68" s="15"/>
      <c r="BOI68" s="15"/>
      <c r="BOJ68" s="15"/>
      <c r="BOK68" s="15"/>
      <c r="BOL68" s="15"/>
      <c r="BOM68" s="15"/>
      <c r="BON68" s="15"/>
      <c r="BOO68" s="15"/>
      <c r="BOP68" s="15"/>
      <c r="BOQ68" s="15"/>
      <c r="BOR68" s="15"/>
      <c r="BOS68" s="15"/>
      <c r="BOT68" s="15"/>
      <c r="BOU68" s="15"/>
      <c r="BOV68" s="15"/>
      <c r="BOW68" s="15"/>
      <c r="BOX68" s="15"/>
      <c r="BOY68" s="15"/>
      <c r="BOZ68" s="15"/>
      <c r="BPA68" s="15"/>
      <c r="BPB68" s="15"/>
      <c r="BPC68" s="15"/>
      <c r="BPD68" s="15"/>
      <c r="BPE68" s="15"/>
      <c r="BPF68" s="15"/>
      <c r="BPG68" s="15"/>
      <c r="BPH68" s="15"/>
      <c r="BPI68" s="15"/>
      <c r="BPJ68" s="15"/>
      <c r="BPK68" s="15"/>
      <c r="BPL68" s="15"/>
      <c r="BPM68" s="15"/>
      <c r="BPN68" s="15"/>
      <c r="BPO68" s="15"/>
      <c r="BPP68" s="15"/>
      <c r="BPQ68" s="15"/>
      <c r="BPR68" s="15"/>
      <c r="BPS68" s="15"/>
      <c r="BPT68" s="15"/>
      <c r="BPU68" s="15"/>
      <c r="BPV68" s="15"/>
      <c r="BPW68" s="15"/>
      <c r="BPX68" s="15"/>
      <c r="BPY68" s="15"/>
      <c r="BPZ68" s="15"/>
      <c r="BQA68" s="15"/>
      <c r="BQB68" s="15"/>
      <c r="BQC68" s="15"/>
      <c r="BQD68" s="15"/>
      <c r="BQE68" s="15"/>
      <c r="BQF68" s="15"/>
      <c r="BQG68" s="15"/>
      <c r="BQH68" s="15"/>
      <c r="BQI68" s="15"/>
      <c r="BQJ68" s="15"/>
      <c r="BQK68" s="15"/>
      <c r="BQL68" s="15"/>
      <c r="BQM68" s="15"/>
      <c r="BQN68" s="15"/>
      <c r="BQO68" s="15"/>
      <c r="BQP68" s="15"/>
      <c r="BQQ68" s="15"/>
      <c r="BQR68" s="15"/>
      <c r="BQS68" s="15"/>
      <c r="BQT68" s="15"/>
      <c r="BQU68" s="15"/>
      <c r="BQV68" s="15"/>
      <c r="BQW68" s="15"/>
      <c r="BQX68" s="15"/>
      <c r="BQY68" s="15"/>
      <c r="BQZ68" s="15"/>
      <c r="BRA68" s="15"/>
      <c r="BRB68" s="15"/>
      <c r="BRC68" s="15"/>
      <c r="BRD68" s="15"/>
      <c r="BRE68" s="15"/>
      <c r="BRF68" s="15"/>
      <c r="BRG68" s="15"/>
      <c r="BRH68" s="15"/>
      <c r="BRI68" s="15"/>
      <c r="BRJ68" s="15"/>
      <c r="BRK68" s="15"/>
      <c r="BRL68" s="15"/>
      <c r="BRM68" s="15"/>
      <c r="BRN68" s="15"/>
      <c r="BRO68" s="15"/>
      <c r="BRP68" s="15"/>
      <c r="BRQ68" s="15"/>
      <c r="BRR68" s="15"/>
      <c r="BRS68" s="15"/>
      <c r="BRT68" s="15"/>
      <c r="BRU68" s="15"/>
      <c r="BRV68" s="15"/>
      <c r="BRW68" s="15"/>
      <c r="BRX68" s="15"/>
      <c r="BRY68" s="15"/>
      <c r="BRZ68" s="15"/>
      <c r="BSA68" s="15"/>
      <c r="BSB68" s="15"/>
      <c r="BSC68" s="15"/>
      <c r="BSD68" s="15"/>
      <c r="BSE68" s="15"/>
      <c r="BSF68" s="15"/>
      <c r="BSG68" s="15"/>
      <c r="BSH68" s="15"/>
      <c r="BSI68" s="15"/>
      <c r="BSJ68" s="15"/>
      <c r="BSK68" s="15"/>
      <c r="BSL68" s="15"/>
      <c r="BSM68" s="15"/>
      <c r="BSN68" s="15"/>
      <c r="BSO68" s="15"/>
      <c r="BSP68" s="15"/>
      <c r="BSQ68" s="15"/>
      <c r="BSR68" s="15"/>
      <c r="BSS68" s="15"/>
      <c r="BST68" s="15"/>
      <c r="BSU68" s="15"/>
      <c r="BSV68" s="15"/>
      <c r="BSW68" s="15"/>
      <c r="BSX68" s="15"/>
      <c r="BSY68" s="15"/>
      <c r="BSZ68" s="15"/>
      <c r="BTA68" s="15"/>
      <c r="BTB68" s="15"/>
      <c r="BTC68" s="15"/>
      <c r="BTD68" s="15"/>
      <c r="BTE68" s="15"/>
      <c r="BTF68" s="15"/>
      <c r="BTG68" s="15"/>
      <c r="BTH68" s="15"/>
      <c r="BTI68" s="15"/>
      <c r="BTJ68" s="15"/>
      <c r="BTK68" s="15"/>
      <c r="BTL68" s="15"/>
      <c r="BTM68" s="15"/>
      <c r="BTN68" s="15"/>
      <c r="BTO68" s="15"/>
      <c r="BTP68" s="15"/>
      <c r="BTQ68" s="15"/>
      <c r="BTR68" s="15"/>
      <c r="BTS68" s="15"/>
      <c r="BTT68" s="15"/>
      <c r="BTU68" s="15"/>
      <c r="BTV68" s="15"/>
      <c r="BTW68" s="15"/>
      <c r="BTX68" s="15"/>
      <c r="BTY68" s="15"/>
      <c r="BTZ68" s="15"/>
      <c r="BUA68" s="15"/>
      <c r="BUB68" s="15"/>
      <c r="BUC68" s="15"/>
      <c r="BUD68" s="15"/>
      <c r="BUE68" s="15"/>
      <c r="BUF68" s="15"/>
      <c r="BUG68" s="15"/>
      <c r="BUH68" s="15"/>
      <c r="BUI68" s="15"/>
      <c r="BUJ68" s="15"/>
      <c r="BUK68" s="15"/>
      <c r="BUL68" s="15"/>
      <c r="BUM68" s="15"/>
      <c r="BUN68" s="15"/>
      <c r="BUO68" s="15"/>
      <c r="BUP68" s="15"/>
      <c r="BUQ68" s="15"/>
      <c r="BUR68" s="15"/>
      <c r="BUS68" s="15"/>
      <c r="BUT68" s="15"/>
      <c r="BUU68" s="15"/>
      <c r="BUV68" s="15"/>
      <c r="BUW68" s="15"/>
      <c r="BUX68" s="15"/>
      <c r="BUY68" s="15"/>
      <c r="BUZ68" s="15"/>
      <c r="BVA68" s="15"/>
      <c r="BVB68" s="15"/>
      <c r="BVC68" s="15"/>
      <c r="BVD68" s="15"/>
      <c r="BVE68" s="15"/>
      <c r="BVF68" s="15"/>
      <c r="BVG68" s="15"/>
      <c r="BVH68" s="15"/>
      <c r="BVI68" s="15"/>
      <c r="BVJ68" s="15"/>
      <c r="BVK68" s="15"/>
      <c r="BVL68" s="15"/>
      <c r="BVM68" s="15"/>
      <c r="BVN68" s="15"/>
      <c r="BVO68" s="15"/>
      <c r="BVP68" s="15"/>
      <c r="BVQ68" s="15"/>
      <c r="BVR68" s="15"/>
      <c r="BVS68" s="15"/>
      <c r="BVT68" s="15"/>
      <c r="BVU68" s="15"/>
      <c r="BVV68" s="15"/>
      <c r="BVW68" s="15"/>
      <c r="BVX68" s="15"/>
      <c r="BVY68" s="15"/>
      <c r="BVZ68" s="15"/>
      <c r="BWA68" s="15"/>
      <c r="BWB68" s="15"/>
      <c r="BWC68" s="15"/>
      <c r="BWD68" s="15"/>
      <c r="BWE68" s="15"/>
      <c r="BWF68" s="15"/>
      <c r="BWG68" s="15"/>
      <c r="BWH68" s="15"/>
      <c r="BWI68" s="15"/>
      <c r="BWJ68" s="15"/>
      <c r="BWK68" s="15"/>
      <c r="BWL68" s="15"/>
      <c r="BWM68" s="15"/>
      <c r="BWN68" s="15"/>
      <c r="BWO68" s="15"/>
      <c r="BWP68" s="15"/>
      <c r="BWQ68" s="15"/>
      <c r="BWR68" s="15"/>
      <c r="BWS68" s="15"/>
      <c r="BWT68" s="15"/>
      <c r="BWU68" s="15"/>
      <c r="BWV68" s="15"/>
      <c r="BWW68" s="15"/>
      <c r="BWX68" s="15"/>
      <c r="BWY68" s="15"/>
      <c r="BWZ68" s="15"/>
      <c r="BXA68" s="15"/>
      <c r="BXB68" s="15"/>
      <c r="BXC68" s="15"/>
      <c r="BXD68" s="15"/>
      <c r="BXE68" s="15"/>
      <c r="BXF68" s="15"/>
      <c r="BXG68" s="15"/>
      <c r="BXH68" s="15"/>
      <c r="BXI68" s="15"/>
      <c r="BXJ68" s="15"/>
      <c r="BXK68" s="15"/>
      <c r="BXL68" s="15"/>
      <c r="BXM68" s="15"/>
      <c r="BXN68" s="15"/>
      <c r="BXO68" s="15"/>
      <c r="BXP68" s="15"/>
      <c r="BXQ68" s="15"/>
      <c r="BXR68" s="15"/>
      <c r="BXS68" s="15"/>
      <c r="BXT68" s="15"/>
      <c r="BXU68" s="15"/>
      <c r="BXV68" s="15"/>
      <c r="BXW68" s="15"/>
      <c r="BXX68" s="15"/>
      <c r="BXY68" s="15"/>
      <c r="BXZ68" s="15"/>
      <c r="BYA68" s="15"/>
      <c r="BYB68" s="15"/>
      <c r="BYC68" s="15"/>
      <c r="BYD68" s="15"/>
      <c r="BYE68" s="15"/>
      <c r="BYF68" s="15"/>
      <c r="BYG68" s="15"/>
      <c r="BYH68" s="15"/>
      <c r="BYI68" s="15"/>
      <c r="BYJ68" s="15"/>
      <c r="BYK68" s="15"/>
      <c r="BYL68" s="15"/>
      <c r="BYM68" s="15"/>
      <c r="BYN68" s="15"/>
      <c r="BYO68" s="15"/>
      <c r="BYP68" s="15"/>
      <c r="BYQ68" s="15"/>
      <c r="BYR68" s="15"/>
      <c r="BYS68" s="15"/>
      <c r="BYT68" s="15"/>
      <c r="BYU68" s="15"/>
      <c r="BYV68" s="15"/>
      <c r="BYW68" s="15"/>
      <c r="BYX68" s="15"/>
      <c r="BYY68" s="15"/>
      <c r="BYZ68" s="15"/>
      <c r="BZA68" s="15"/>
      <c r="BZB68" s="15"/>
      <c r="BZC68" s="15"/>
      <c r="BZD68" s="15"/>
      <c r="BZE68" s="15"/>
      <c r="BZF68" s="15"/>
      <c r="BZG68" s="15"/>
      <c r="BZH68" s="15"/>
      <c r="BZI68" s="15"/>
      <c r="BZJ68" s="15"/>
      <c r="BZK68" s="15"/>
      <c r="BZL68" s="15"/>
      <c r="BZM68" s="15"/>
      <c r="BZN68" s="15"/>
      <c r="BZO68" s="15"/>
      <c r="BZP68" s="15"/>
      <c r="BZQ68" s="15"/>
      <c r="BZR68" s="15"/>
      <c r="BZS68" s="15"/>
      <c r="BZT68" s="15"/>
      <c r="BZU68" s="15"/>
      <c r="BZV68" s="15"/>
      <c r="BZW68" s="15"/>
      <c r="BZX68" s="15"/>
      <c r="BZY68" s="15"/>
      <c r="BZZ68" s="15"/>
      <c r="CAA68" s="15"/>
      <c r="CAB68" s="15"/>
      <c r="CAC68" s="15"/>
      <c r="CAD68" s="15"/>
      <c r="CAE68" s="15"/>
      <c r="CAF68" s="15"/>
      <c r="CAG68" s="15"/>
      <c r="CAH68" s="15"/>
      <c r="CAI68" s="15"/>
      <c r="CAJ68" s="15"/>
      <c r="CAK68" s="15"/>
      <c r="CAL68" s="15"/>
      <c r="CAM68" s="15"/>
      <c r="CAN68" s="15"/>
      <c r="CAO68" s="15"/>
      <c r="CAP68" s="15"/>
      <c r="CAQ68" s="15"/>
      <c r="CAR68" s="15"/>
      <c r="CAS68" s="15"/>
      <c r="CAT68" s="15"/>
      <c r="CAU68" s="15"/>
      <c r="CAV68" s="15"/>
      <c r="CAW68" s="15"/>
      <c r="CAX68" s="15"/>
      <c r="CAY68" s="15"/>
      <c r="CAZ68" s="15"/>
      <c r="CBA68" s="15"/>
      <c r="CBB68" s="15"/>
      <c r="CBC68" s="15"/>
      <c r="CBD68" s="15"/>
      <c r="CBE68" s="15"/>
      <c r="CBF68" s="15"/>
      <c r="CBG68" s="15"/>
      <c r="CBH68" s="15"/>
      <c r="CBI68" s="15"/>
      <c r="CBJ68" s="15"/>
      <c r="CBK68" s="15"/>
      <c r="CBL68" s="15"/>
      <c r="CBM68" s="15"/>
      <c r="CBN68" s="15"/>
      <c r="CBO68" s="15"/>
      <c r="CBP68" s="15"/>
      <c r="CBQ68" s="15"/>
      <c r="CBR68" s="15"/>
      <c r="CBS68" s="15"/>
      <c r="CBT68" s="15"/>
      <c r="CBU68" s="15"/>
      <c r="CBV68" s="15"/>
      <c r="CBW68" s="15"/>
      <c r="CBX68" s="15"/>
      <c r="CBY68" s="15"/>
      <c r="CBZ68" s="15"/>
      <c r="CCA68" s="15"/>
      <c r="CCB68" s="15"/>
      <c r="CCC68" s="15"/>
      <c r="CCD68" s="15"/>
      <c r="CCE68" s="15"/>
      <c r="CCF68" s="15"/>
      <c r="CCG68" s="15"/>
      <c r="CCH68" s="15"/>
      <c r="CCI68" s="15"/>
      <c r="CCJ68" s="15"/>
      <c r="CCK68" s="15"/>
      <c r="CCL68" s="15"/>
      <c r="CCM68" s="15"/>
      <c r="CCN68" s="15"/>
      <c r="CCO68" s="15"/>
      <c r="CCP68" s="15"/>
      <c r="CCQ68" s="15"/>
      <c r="CCR68" s="15"/>
      <c r="CCS68" s="15"/>
      <c r="CCT68" s="15"/>
      <c r="CCU68" s="15"/>
      <c r="CCV68" s="15"/>
      <c r="CCW68" s="15"/>
      <c r="CCX68" s="15"/>
      <c r="CCY68" s="15"/>
      <c r="CCZ68" s="15"/>
      <c r="CDA68" s="15"/>
      <c r="CDB68" s="15"/>
      <c r="CDC68" s="15"/>
      <c r="CDD68" s="15"/>
      <c r="CDE68" s="15"/>
      <c r="CDF68" s="15"/>
      <c r="CDG68" s="15"/>
      <c r="CDH68" s="15"/>
      <c r="CDI68" s="15"/>
      <c r="CDJ68" s="15"/>
      <c r="CDK68" s="15"/>
      <c r="CDL68" s="15"/>
      <c r="CDM68" s="15"/>
      <c r="CDN68" s="15"/>
      <c r="CDO68" s="15"/>
      <c r="CDP68" s="15"/>
      <c r="CDQ68" s="15"/>
      <c r="CDR68" s="15"/>
      <c r="CDS68" s="15"/>
      <c r="CDT68" s="15"/>
      <c r="CDU68" s="15"/>
      <c r="CDV68" s="15"/>
      <c r="CDW68" s="15"/>
      <c r="CDX68" s="15"/>
      <c r="CDY68" s="15"/>
      <c r="CDZ68" s="15"/>
      <c r="CEA68" s="15"/>
      <c r="CEB68" s="15"/>
      <c r="CEC68" s="15"/>
      <c r="CED68" s="15"/>
      <c r="CEE68" s="15"/>
      <c r="CEF68" s="15"/>
      <c r="CEG68" s="15"/>
      <c r="CEH68" s="15"/>
      <c r="CEI68" s="15"/>
      <c r="CEJ68" s="15"/>
      <c r="CEK68" s="15"/>
      <c r="CEL68" s="15"/>
      <c r="CEM68" s="15"/>
      <c r="CEN68" s="15"/>
      <c r="CEO68" s="15"/>
      <c r="CEP68" s="15"/>
      <c r="CEQ68" s="15"/>
      <c r="CER68" s="15"/>
      <c r="CES68" s="15"/>
      <c r="CET68" s="15"/>
      <c r="CEU68" s="15"/>
      <c r="CEV68" s="15"/>
      <c r="CEW68" s="15"/>
      <c r="CEX68" s="15"/>
      <c r="CEY68" s="15"/>
      <c r="CEZ68" s="15"/>
      <c r="CFA68" s="15"/>
      <c r="CFB68" s="15"/>
      <c r="CFC68" s="15"/>
      <c r="CFD68" s="15"/>
      <c r="CFE68" s="15"/>
      <c r="CFF68" s="15"/>
      <c r="CFG68" s="15"/>
      <c r="CFH68" s="15"/>
      <c r="CFI68" s="15"/>
      <c r="CFJ68" s="15"/>
      <c r="CFK68" s="15"/>
      <c r="CFL68" s="15"/>
      <c r="CFM68" s="15"/>
      <c r="CFN68" s="15"/>
      <c r="CFO68" s="15"/>
      <c r="CFP68" s="15"/>
      <c r="CFQ68" s="15"/>
      <c r="CFR68" s="15"/>
      <c r="CFS68" s="15"/>
      <c r="CFT68" s="15"/>
      <c r="CFU68" s="15"/>
      <c r="CFV68" s="15"/>
      <c r="CFW68" s="15"/>
      <c r="CFX68" s="15"/>
      <c r="CFY68" s="15"/>
      <c r="CFZ68" s="15"/>
      <c r="CGA68" s="15"/>
      <c r="CGB68" s="15"/>
      <c r="CGC68" s="15"/>
      <c r="CGD68" s="15"/>
      <c r="CGE68" s="15"/>
      <c r="CGF68" s="15"/>
      <c r="CGG68" s="15"/>
      <c r="CGH68" s="15"/>
      <c r="CGI68" s="15"/>
      <c r="CGJ68" s="15"/>
      <c r="CGK68" s="15"/>
      <c r="CGL68" s="15"/>
      <c r="CGM68" s="15"/>
      <c r="CGN68" s="15"/>
      <c r="CGO68" s="15"/>
      <c r="CGP68" s="15"/>
      <c r="CGQ68" s="15"/>
      <c r="CGR68" s="15"/>
      <c r="CGS68" s="15"/>
      <c r="CGT68" s="15"/>
      <c r="CGU68" s="15"/>
      <c r="CGV68" s="15"/>
      <c r="CGW68" s="15"/>
      <c r="CGX68" s="15"/>
      <c r="CGY68" s="15"/>
      <c r="CGZ68" s="15"/>
      <c r="CHA68" s="15"/>
      <c r="CHB68" s="15"/>
      <c r="CHC68" s="15"/>
      <c r="CHD68" s="15"/>
      <c r="CHE68" s="15"/>
      <c r="CHF68" s="15"/>
      <c r="CHG68" s="15"/>
      <c r="CHH68" s="15"/>
      <c r="CHI68" s="15"/>
      <c r="CHJ68" s="15"/>
      <c r="CHK68" s="15"/>
      <c r="CHL68" s="15"/>
      <c r="CHM68" s="15"/>
      <c r="CHN68" s="15"/>
      <c r="CHO68" s="15"/>
      <c r="CHP68" s="15"/>
      <c r="CHQ68" s="15"/>
      <c r="CHR68" s="15"/>
      <c r="CHS68" s="15"/>
      <c r="CHT68" s="15"/>
      <c r="CHU68" s="15"/>
      <c r="CHV68" s="15"/>
      <c r="CHW68" s="15"/>
      <c r="CHX68" s="15"/>
      <c r="CHY68" s="15"/>
      <c r="CHZ68" s="15"/>
      <c r="CIA68" s="15"/>
      <c r="CIB68" s="15"/>
      <c r="CIC68" s="15"/>
      <c r="CID68" s="15"/>
      <c r="CIE68" s="15"/>
      <c r="CIF68" s="15"/>
      <c r="CIG68" s="15"/>
      <c r="CIH68" s="15"/>
      <c r="CII68" s="15"/>
      <c r="CIJ68" s="15"/>
      <c r="CIK68" s="15"/>
      <c r="CIL68" s="15"/>
      <c r="CIM68" s="15"/>
      <c r="CIN68" s="15"/>
      <c r="CIO68" s="15"/>
      <c r="CIP68" s="15"/>
      <c r="CIQ68" s="15"/>
      <c r="CIR68" s="15"/>
      <c r="CIS68" s="15"/>
      <c r="CIT68" s="15"/>
      <c r="CIU68" s="15"/>
      <c r="CIV68" s="15"/>
      <c r="CIW68" s="15"/>
      <c r="CIX68" s="15"/>
      <c r="CIY68" s="15"/>
      <c r="CIZ68" s="15"/>
      <c r="CJA68" s="15"/>
      <c r="CJB68" s="15"/>
      <c r="CJC68" s="15"/>
      <c r="CJD68" s="15"/>
      <c r="CJE68" s="15"/>
      <c r="CJF68" s="15"/>
      <c r="CJG68" s="15"/>
      <c r="CJH68" s="15"/>
      <c r="CJI68" s="15"/>
      <c r="CJJ68" s="15"/>
      <c r="CJK68" s="15"/>
      <c r="CJL68" s="15"/>
      <c r="CJM68" s="15"/>
      <c r="CJN68" s="15"/>
      <c r="CJO68" s="15"/>
      <c r="CJP68" s="15"/>
      <c r="CJQ68" s="15"/>
      <c r="CJR68" s="15"/>
      <c r="CJS68" s="15"/>
      <c r="CJT68" s="15"/>
      <c r="CJU68" s="15"/>
      <c r="CJV68" s="15"/>
      <c r="CJW68" s="15"/>
      <c r="CJX68" s="15"/>
      <c r="CJY68" s="15"/>
      <c r="CJZ68" s="15"/>
      <c r="CKA68" s="15"/>
      <c r="CKB68" s="15"/>
      <c r="CKC68" s="15"/>
      <c r="CKD68" s="15"/>
      <c r="CKE68" s="15"/>
      <c r="CKF68" s="15"/>
      <c r="CKG68" s="15"/>
      <c r="CKH68" s="15"/>
      <c r="CKI68" s="15"/>
      <c r="CKJ68" s="15"/>
      <c r="CKK68" s="15"/>
      <c r="CKL68" s="15"/>
      <c r="CKM68" s="15"/>
      <c r="CKN68" s="15"/>
      <c r="CKO68" s="15"/>
      <c r="CKP68" s="15"/>
      <c r="CKQ68" s="15"/>
      <c r="CKR68" s="15"/>
      <c r="CKS68" s="15"/>
      <c r="CKT68" s="15"/>
      <c r="CKU68" s="15"/>
      <c r="CKV68" s="15"/>
      <c r="CKW68" s="15"/>
      <c r="CKX68" s="15"/>
      <c r="CKY68" s="15"/>
      <c r="CKZ68" s="15"/>
      <c r="CLA68" s="15"/>
      <c r="CLB68" s="15"/>
      <c r="CLC68" s="15"/>
      <c r="CLD68" s="15"/>
      <c r="CLE68" s="15"/>
      <c r="CLF68" s="15"/>
      <c r="CLG68" s="15"/>
      <c r="CLH68" s="15"/>
      <c r="CLI68" s="15"/>
      <c r="CLJ68" s="15"/>
      <c r="CLK68" s="15"/>
      <c r="CLL68" s="15"/>
      <c r="CLM68" s="15"/>
      <c r="CLN68" s="15"/>
      <c r="CLO68" s="15"/>
      <c r="CLP68" s="15"/>
      <c r="CLQ68" s="15"/>
      <c r="CLR68" s="15"/>
      <c r="CLS68" s="15"/>
      <c r="CLT68" s="15"/>
      <c r="CLU68" s="15"/>
      <c r="CLV68" s="15"/>
      <c r="CLW68" s="15"/>
      <c r="CLX68" s="15"/>
      <c r="CLY68" s="15"/>
      <c r="CLZ68" s="15"/>
      <c r="CMA68" s="15"/>
      <c r="CMB68" s="15"/>
      <c r="CMC68" s="15"/>
      <c r="CMD68" s="15"/>
      <c r="CME68" s="15"/>
      <c r="CMF68" s="15"/>
      <c r="CMG68" s="15"/>
      <c r="CMH68" s="15"/>
      <c r="CMI68" s="15"/>
      <c r="CMJ68" s="15"/>
      <c r="CMK68" s="15"/>
      <c r="CML68" s="15"/>
      <c r="CMM68" s="15"/>
      <c r="CMN68" s="15"/>
      <c r="CMO68" s="15"/>
      <c r="CMP68" s="15"/>
      <c r="CMQ68" s="15"/>
      <c r="CMR68" s="15"/>
      <c r="CMS68" s="15"/>
      <c r="CMT68" s="15"/>
      <c r="CMU68" s="15"/>
      <c r="CMV68" s="15"/>
      <c r="CMW68" s="15"/>
      <c r="CMX68" s="15"/>
      <c r="CMY68" s="15"/>
      <c r="CMZ68" s="15"/>
      <c r="CNA68" s="15"/>
      <c r="CNB68" s="15"/>
      <c r="CNC68" s="15"/>
      <c r="CND68" s="15"/>
      <c r="CNE68" s="15"/>
      <c r="CNF68" s="15"/>
      <c r="CNG68" s="15"/>
      <c r="CNH68" s="15"/>
      <c r="CNI68" s="15"/>
      <c r="CNJ68" s="15"/>
      <c r="CNK68" s="15"/>
      <c r="CNL68" s="15"/>
      <c r="CNM68" s="15"/>
      <c r="CNN68" s="15"/>
      <c r="CNO68" s="15"/>
      <c r="CNP68" s="15"/>
      <c r="CNQ68" s="15"/>
      <c r="CNR68" s="15"/>
      <c r="CNS68" s="15"/>
      <c r="CNT68" s="15"/>
      <c r="CNU68" s="15"/>
      <c r="CNV68" s="15"/>
      <c r="CNW68" s="15"/>
      <c r="CNX68" s="15"/>
      <c r="CNY68" s="15"/>
      <c r="CNZ68" s="15"/>
      <c r="COA68" s="15"/>
      <c r="COB68" s="15"/>
      <c r="COC68" s="15"/>
      <c r="COD68" s="15"/>
      <c r="COE68" s="15"/>
      <c r="COF68" s="15"/>
      <c r="COG68" s="15"/>
      <c r="COH68" s="15"/>
      <c r="COI68" s="15"/>
      <c r="COJ68" s="15"/>
      <c r="COK68" s="15"/>
      <c r="COL68" s="15"/>
      <c r="COM68" s="15"/>
      <c r="CON68" s="15"/>
      <c r="COO68" s="15"/>
      <c r="COP68" s="15"/>
      <c r="COQ68" s="15"/>
      <c r="COR68" s="15"/>
      <c r="COS68" s="15"/>
      <c r="COT68" s="15"/>
      <c r="COU68" s="15"/>
      <c r="COV68" s="15"/>
      <c r="COW68" s="15"/>
      <c r="COX68" s="15"/>
      <c r="COY68" s="15"/>
      <c r="COZ68" s="15"/>
      <c r="CPA68" s="15"/>
      <c r="CPB68" s="15"/>
      <c r="CPC68" s="15"/>
      <c r="CPD68" s="15"/>
      <c r="CPE68" s="15"/>
      <c r="CPF68" s="15"/>
      <c r="CPG68" s="15"/>
      <c r="CPH68" s="15"/>
      <c r="CPI68" s="15"/>
      <c r="CPJ68" s="15"/>
      <c r="CPK68" s="15"/>
      <c r="CPL68" s="15"/>
      <c r="CPM68" s="15"/>
      <c r="CPN68" s="15"/>
      <c r="CPO68" s="15"/>
      <c r="CPP68" s="15"/>
      <c r="CPQ68" s="15"/>
      <c r="CPR68" s="15"/>
      <c r="CPS68" s="15"/>
      <c r="CPT68" s="15"/>
      <c r="CPU68" s="15"/>
      <c r="CPV68" s="15"/>
      <c r="CPW68" s="15"/>
      <c r="CPX68" s="15"/>
      <c r="CPY68" s="15"/>
      <c r="CPZ68" s="15"/>
      <c r="CQA68" s="15"/>
      <c r="CQB68" s="15"/>
      <c r="CQC68" s="15"/>
      <c r="CQD68" s="15"/>
      <c r="CQE68" s="15"/>
      <c r="CQF68" s="15"/>
      <c r="CQG68" s="15"/>
      <c r="CQH68" s="15"/>
      <c r="CQI68" s="15"/>
      <c r="CQJ68" s="15"/>
      <c r="CQK68" s="15"/>
      <c r="CQL68" s="15"/>
      <c r="CQM68" s="15"/>
      <c r="CQN68" s="15"/>
      <c r="CQO68" s="15"/>
      <c r="CQP68" s="15"/>
      <c r="CQQ68" s="15"/>
      <c r="CQR68" s="15"/>
      <c r="CQS68" s="15"/>
      <c r="CQT68" s="15"/>
      <c r="CQU68" s="15"/>
      <c r="CQV68" s="15"/>
      <c r="CQW68" s="15"/>
      <c r="CQX68" s="15"/>
      <c r="CQY68" s="15"/>
      <c r="CQZ68" s="15"/>
      <c r="CRA68" s="15"/>
      <c r="CRB68" s="15"/>
      <c r="CRC68" s="15"/>
      <c r="CRD68" s="15"/>
      <c r="CRE68" s="15"/>
      <c r="CRF68" s="15"/>
      <c r="CRG68" s="15"/>
      <c r="CRH68" s="15"/>
      <c r="CRI68" s="15"/>
      <c r="CRJ68" s="15"/>
      <c r="CRK68" s="15"/>
      <c r="CRL68" s="15"/>
      <c r="CRM68" s="15"/>
      <c r="CRN68" s="15"/>
      <c r="CRO68" s="15"/>
      <c r="CRP68" s="15"/>
      <c r="CRQ68" s="15"/>
      <c r="CRR68" s="15"/>
      <c r="CRS68" s="15"/>
      <c r="CRT68" s="15"/>
      <c r="CRU68" s="15"/>
      <c r="CRV68" s="15"/>
      <c r="CRW68" s="15"/>
      <c r="CRX68" s="15"/>
      <c r="CRY68" s="15"/>
      <c r="CRZ68" s="15"/>
      <c r="CSA68" s="15"/>
      <c r="CSB68" s="15"/>
      <c r="CSC68" s="15"/>
      <c r="CSD68" s="15"/>
      <c r="CSE68" s="15"/>
      <c r="CSF68" s="15"/>
      <c r="CSG68" s="15"/>
      <c r="CSH68" s="15"/>
      <c r="CSI68" s="15"/>
      <c r="CSJ68" s="15"/>
      <c r="CSK68" s="15"/>
      <c r="CSL68" s="15"/>
      <c r="CSM68" s="15"/>
      <c r="CSN68" s="15"/>
      <c r="CSO68" s="15"/>
      <c r="CSP68" s="15"/>
      <c r="CSQ68" s="15"/>
      <c r="CSR68" s="15"/>
      <c r="CSS68" s="15"/>
      <c r="CST68" s="15"/>
      <c r="CSU68" s="15"/>
      <c r="CSV68" s="15"/>
      <c r="CSW68" s="15"/>
      <c r="CSX68" s="15"/>
      <c r="CSY68" s="15"/>
      <c r="CSZ68" s="15"/>
      <c r="CTA68" s="15"/>
      <c r="CTB68" s="15"/>
      <c r="CTC68" s="15"/>
      <c r="CTD68" s="15"/>
      <c r="CTE68" s="15"/>
      <c r="CTF68" s="15"/>
      <c r="CTG68" s="15"/>
      <c r="CTH68" s="15"/>
      <c r="CTI68" s="15"/>
      <c r="CTJ68" s="15"/>
      <c r="CTK68" s="15"/>
      <c r="CTL68" s="15"/>
      <c r="CTM68" s="15"/>
      <c r="CTN68" s="15"/>
      <c r="CTO68" s="15"/>
      <c r="CTP68" s="15"/>
      <c r="CTQ68" s="15"/>
      <c r="CTR68" s="15"/>
      <c r="CTS68" s="15"/>
      <c r="CTT68" s="15"/>
      <c r="CTU68" s="15"/>
      <c r="CTV68" s="15"/>
      <c r="CTW68" s="15"/>
      <c r="CTX68" s="15"/>
      <c r="CTY68" s="15"/>
      <c r="CTZ68" s="15"/>
      <c r="CUA68" s="15"/>
      <c r="CUB68" s="15"/>
      <c r="CUC68" s="15"/>
      <c r="CUD68" s="15"/>
      <c r="CUE68" s="15"/>
      <c r="CUF68" s="15"/>
      <c r="CUG68" s="15"/>
      <c r="CUH68" s="15"/>
      <c r="CUI68" s="15"/>
      <c r="CUJ68" s="15"/>
      <c r="CUK68" s="15"/>
      <c r="CUL68" s="15"/>
      <c r="CUM68" s="15"/>
      <c r="CUN68" s="15"/>
      <c r="CUO68" s="15"/>
      <c r="CUP68" s="15"/>
      <c r="CUQ68" s="15"/>
      <c r="CUR68" s="15"/>
      <c r="CUS68" s="15"/>
      <c r="CUT68" s="15"/>
      <c r="CUU68" s="15"/>
      <c r="CUV68" s="15"/>
      <c r="CUW68" s="15"/>
      <c r="CUX68" s="15"/>
      <c r="CUY68" s="15"/>
      <c r="CUZ68" s="15"/>
      <c r="CVA68" s="15"/>
      <c r="CVB68" s="15"/>
      <c r="CVC68" s="15"/>
      <c r="CVD68" s="15"/>
      <c r="CVE68" s="15"/>
      <c r="CVF68" s="15"/>
      <c r="CVG68" s="15"/>
      <c r="CVH68" s="15"/>
      <c r="CVI68" s="15"/>
      <c r="CVJ68" s="15"/>
      <c r="CVK68" s="15"/>
      <c r="CVL68" s="15"/>
      <c r="CVM68" s="15"/>
      <c r="CVN68" s="15"/>
      <c r="CVO68" s="15"/>
      <c r="CVP68" s="15"/>
      <c r="CVQ68" s="15"/>
      <c r="CVR68" s="15"/>
      <c r="CVS68" s="15"/>
      <c r="CVT68" s="15"/>
      <c r="CVU68" s="15"/>
      <c r="CVV68" s="15"/>
      <c r="CVW68" s="15"/>
      <c r="CVX68" s="15"/>
      <c r="CVY68" s="15"/>
      <c r="CVZ68" s="15"/>
      <c r="CWA68" s="15"/>
      <c r="CWB68" s="15"/>
      <c r="CWC68" s="15"/>
      <c r="CWD68" s="15"/>
      <c r="CWE68" s="15"/>
      <c r="CWF68" s="15"/>
      <c r="CWG68" s="15"/>
      <c r="CWH68" s="15"/>
      <c r="CWI68" s="15"/>
      <c r="CWJ68" s="15"/>
      <c r="CWK68" s="15"/>
      <c r="CWL68" s="15"/>
      <c r="CWM68" s="15"/>
      <c r="CWN68" s="15"/>
      <c r="CWO68" s="15"/>
      <c r="CWP68" s="15"/>
      <c r="CWQ68" s="15"/>
      <c r="CWR68" s="15"/>
      <c r="CWS68" s="15"/>
      <c r="CWT68" s="15"/>
      <c r="CWU68" s="15"/>
      <c r="CWV68" s="15"/>
      <c r="CWW68" s="15"/>
      <c r="CWX68" s="15"/>
      <c r="CWY68" s="15"/>
      <c r="CWZ68" s="15"/>
      <c r="CXA68" s="15"/>
      <c r="CXB68" s="15"/>
      <c r="CXC68" s="15"/>
      <c r="CXD68" s="15"/>
      <c r="CXE68" s="15"/>
      <c r="CXF68" s="15"/>
      <c r="CXG68" s="15"/>
      <c r="CXH68" s="15"/>
      <c r="CXI68" s="15"/>
      <c r="CXJ68" s="15"/>
      <c r="CXK68" s="15"/>
      <c r="CXL68" s="15"/>
      <c r="CXM68" s="15"/>
      <c r="CXN68" s="15"/>
      <c r="CXO68" s="15"/>
      <c r="CXP68" s="15"/>
      <c r="CXQ68" s="15"/>
      <c r="CXR68" s="15"/>
      <c r="CXS68" s="15"/>
      <c r="CXT68" s="15"/>
      <c r="CXU68" s="15"/>
      <c r="CXV68" s="15"/>
      <c r="CXW68" s="15"/>
      <c r="CXX68" s="15"/>
      <c r="CXY68" s="15"/>
      <c r="CXZ68" s="15"/>
      <c r="CYA68" s="15"/>
      <c r="CYB68" s="15"/>
      <c r="CYC68" s="15"/>
      <c r="CYD68" s="15"/>
      <c r="CYE68" s="15"/>
      <c r="CYF68" s="15"/>
      <c r="CYG68" s="15"/>
      <c r="CYH68" s="15"/>
      <c r="CYI68" s="15"/>
      <c r="CYJ68" s="15"/>
      <c r="CYK68" s="15"/>
      <c r="CYL68" s="15"/>
      <c r="CYM68" s="15"/>
      <c r="CYN68" s="15"/>
      <c r="CYO68" s="15"/>
      <c r="CYP68" s="15"/>
      <c r="CYQ68" s="15"/>
      <c r="CYR68" s="15"/>
      <c r="CYS68" s="15"/>
      <c r="CYT68" s="15"/>
      <c r="CYU68" s="15"/>
      <c r="CYV68" s="15"/>
      <c r="CYW68" s="15"/>
      <c r="CYX68" s="15"/>
      <c r="CYY68" s="15"/>
      <c r="CYZ68" s="15"/>
      <c r="CZA68" s="15"/>
      <c r="CZB68" s="15"/>
      <c r="CZC68" s="15"/>
      <c r="CZD68" s="15"/>
      <c r="CZE68" s="15"/>
      <c r="CZF68" s="15"/>
      <c r="CZG68" s="15"/>
      <c r="CZH68" s="15"/>
      <c r="CZI68" s="15"/>
      <c r="CZJ68" s="15"/>
      <c r="CZK68" s="15"/>
      <c r="CZL68" s="15"/>
      <c r="CZM68" s="15"/>
      <c r="CZN68" s="15"/>
      <c r="CZO68" s="15"/>
      <c r="CZP68" s="15"/>
      <c r="CZQ68" s="15"/>
      <c r="CZR68" s="15"/>
      <c r="CZS68" s="15"/>
      <c r="CZT68" s="15"/>
      <c r="CZU68" s="15"/>
      <c r="CZV68" s="15"/>
      <c r="CZW68" s="15"/>
      <c r="CZX68" s="15"/>
      <c r="CZY68" s="15"/>
      <c r="CZZ68" s="15"/>
      <c r="DAA68" s="15"/>
      <c r="DAB68" s="15"/>
      <c r="DAC68" s="15"/>
      <c r="DAD68" s="15"/>
      <c r="DAE68" s="15"/>
      <c r="DAF68" s="15"/>
      <c r="DAG68" s="15"/>
      <c r="DAH68" s="15"/>
      <c r="DAI68" s="15"/>
      <c r="DAJ68" s="15"/>
      <c r="DAK68" s="15"/>
      <c r="DAL68" s="15"/>
      <c r="DAM68" s="15"/>
      <c r="DAN68" s="15"/>
      <c r="DAO68" s="15"/>
      <c r="DAP68" s="15"/>
      <c r="DAQ68" s="15"/>
      <c r="DAR68" s="15"/>
      <c r="DAS68" s="15"/>
      <c r="DAT68" s="15"/>
      <c r="DAU68" s="15"/>
      <c r="DAV68" s="15"/>
      <c r="DAW68" s="15"/>
      <c r="DAX68" s="15"/>
      <c r="DAY68" s="15"/>
      <c r="DAZ68" s="15"/>
      <c r="DBA68" s="15"/>
      <c r="DBB68" s="15"/>
      <c r="DBC68" s="15"/>
      <c r="DBD68" s="15"/>
      <c r="DBE68" s="15"/>
      <c r="DBF68" s="15"/>
      <c r="DBG68" s="15"/>
      <c r="DBH68" s="15"/>
      <c r="DBI68" s="15"/>
      <c r="DBJ68" s="15"/>
      <c r="DBK68" s="15"/>
      <c r="DBL68" s="15"/>
      <c r="DBM68" s="15"/>
      <c r="DBN68" s="15"/>
      <c r="DBO68" s="15"/>
      <c r="DBP68" s="15"/>
      <c r="DBQ68" s="15"/>
      <c r="DBR68" s="15"/>
      <c r="DBS68" s="15"/>
      <c r="DBT68" s="15"/>
      <c r="DBU68" s="15"/>
      <c r="DBV68" s="15"/>
      <c r="DBW68" s="15"/>
      <c r="DBX68" s="15"/>
      <c r="DBY68" s="15"/>
      <c r="DBZ68" s="15"/>
      <c r="DCA68" s="15"/>
      <c r="DCB68" s="15"/>
      <c r="DCC68" s="15"/>
      <c r="DCD68" s="15"/>
      <c r="DCE68" s="15"/>
      <c r="DCF68" s="15"/>
      <c r="DCG68" s="15"/>
      <c r="DCH68" s="15"/>
      <c r="DCI68" s="15"/>
      <c r="DCJ68" s="15"/>
      <c r="DCK68" s="15"/>
      <c r="DCL68" s="15"/>
      <c r="DCM68" s="15"/>
      <c r="DCN68" s="15"/>
      <c r="DCO68" s="15"/>
      <c r="DCP68" s="15"/>
      <c r="DCQ68" s="15"/>
      <c r="DCR68" s="15"/>
      <c r="DCS68" s="15"/>
      <c r="DCT68" s="15"/>
      <c r="DCU68" s="15"/>
      <c r="DCV68" s="15"/>
      <c r="DCW68" s="15"/>
      <c r="DCX68" s="15"/>
      <c r="DCY68" s="15"/>
      <c r="DCZ68" s="15"/>
      <c r="DDA68" s="15"/>
      <c r="DDB68" s="15"/>
      <c r="DDC68" s="15"/>
      <c r="DDD68" s="15"/>
      <c r="DDE68" s="15"/>
      <c r="DDF68" s="15"/>
      <c r="DDG68" s="15"/>
      <c r="DDH68" s="15"/>
      <c r="DDI68" s="15"/>
      <c r="DDJ68" s="15"/>
      <c r="DDK68" s="15"/>
      <c r="DDL68" s="15"/>
      <c r="DDM68" s="15"/>
      <c r="DDN68" s="15"/>
      <c r="DDO68" s="15"/>
      <c r="DDP68" s="15"/>
      <c r="DDQ68" s="15"/>
      <c r="DDR68" s="15"/>
      <c r="DDS68" s="15"/>
      <c r="DDT68" s="15"/>
      <c r="DDU68" s="15"/>
      <c r="DDV68" s="15"/>
      <c r="DDW68" s="15"/>
      <c r="DDX68" s="15"/>
      <c r="DDY68" s="15"/>
      <c r="DDZ68" s="15"/>
      <c r="DEA68" s="15"/>
      <c r="DEB68" s="15"/>
      <c r="DEC68" s="15"/>
      <c r="DED68" s="15"/>
      <c r="DEE68" s="15"/>
      <c r="DEF68" s="15"/>
      <c r="DEG68" s="15"/>
      <c r="DEH68" s="15"/>
      <c r="DEI68" s="15"/>
      <c r="DEJ68" s="15"/>
      <c r="DEK68" s="15"/>
      <c r="DEL68" s="15"/>
      <c r="DEM68" s="15"/>
      <c r="DEN68" s="15"/>
      <c r="DEO68" s="15"/>
      <c r="DEP68" s="15"/>
      <c r="DEQ68" s="15"/>
      <c r="DER68" s="15"/>
      <c r="DES68" s="15"/>
      <c r="DET68" s="15"/>
      <c r="DEU68" s="15"/>
      <c r="DEV68" s="15"/>
      <c r="DEW68" s="15"/>
      <c r="DEX68" s="15"/>
      <c r="DEY68" s="15"/>
      <c r="DEZ68" s="15"/>
      <c r="DFA68" s="15"/>
      <c r="DFB68" s="15"/>
      <c r="DFC68" s="15"/>
      <c r="DFD68" s="15"/>
      <c r="DFE68" s="15"/>
      <c r="DFF68" s="15"/>
      <c r="DFG68" s="15"/>
      <c r="DFH68" s="15"/>
      <c r="DFI68" s="15"/>
      <c r="DFJ68" s="15"/>
      <c r="DFK68" s="15"/>
      <c r="DFL68" s="15"/>
      <c r="DFM68" s="15"/>
      <c r="DFN68" s="15"/>
      <c r="DFO68" s="15"/>
      <c r="DFP68" s="15"/>
      <c r="DFQ68" s="15"/>
      <c r="DFR68" s="15"/>
      <c r="DFS68" s="15"/>
      <c r="DFT68" s="15"/>
      <c r="DFU68" s="15"/>
      <c r="DFV68" s="15"/>
      <c r="DFW68" s="15"/>
      <c r="DFX68" s="15"/>
      <c r="DFY68" s="15"/>
      <c r="DFZ68" s="15"/>
      <c r="DGA68" s="15"/>
      <c r="DGB68" s="15"/>
      <c r="DGC68" s="15"/>
      <c r="DGD68" s="15"/>
      <c r="DGE68" s="15"/>
      <c r="DGF68" s="15"/>
      <c r="DGG68" s="15"/>
      <c r="DGH68" s="15"/>
      <c r="DGI68" s="15"/>
      <c r="DGJ68" s="15"/>
      <c r="DGK68" s="15"/>
      <c r="DGL68" s="15"/>
      <c r="DGM68" s="15"/>
      <c r="DGN68" s="15"/>
      <c r="DGO68" s="15"/>
      <c r="DGP68" s="15"/>
      <c r="DGQ68" s="15"/>
      <c r="DGR68" s="15"/>
      <c r="DGS68" s="15"/>
      <c r="DGT68" s="15"/>
      <c r="DGU68" s="15"/>
      <c r="DGV68" s="15"/>
      <c r="DGW68" s="15"/>
      <c r="DGX68" s="15"/>
      <c r="DGY68" s="15"/>
      <c r="DGZ68" s="15"/>
      <c r="DHA68" s="15"/>
      <c r="DHB68" s="15"/>
      <c r="DHC68" s="15"/>
      <c r="DHD68" s="15"/>
      <c r="DHE68" s="15"/>
      <c r="DHF68" s="15"/>
      <c r="DHG68" s="15"/>
      <c r="DHH68" s="15"/>
      <c r="DHI68" s="15"/>
      <c r="DHJ68" s="15"/>
      <c r="DHK68" s="15"/>
      <c r="DHL68" s="15"/>
      <c r="DHM68" s="15"/>
      <c r="DHN68" s="15"/>
      <c r="DHO68" s="15"/>
      <c r="DHP68" s="15"/>
      <c r="DHQ68" s="15"/>
      <c r="DHR68" s="15"/>
      <c r="DHS68" s="15"/>
      <c r="DHT68" s="15"/>
      <c r="DHU68" s="15"/>
      <c r="DHV68" s="15"/>
      <c r="DHW68" s="15"/>
      <c r="DHX68" s="15"/>
      <c r="DHY68" s="15"/>
      <c r="DHZ68" s="15"/>
      <c r="DIA68" s="15"/>
      <c r="DIB68" s="15"/>
      <c r="DIC68" s="15"/>
      <c r="DID68" s="15"/>
      <c r="DIE68" s="15"/>
      <c r="DIF68" s="15"/>
      <c r="DIG68" s="15"/>
      <c r="DIH68" s="15"/>
      <c r="DII68" s="15"/>
      <c r="DIJ68" s="15"/>
      <c r="DIK68" s="15"/>
      <c r="DIL68" s="15"/>
      <c r="DIM68" s="15"/>
      <c r="DIN68" s="15"/>
      <c r="DIO68" s="15"/>
      <c r="DIP68" s="15"/>
      <c r="DIQ68" s="15"/>
      <c r="DIR68" s="15"/>
      <c r="DIS68" s="15"/>
      <c r="DIT68" s="15"/>
      <c r="DIU68" s="15"/>
      <c r="DIV68" s="15"/>
      <c r="DIW68" s="15"/>
      <c r="DIX68" s="15"/>
      <c r="DIY68" s="15"/>
      <c r="DIZ68" s="15"/>
      <c r="DJA68" s="15"/>
      <c r="DJB68" s="15"/>
      <c r="DJC68" s="15"/>
      <c r="DJD68" s="15"/>
      <c r="DJE68" s="15"/>
      <c r="DJF68" s="15"/>
      <c r="DJG68" s="15"/>
      <c r="DJH68" s="15"/>
      <c r="DJI68" s="15"/>
      <c r="DJJ68" s="15"/>
      <c r="DJK68" s="15"/>
      <c r="DJL68" s="15"/>
      <c r="DJM68" s="15"/>
      <c r="DJN68" s="15"/>
      <c r="DJO68" s="15"/>
      <c r="DJP68" s="15"/>
      <c r="DJQ68" s="15"/>
      <c r="DJR68" s="15"/>
      <c r="DJS68" s="15"/>
      <c r="DJT68" s="15"/>
      <c r="DJU68" s="15"/>
      <c r="DJV68" s="15"/>
      <c r="DJW68" s="15"/>
      <c r="DJX68" s="15"/>
      <c r="DJY68" s="15"/>
      <c r="DJZ68" s="15"/>
      <c r="DKA68" s="15"/>
      <c r="DKB68" s="15"/>
      <c r="DKC68" s="15"/>
      <c r="DKD68" s="15"/>
      <c r="DKE68" s="15"/>
      <c r="DKF68" s="15"/>
      <c r="DKG68" s="15"/>
      <c r="DKH68" s="15"/>
      <c r="DKI68" s="15"/>
      <c r="DKJ68" s="15"/>
      <c r="DKK68" s="15"/>
      <c r="DKL68" s="15"/>
      <c r="DKM68" s="15"/>
      <c r="DKN68" s="15"/>
      <c r="DKO68" s="15"/>
      <c r="DKP68" s="15"/>
      <c r="DKQ68" s="15"/>
      <c r="DKR68" s="15"/>
      <c r="DKS68" s="15"/>
      <c r="DKT68" s="15"/>
      <c r="DKU68" s="15"/>
      <c r="DKV68" s="15"/>
      <c r="DKW68" s="15"/>
      <c r="DKX68" s="15"/>
      <c r="DKY68" s="15"/>
      <c r="DKZ68" s="15"/>
      <c r="DLA68" s="15"/>
      <c r="DLB68" s="15"/>
      <c r="DLC68" s="15"/>
      <c r="DLD68" s="15"/>
      <c r="DLE68" s="15"/>
      <c r="DLF68" s="15"/>
      <c r="DLG68" s="15"/>
      <c r="DLH68" s="15"/>
      <c r="DLI68" s="15"/>
      <c r="DLJ68" s="15"/>
      <c r="DLK68" s="15"/>
      <c r="DLL68" s="15"/>
      <c r="DLM68" s="15"/>
      <c r="DLN68" s="15"/>
      <c r="DLO68" s="15"/>
      <c r="DLP68" s="15"/>
      <c r="DLQ68" s="15"/>
      <c r="DLR68" s="15"/>
      <c r="DLS68" s="15"/>
      <c r="DLT68" s="15"/>
      <c r="DLU68" s="15"/>
      <c r="DLV68" s="15"/>
      <c r="DLW68" s="15"/>
      <c r="DLX68" s="15"/>
      <c r="DLY68" s="15"/>
      <c r="DLZ68" s="15"/>
      <c r="DMA68" s="15"/>
      <c r="DMB68" s="15"/>
      <c r="DMC68" s="15"/>
      <c r="DMD68" s="15"/>
      <c r="DME68" s="15"/>
      <c r="DMF68" s="15"/>
      <c r="DMG68" s="15"/>
      <c r="DMH68" s="15"/>
      <c r="DMI68" s="15"/>
      <c r="DMJ68" s="15"/>
      <c r="DMK68" s="15"/>
      <c r="DML68" s="15"/>
      <c r="DMM68" s="15"/>
      <c r="DMN68" s="15"/>
      <c r="DMO68" s="15"/>
      <c r="DMP68" s="15"/>
      <c r="DMQ68" s="15"/>
      <c r="DMR68" s="15"/>
      <c r="DMS68" s="15"/>
      <c r="DMT68" s="15"/>
      <c r="DMU68" s="15"/>
      <c r="DMV68" s="15"/>
      <c r="DMW68" s="15"/>
      <c r="DMX68" s="15"/>
      <c r="DMY68" s="15"/>
      <c r="DMZ68" s="15"/>
      <c r="DNA68" s="15"/>
      <c r="DNB68" s="15"/>
      <c r="DNC68" s="15"/>
      <c r="DND68" s="15"/>
      <c r="DNE68" s="15"/>
      <c r="DNF68" s="15"/>
      <c r="DNG68" s="15"/>
      <c r="DNH68" s="15"/>
      <c r="DNI68" s="15"/>
      <c r="DNJ68" s="15"/>
      <c r="DNK68" s="15"/>
      <c r="DNL68" s="15"/>
      <c r="DNM68" s="15"/>
      <c r="DNN68" s="15"/>
      <c r="DNO68" s="15"/>
      <c r="DNP68" s="15"/>
      <c r="DNQ68" s="15"/>
      <c r="DNR68" s="15"/>
      <c r="DNS68" s="15"/>
      <c r="DNT68" s="15"/>
      <c r="DNU68" s="15"/>
      <c r="DNV68" s="15"/>
      <c r="DNW68" s="15"/>
      <c r="DNX68" s="15"/>
      <c r="DNY68" s="15"/>
      <c r="DNZ68" s="15"/>
      <c r="DOA68" s="15"/>
      <c r="DOB68" s="15"/>
      <c r="DOC68" s="15"/>
      <c r="DOD68" s="15"/>
      <c r="DOE68" s="15"/>
      <c r="DOF68" s="15"/>
      <c r="DOG68" s="15"/>
      <c r="DOH68" s="15"/>
      <c r="DOI68" s="15"/>
      <c r="DOJ68" s="15"/>
      <c r="DOK68" s="15"/>
      <c r="DOL68" s="15"/>
      <c r="DOM68" s="15"/>
      <c r="DON68" s="15"/>
      <c r="DOO68" s="15"/>
      <c r="DOP68" s="15"/>
      <c r="DOQ68" s="15"/>
      <c r="DOR68" s="15"/>
      <c r="DOS68" s="15"/>
      <c r="DOT68" s="15"/>
      <c r="DOU68" s="15"/>
      <c r="DOV68" s="15"/>
      <c r="DOW68" s="15"/>
      <c r="DOX68" s="15"/>
      <c r="DOY68" s="15"/>
      <c r="DOZ68" s="15"/>
      <c r="DPA68" s="15"/>
      <c r="DPB68" s="15"/>
      <c r="DPC68" s="15"/>
      <c r="DPD68" s="15"/>
      <c r="DPE68" s="15"/>
      <c r="DPF68" s="15"/>
      <c r="DPG68" s="15"/>
      <c r="DPH68" s="15"/>
      <c r="DPI68" s="15"/>
      <c r="DPJ68" s="15"/>
      <c r="DPK68" s="15"/>
      <c r="DPL68" s="15"/>
      <c r="DPM68" s="15"/>
      <c r="DPN68" s="15"/>
      <c r="DPO68" s="15"/>
      <c r="DPP68" s="15"/>
      <c r="DPQ68" s="15"/>
      <c r="DPR68" s="15"/>
      <c r="DPS68" s="15"/>
      <c r="DPT68" s="15"/>
      <c r="DPU68" s="15"/>
      <c r="DPV68" s="15"/>
      <c r="DPW68" s="15"/>
      <c r="DPX68" s="15"/>
      <c r="DPY68" s="15"/>
      <c r="DPZ68" s="15"/>
      <c r="DQA68" s="15"/>
      <c r="DQB68" s="15"/>
      <c r="DQC68" s="15"/>
      <c r="DQD68" s="15"/>
      <c r="DQE68" s="15"/>
      <c r="DQF68" s="15"/>
      <c r="DQG68" s="15"/>
      <c r="DQH68" s="15"/>
      <c r="DQI68" s="15"/>
      <c r="DQJ68" s="15"/>
      <c r="DQK68" s="15"/>
      <c r="DQL68" s="15"/>
      <c r="DQM68" s="15"/>
      <c r="DQN68" s="15"/>
      <c r="DQO68" s="15"/>
      <c r="DQP68" s="15"/>
      <c r="DQQ68" s="15"/>
      <c r="DQR68" s="15"/>
      <c r="DQS68" s="15"/>
      <c r="DQT68" s="15"/>
      <c r="DQU68" s="15"/>
      <c r="DQV68" s="15"/>
      <c r="DQW68" s="15"/>
      <c r="DQX68" s="15"/>
      <c r="DQY68" s="15"/>
      <c r="DQZ68" s="15"/>
      <c r="DRA68" s="15"/>
      <c r="DRB68" s="15"/>
      <c r="DRC68" s="15"/>
      <c r="DRD68" s="15"/>
      <c r="DRE68" s="15"/>
      <c r="DRF68" s="15"/>
      <c r="DRG68" s="15"/>
      <c r="DRH68" s="15"/>
      <c r="DRI68" s="15"/>
      <c r="DRJ68" s="15"/>
      <c r="DRK68" s="15"/>
      <c r="DRL68" s="15"/>
      <c r="DRM68" s="15"/>
      <c r="DRN68" s="15"/>
      <c r="DRO68" s="15"/>
      <c r="DRP68" s="15"/>
      <c r="DRQ68" s="15"/>
      <c r="DRR68" s="15"/>
      <c r="DRS68" s="15"/>
      <c r="DRT68" s="15"/>
      <c r="DRU68" s="15"/>
      <c r="DRV68" s="15"/>
      <c r="DRW68" s="15"/>
      <c r="DRX68" s="15"/>
      <c r="DRY68" s="15"/>
      <c r="DRZ68" s="15"/>
      <c r="DSA68" s="15"/>
      <c r="DSB68" s="15"/>
      <c r="DSC68" s="15"/>
      <c r="DSD68" s="15"/>
      <c r="DSE68" s="15"/>
      <c r="DSF68" s="15"/>
      <c r="DSG68" s="15"/>
      <c r="DSH68" s="15"/>
      <c r="DSI68" s="15"/>
      <c r="DSJ68" s="15"/>
      <c r="DSK68" s="15"/>
      <c r="DSL68" s="15"/>
      <c r="DSM68" s="15"/>
      <c r="DSN68" s="15"/>
      <c r="DSO68" s="15"/>
      <c r="DSP68" s="15"/>
      <c r="DSQ68" s="15"/>
      <c r="DSR68" s="15"/>
      <c r="DSS68" s="15"/>
      <c r="DST68" s="15"/>
      <c r="DSU68" s="15"/>
      <c r="DSV68" s="15"/>
      <c r="DSW68" s="15"/>
      <c r="DSX68" s="15"/>
      <c r="DSY68" s="15"/>
      <c r="DSZ68" s="15"/>
      <c r="DTA68" s="15"/>
      <c r="DTB68" s="15"/>
      <c r="DTC68" s="15"/>
      <c r="DTD68" s="15"/>
      <c r="DTE68" s="15"/>
      <c r="DTF68" s="15"/>
      <c r="DTG68" s="15"/>
      <c r="DTH68" s="15"/>
      <c r="DTI68" s="15"/>
      <c r="DTJ68" s="15"/>
      <c r="DTK68" s="15"/>
      <c r="DTL68" s="15"/>
      <c r="DTM68" s="15"/>
      <c r="DTN68" s="15"/>
      <c r="DTO68" s="15"/>
      <c r="DTP68" s="15"/>
      <c r="DTQ68" s="15"/>
      <c r="DTR68" s="15"/>
      <c r="DTS68" s="15"/>
      <c r="DTT68" s="15"/>
      <c r="DTU68" s="15"/>
      <c r="DTV68" s="15"/>
      <c r="DTW68" s="15"/>
      <c r="DTX68" s="15"/>
      <c r="DTY68" s="15"/>
      <c r="DTZ68" s="15"/>
      <c r="DUA68" s="15"/>
      <c r="DUB68" s="15"/>
      <c r="DUC68" s="15"/>
      <c r="DUD68" s="15"/>
      <c r="DUE68" s="15"/>
      <c r="DUF68" s="15"/>
      <c r="DUG68" s="15"/>
      <c r="DUH68" s="15"/>
      <c r="DUI68" s="15"/>
      <c r="DUJ68" s="15"/>
      <c r="DUK68" s="15"/>
      <c r="DUL68" s="15"/>
      <c r="DUM68" s="15"/>
      <c r="DUN68" s="15"/>
      <c r="DUO68" s="15"/>
      <c r="DUP68" s="15"/>
      <c r="DUQ68" s="15"/>
      <c r="DUR68" s="15"/>
      <c r="DUS68" s="15"/>
      <c r="DUT68" s="15"/>
      <c r="DUU68" s="15"/>
      <c r="DUV68" s="15"/>
      <c r="DUW68" s="15"/>
      <c r="DUX68" s="15"/>
      <c r="DUY68" s="15"/>
      <c r="DUZ68" s="15"/>
      <c r="DVA68" s="15"/>
      <c r="DVB68" s="15"/>
      <c r="DVC68" s="15"/>
      <c r="DVD68" s="15"/>
      <c r="DVE68" s="15"/>
      <c r="DVF68" s="15"/>
      <c r="DVG68" s="15"/>
      <c r="DVH68" s="15"/>
      <c r="DVI68" s="15"/>
      <c r="DVJ68" s="15"/>
      <c r="DVK68" s="15"/>
      <c r="DVL68" s="15"/>
      <c r="DVM68" s="15"/>
      <c r="DVN68" s="15"/>
      <c r="DVO68" s="15"/>
      <c r="DVP68" s="15"/>
      <c r="DVQ68" s="15"/>
      <c r="DVR68" s="15"/>
      <c r="DVS68" s="15"/>
      <c r="DVT68" s="15"/>
      <c r="DVU68" s="15"/>
      <c r="DVV68" s="15"/>
      <c r="DVW68" s="15"/>
      <c r="DVX68" s="15"/>
      <c r="DVY68" s="15"/>
      <c r="DVZ68" s="15"/>
      <c r="DWA68" s="15"/>
      <c r="DWB68" s="15"/>
      <c r="DWC68" s="15"/>
      <c r="DWD68" s="15"/>
      <c r="DWE68" s="15"/>
      <c r="DWF68" s="15"/>
      <c r="DWG68" s="15"/>
      <c r="DWH68" s="15"/>
      <c r="DWI68" s="15"/>
      <c r="DWJ68" s="15"/>
      <c r="DWK68" s="15"/>
      <c r="DWL68" s="15"/>
      <c r="DWM68" s="15"/>
      <c r="DWN68" s="15"/>
      <c r="DWO68" s="15"/>
      <c r="DWP68" s="15"/>
      <c r="DWQ68" s="15"/>
      <c r="DWR68" s="15"/>
      <c r="DWS68" s="15"/>
      <c r="DWT68" s="15"/>
      <c r="DWU68" s="15"/>
      <c r="DWV68" s="15"/>
      <c r="DWW68" s="15"/>
      <c r="DWX68" s="15"/>
      <c r="DWY68" s="15"/>
      <c r="DWZ68" s="15"/>
      <c r="DXA68" s="15"/>
      <c r="DXB68" s="15"/>
      <c r="DXC68" s="15"/>
      <c r="DXD68" s="15"/>
      <c r="DXE68" s="15"/>
      <c r="DXF68" s="15"/>
      <c r="DXG68" s="15"/>
      <c r="DXH68" s="15"/>
      <c r="DXI68" s="15"/>
      <c r="DXJ68" s="15"/>
      <c r="DXK68" s="15"/>
      <c r="DXL68" s="15"/>
      <c r="DXM68" s="15"/>
      <c r="DXN68" s="15"/>
      <c r="DXO68" s="15"/>
      <c r="DXP68" s="15"/>
      <c r="DXQ68" s="15"/>
      <c r="DXR68" s="15"/>
      <c r="DXS68" s="15"/>
      <c r="DXT68" s="15"/>
      <c r="DXU68" s="15"/>
      <c r="DXV68" s="15"/>
      <c r="DXW68" s="15"/>
      <c r="DXX68" s="15"/>
      <c r="DXY68" s="15"/>
      <c r="DXZ68" s="15"/>
      <c r="DYA68" s="15"/>
      <c r="DYB68" s="15"/>
      <c r="DYC68" s="15"/>
      <c r="DYD68" s="15"/>
      <c r="DYE68" s="15"/>
      <c r="DYF68" s="15"/>
      <c r="DYG68" s="15"/>
      <c r="DYH68" s="15"/>
      <c r="DYI68" s="15"/>
      <c r="DYJ68" s="15"/>
      <c r="DYK68" s="15"/>
      <c r="DYL68" s="15"/>
      <c r="DYM68" s="15"/>
      <c r="DYN68" s="15"/>
      <c r="DYO68" s="15"/>
      <c r="DYP68" s="15"/>
      <c r="DYQ68" s="15"/>
      <c r="DYR68" s="15"/>
      <c r="DYS68" s="15"/>
      <c r="DYT68" s="15"/>
      <c r="DYU68" s="15"/>
      <c r="DYV68" s="15"/>
      <c r="DYW68" s="15"/>
      <c r="DYX68" s="15"/>
      <c r="DYY68" s="15"/>
      <c r="DYZ68" s="15"/>
      <c r="DZA68" s="15"/>
      <c r="DZB68" s="15"/>
      <c r="DZC68" s="15"/>
      <c r="DZD68" s="15"/>
      <c r="DZE68" s="15"/>
      <c r="DZF68" s="15"/>
      <c r="DZG68" s="15"/>
      <c r="DZH68" s="15"/>
      <c r="DZI68" s="15"/>
      <c r="DZJ68" s="15"/>
      <c r="DZK68" s="15"/>
      <c r="DZL68" s="15"/>
      <c r="DZM68" s="15"/>
      <c r="DZN68" s="15"/>
      <c r="DZO68" s="15"/>
      <c r="DZP68" s="15"/>
      <c r="DZQ68" s="15"/>
      <c r="DZR68" s="15"/>
      <c r="DZS68" s="15"/>
      <c r="DZT68" s="15"/>
      <c r="DZU68" s="15"/>
      <c r="DZV68" s="15"/>
      <c r="DZW68" s="15"/>
      <c r="DZX68" s="15"/>
      <c r="DZY68" s="15"/>
      <c r="DZZ68" s="15"/>
      <c r="EAA68" s="15"/>
      <c r="EAB68" s="15"/>
      <c r="EAC68" s="15"/>
      <c r="EAD68" s="15"/>
      <c r="EAE68" s="15"/>
      <c r="EAF68" s="15"/>
      <c r="EAG68" s="15"/>
      <c r="EAH68" s="15"/>
      <c r="EAI68" s="15"/>
      <c r="EAJ68" s="15"/>
      <c r="EAK68" s="15"/>
      <c r="EAL68" s="15"/>
      <c r="EAM68" s="15"/>
      <c r="EAN68" s="15"/>
      <c r="EAO68" s="15"/>
      <c r="EAP68" s="15"/>
      <c r="EAQ68" s="15"/>
      <c r="EAR68" s="15"/>
      <c r="EAS68" s="15"/>
      <c r="EAT68" s="15"/>
      <c r="EAU68" s="15"/>
      <c r="EAV68" s="15"/>
      <c r="EAW68" s="15"/>
      <c r="EAX68" s="15"/>
      <c r="EAY68" s="15"/>
      <c r="EAZ68" s="15"/>
      <c r="EBA68" s="15"/>
      <c r="EBB68" s="15"/>
      <c r="EBC68" s="15"/>
      <c r="EBD68" s="15"/>
      <c r="EBE68" s="15"/>
      <c r="EBF68" s="15"/>
      <c r="EBG68" s="15"/>
      <c r="EBH68" s="15"/>
      <c r="EBI68" s="15"/>
      <c r="EBJ68" s="15"/>
      <c r="EBK68" s="15"/>
      <c r="EBL68" s="15"/>
      <c r="EBM68" s="15"/>
      <c r="EBN68" s="15"/>
      <c r="EBO68" s="15"/>
      <c r="EBP68" s="15"/>
      <c r="EBQ68" s="15"/>
      <c r="EBR68" s="15"/>
      <c r="EBS68" s="15"/>
      <c r="EBT68" s="15"/>
      <c r="EBU68" s="15"/>
      <c r="EBV68" s="15"/>
      <c r="EBW68" s="15"/>
      <c r="EBX68" s="15"/>
      <c r="EBY68" s="15"/>
      <c r="EBZ68" s="15"/>
      <c r="ECA68" s="15"/>
      <c r="ECB68" s="15"/>
      <c r="ECC68" s="15"/>
      <c r="ECD68" s="15"/>
      <c r="ECE68" s="15"/>
      <c r="ECF68" s="15"/>
      <c r="ECG68" s="15"/>
      <c r="ECH68" s="15"/>
      <c r="ECI68" s="15"/>
      <c r="ECJ68" s="15"/>
      <c r="ECK68" s="15"/>
      <c r="ECL68" s="15"/>
      <c r="ECM68" s="15"/>
      <c r="ECN68" s="15"/>
      <c r="ECO68" s="15"/>
      <c r="ECP68" s="15"/>
      <c r="ECQ68" s="15"/>
      <c r="ECR68" s="15"/>
      <c r="ECS68" s="15"/>
      <c r="ECT68" s="15"/>
      <c r="ECU68" s="15"/>
      <c r="ECV68" s="15"/>
      <c r="ECW68" s="15"/>
      <c r="ECX68" s="15"/>
      <c r="ECY68" s="15"/>
      <c r="ECZ68" s="15"/>
      <c r="EDA68" s="15"/>
      <c r="EDB68" s="15"/>
      <c r="EDC68" s="15"/>
      <c r="EDD68" s="15"/>
      <c r="EDE68" s="15"/>
      <c r="EDF68" s="15"/>
      <c r="EDG68" s="15"/>
      <c r="EDH68" s="15"/>
      <c r="EDI68" s="15"/>
      <c r="EDJ68" s="15"/>
      <c r="EDK68" s="15"/>
      <c r="EDL68" s="15"/>
      <c r="EDM68" s="15"/>
      <c r="EDN68" s="15"/>
      <c r="EDO68" s="15"/>
      <c r="EDP68" s="15"/>
      <c r="EDQ68" s="15"/>
      <c r="EDR68" s="15"/>
      <c r="EDS68" s="15"/>
      <c r="EDT68" s="15"/>
      <c r="EDU68" s="15"/>
      <c r="EDV68" s="15"/>
      <c r="EDW68" s="15"/>
      <c r="EDX68" s="15"/>
      <c r="EDY68" s="15"/>
      <c r="EDZ68" s="15"/>
      <c r="EEA68" s="15"/>
      <c r="EEB68" s="15"/>
      <c r="EEC68" s="15"/>
      <c r="EED68" s="15"/>
      <c r="EEE68" s="15"/>
      <c r="EEF68" s="15"/>
      <c r="EEG68" s="15"/>
      <c r="EEH68" s="15"/>
      <c r="EEI68" s="15"/>
      <c r="EEJ68" s="15"/>
      <c r="EEK68" s="15"/>
      <c r="EEL68" s="15"/>
      <c r="EEM68" s="15"/>
      <c r="EEN68" s="15"/>
      <c r="EEO68" s="15"/>
      <c r="EEP68" s="15"/>
      <c r="EEQ68" s="15"/>
      <c r="EER68" s="15"/>
      <c r="EES68" s="15"/>
      <c r="EET68" s="15"/>
      <c r="EEU68" s="15"/>
      <c r="EEV68" s="15"/>
      <c r="EEW68" s="15"/>
      <c r="EEX68" s="15"/>
      <c r="EEY68" s="15"/>
      <c r="EEZ68" s="15"/>
      <c r="EFA68" s="15"/>
      <c r="EFB68" s="15"/>
      <c r="EFC68" s="15"/>
      <c r="EFD68" s="15"/>
      <c r="EFE68" s="15"/>
      <c r="EFF68" s="15"/>
      <c r="EFG68" s="15"/>
      <c r="EFH68" s="15"/>
      <c r="EFI68" s="15"/>
      <c r="EFJ68" s="15"/>
      <c r="EFK68" s="15"/>
      <c r="EFL68" s="15"/>
      <c r="EFM68" s="15"/>
      <c r="EFN68" s="15"/>
      <c r="EFO68" s="15"/>
      <c r="EFP68" s="15"/>
      <c r="EFQ68" s="15"/>
      <c r="EFR68" s="15"/>
      <c r="EFS68" s="15"/>
      <c r="EFT68" s="15"/>
      <c r="EFU68" s="15"/>
      <c r="EFV68" s="15"/>
      <c r="EFW68" s="15"/>
      <c r="EFX68" s="15"/>
      <c r="EFY68" s="15"/>
      <c r="EFZ68" s="15"/>
      <c r="EGA68" s="15"/>
      <c r="EGB68" s="15"/>
      <c r="EGC68" s="15"/>
      <c r="EGD68" s="15"/>
      <c r="EGE68" s="15"/>
      <c r="EGF68" s="15"/>
      <c r="EGG68" s="15"/>
      <c r="EGH68" s="15"/>
      <c r="EGI68" s="15"/>
      <c r="EGJ68" s="15"/>
      <c r="EGK68" s="15"/>
      <c r="EGL68" s="15"/>
      <c r="EGM68" s="15"/>
      <c r="EGN68" s="15"/>
      <c r="EGO68" s="15"/>
      <c r="EGP68" s="15"/>
      <c r="EGQ68" s="15"/>
      <c r="EGR68" s="15"/>
      <c r="EGS68" s="15"/>
      <c r="EGT68" s="15"/>
      <c r="EGU68" s="15"/>
      <c r="EGV68" s="15"/>
      <c r="EGW68" s="15"/>
      <c r="EGX68" s="15"/>
      <c r="EGY68" s="15"/>
      <c r="EGZ68" s="15"/>
      <c r="EHA68" s="15"/>
      <c r="EHB68" s="15"/>
      <c r="EHC68" s="15"/>
      <c r="EHD68" s="15"/>
      <c r="EHE68" s="15"/>
      <c r="EHF68" s="15"/>
      <c r="EHG68" s="15"/>
      <c r="EHH68" s="15"/>
      <c r="EHI68" s="15"/>
      <c r="EHJ68" s="15"/>
      <c r="EHK68" s="15"/>
      <c r="EHL68" s="15"/>
      <c r="EHM68" s="15"/>
      <c r="EHN68" s="15"/>
      <c r="EHO68" s="15"/>
      <c r="EHP68" s="15"/>
      <c r="EHQ68" s="15"/>
      <c r="EHR68" s="15"/>
      <c r="EHS68" s="15"/>
      <c r="EHT68" s="15"/>
      <c r="EHU68" s="15"/>
      <c r="EHV68" s="15"/>
      <c r="EHW68" s="15"/>
      <c r="EHX68" s="15"/>
      <c r="EHY68" s="15"/>
      <c r="EHZ68" s="15"/>
      <c r="EIA68" s="15"/>
      <c r="EIB68" s="15"/>
      <c r="EIC68" s="15"/>
      <c r="EID68" s="15"/>
      <c r="EIE68" s="15"/>
      <c r="EIF68" s="15"/>
      <c r="EIG68" s="15"/>
      <c r="EIH68" s="15"/>
      <c r="EII68" s="15"/>
      <c r="EIJ68" s="15"/>
      <c r="EIK68" s="15"/>
      <c r="EIL68" s="15"/>
      <c r="EIM68" s="15"/>
      <c r="EIN68" s="15"/>
      <c r="EIO68" s="15"/>
      <c r="EIP68" s="15"/>
      <c r="EIQ68" s="15"/>
      <c r="EIR68" s="15"/>
      <c r="EIS68" s="15"/>
      <c r="EIT68" s="15"/>
      <c r="EIU68" s="15"/>
      <c r="EIV68" s="15"/>
      <c r="EIW68" s="15"/>
      <c r="EIX68" s="15"/>
      <c r="EIY68" s="15"/>
      <c r="EIZ68" s="15"/>
      <c r="EJA68" s="15"/>
      <c r="EJB68" s="15"/>
      <c r="EJC68" s="15"/>
      <c r="EJD68" s="15"/>
      <c r="EJE68" s="15"/>
      <c r="EJF68" s="15"/>
      <c r="EJG68" s="15"/>
      <c r="EJH68" s="15"/>
      <c r="EJI68" s="15"/>
      <c r="EJJ68" s="15"/>
      <c r="EJK68" s="15"/>
      <c r="EJL68" s="15"/>
      <c r="EJM68" s="15"/>
      <c r="EJN68" s="15"/>
      <c r="EJO68" s="15"/>
      <c r="EJP68" s="15"/>
      <c r="EJQ68" s="15"/>
      <c r="EJR68" s="15"/>
      <c r="EJS68" s="15"/>
      <c r="EJT68" s="15"/>
      <c r="EJU68" s="15"/>
      <c r="EJV68" s="15"/>
      <c r="EJW68" s="15"/>
      <c r="EJX68" s="15"/>
      <c r="EJY68" s="15"/>
      <c r="EJZ68" s="15"/>
      <c r="EKA68" s="15"/>
      <c r="EKB68" s="15"/>
      <c r="EKC68" s="15"/>
      <c r="EKD68" s="15"/>
      <c r="EKE68" s="15"/>
      <c r="EKF68" s="15"/>
      <c r="EKG68" s="15"/>
      <c r="EKH68" s="15"/>
      <c r="EKI68" s="15"/>
      <c r="EKJ68" s="15"/>
      <c r="EKK68" s="15"/>
      <c r="EKL68" s="15"/>
      <c r="EKM68" s="15"/>
      <c r="EKN68" s="15"/>
      <c r="EKO68" s="15"/>
      <c r="EKP68" s="15"/>
      <c r="EKQ68" s="15"/>
      <c r="EKR68" s="15"/>
      <c r="EKS68" s="15"/>
      <c r="EKT68" s="15"/>
      <c r="EKU68" s="15"/>
      <c r="EKV68" s="15"/>
      <c r="EKW68" s="15"/>
      <c r="EKX68" s="15"/>
      <c r="EKY68" s="15"/>
      <c r="EKZ68" s="15"/>
      <c r="ELA68" s="15"/>
      <c r="ELB68" s="15"/>
      <c r="ELC68" s="15"/>
      <c r="ELD68" s="15"/>
      <c r="ELE68" s="15"/>
      <c r="ELF68" s="15"/>
      <c r="ELG68" s="15"/>
      <c r="ELH68" s="15"/>
      <c r="ELI68" s="15"/>
      <c r="ELJ68" s="15"/>
      <c r="ELK68" s="15"/>
      <c r="ELL68" s="15"/>
      <c r="ELM68" s="15"/>
      <c r="ELN68" s="15"/>
      <c r="ELO68" s="15"/>
      <c r="ELP68" s="15"/>
      <c r="ELQ68" s="15"/>
      <c r="ELR68" s="15"/>
      <c r="ELS68" s="15"/>
      <c r="ELT68" s="15"/>
      <c r="ELU68" s="15"/>
      <c r="ELV68" s="15"/>
      <c r="ELW68" s="15"/>
      <c r="ELX68" s="15"/>
      <c r="ELY68" s="15"/>
      <c r="ELZ68" s="15"/>
      <c r="EMA68" s="15"/>
      <c r="EMB68" s="15"/>
      <c r="EMC68" s="15"/>
      <c r="EMD68" s="15"/>
      <c r="EME68" s="15"/>
      <c r="EMF68" s="15"/>
      <c r="EMG68" s="15"/>
      <c r="EMH68" s="15"/>
      <c r="EMI68" s="15"/>
      <c r="EMJ68" s="15"/>
      <c r="EMK68" s="15"/>
      <c r="EML68" s="15"/>
      <c r="EMM68" s="15"/>
      <c r="EMN68" s="15"/>
      <c r="EMO68" s="15"/>
      <c r="EMP68" s="15"/>
      <c r="EMQ68" s="15"/>
      <c r="EMR68" s="15"/>
      <c r="EMS68" s="15"/>
      <c r="EMT68" s="15"/>
      <c r="EMU68" s="15"/>
      <c r="EMV68" s="15"/>
      <c r="EMW68" s="15"/>
      <c r="EMX68" s="15"/>
      <c r="EMY68" s="15"/>
      <c r="EMZ68" s="15"/>
      <c r="ENA68" s="15"/>
      <c r="ENB68" s="15"/>
      <c r="ENC68" s="15"/>
      <c r="END68" s="15"/>
      <c r="ENE68" s="15"/>
      <c r="ENF68" s="15"/>
      <c r="ENG68" s="15"/>
      <c r="ENH68" s="15"/>
      <c r="ENI68" s="15"/>
      <c r="ENJ68" s="15"/>
      <c r="ENK68" s="15"/>
      <c r="ENL68" s="15"/>
      <c r="ENM68" s="15"/>
      <c r="ENN68" s="15"/>
      <c r="ENO68" s="15"/>
      <c r="ENP68" s="15"/>
      <c r="ENQ68" s="15"/>
      <c r="ENR68" s="15"/>
      <c r="ENS68" s="15"/>
      <c r="ENT68" s="15"/>
      <c r="ENU68" s="15"/>
      <c r="ENV68" s="15"/>
      <c r="ENW68" s="15"/>
      <c r="ENX68" s="15"/>
      <c r="ENY68" s="15"/>
      <c r="ENZ68" s="15"/>
      <c r="EOA68" s="15"/>
      <c r="EOB68" s="15"/>
      <c r="EOC68" s="15"/>
      <c r="EOD68" s="15"/>
      <c r="EOE68" s="15"/>
      <c r="EOF68" s="15"/>
      <c r="EOG68" s="15"/>
      <c r="EOH68" s="15"/>
      <c r="EOI68" s="15"/>
      <c r="EOJ68" s="15"/>
      <c r="EOK68" s="15"/>
      <c r="EOL68" s="15"/>
      <c r="EOM68" s="15"/>
      <c r="EON68" s="15"/>
      <c r="EOO68" s="15"/>
      <c r="EOP68" s="15"/>
      <c r="EOQ68" s="15"/>
      <c r="EOR68" s="15"/>
      <c r="EOS68" s="15"/>
      <c r="EOT68" s="15"/>
      <c r="EOU68" s="15"/>
      <c r="EOV68" s="15"/>
      <c r="EOW68" s="15"/>
      <c r="EOX68" s="15"/>
      <c r="EOY68" s="15"/>
      <c r="EOZ68" s="15"/>
      <c r="EPA68" s="15"/>
      <c r="EPB68" s="15"/>
      <c r="EPC68" s="15"/>
      <c r="EPD68" s="15"/>
      <c r="EPE68" s="15"/>
      <c r="EPF68" s="15"/>
      <c r="EPG68" s="15"/>
      <c r="EPH68" s="15"/>
      <c r="EPI68" s="15"/>
      <c r="EPJ68" s="15"/>
      <c r="EPK68" s="15"/>
      <c r="EPL68" s="15"/>
      <c r="EPM68" s="15"/>
      <c r="EPN68" s="15"/>
      <c r="EPO68" s="15"/>
      <c r="EPP68" s="15"/>
      <c r="EPQ68" s="15"/>
      <c r="EPR68" s="15"/>
      <c r="EPS68" s="15"/>
      <c r="EPT68" s="15"/>
      <c r="EPU68" s="15"/>
      <c r="EPV68" s="15"/>
      <c r="EPW68" s="15"/>
      <c r="EPX68" s="15"/>
      <c r="EPY68" s="15"/>
      <c r="EPZ68" s="15"/>
      <c r="EQA68" s="15"/>
      <c r="EQB68" s="15"/>
      <c r="EQC68" s="15"/>
      <c r="EQD68" s="15"/>
      <c r="EQE68" s="15"/>
      <c r="EQF68" s="15"/>
      <c r="EQG68" s="15"/>
      <c r="EQH68" s="15"/>
      <c r="EQI68" s="15"/>
      <c r="EQJ68" s="15"/>
      <c r="EQK68" s="15"/>
      <c r="EQL68" s="15"/>
      <c r="EQM68" s="15"/>
      <c r="EQN68" s="15"/>
      <c r="EQO68" s="15"/>
      <c r="EQP68" s="15"/>
      <c r="EQQ68" s="15"/>
      <c r="EQR68" s="15"/>
      <c r="EQS68" s="15"/>
      <c r="EQT68" s="15"/>
      <c r="EQU68" s="15"/>
      <c r="EQV68" s="15"/>
      <c r="EQW68" s="15"/>
      <c r="EQX68" s="15"/>
      <c r="EQY68" s="15"/>
      <c r="EQZ68" s="15"/>
      <c r="ERA68" s="15"/>
      <c r="ERB68" s="15"/>
      <c r="ERC68" s="15"/>
      <c r="ERD68" s="15"/>
      <c r="ERE68" s="15"/>
      <c r="ERF68" s="15"/>
      <c r="ERG68" s="15"/>
      <c r="ERH68" s="15"/>
      <c r="ERI68" s="15"/>
      <c r="ERJ68" s="15"/>
      <c r="ERK68" s="15"/>
      <c r="ERL68" s="15"/>
      <c r="ERM68" s="15"/>
      <c r="ERN68" s="15"/>
      <c r="ERO68" s="15"/>
      <c r="ERP68" s="15"/>
      <c r="ERQ68" s="15"/>
      <c r="ERR68" s="15"/>
      <c r="ERS68" s="15"/>
      <c r="ERT68" s="15"/>
      <c r="ERU68" s="15"/>
      <c r="ERV68" s="15"/>
      <c r="ERW68" s="15"/>
      <c r="ERX68" s="15"/>
      <c r="ERY68" s="15"/>
      <c r="ERZ68" s="15"/>
      <c r="ESA68" s="15"/>
      <c r="ESB68" s="15"/>
      <c r="ESC68" s="15"/>
      <c r="ESD68" s="15"/>
      <c r="ESE68" s="15"/>
      <c r="ESF68" s="15"/>
      <c r="ESG68" s="15"/>
      <c r="ESH68" s="15"/>
      <c r="ESI68" s="15"/>
      <c r="ESJ68" s="15"/>
      <c r="ESK68" s="15"/>
      <c r="ESL68" s="15"/>
      <c r="ESM68" s="15"/>
      <c r="ESN68" s="15"/>
      <c r="ESO68" s="15"/>
      <c r="ESP68" s="15"/>
      <c r="ESQ68" s="15"/>
      <c r="ESR68" s="15"/>
      <c r="ESS68" s="15"/>
      <c r="EST68" s="15"/>
      <c r="ESU68" s="15"/>
      <c r="ESV68" s="15"/>
      <c r="ESW68" s="15"/>
      <c r="ESX68" s="15"/>
      <c r="ESY68" s="15"/>
      <c r="ESZ68" s="15"/>
      <c r="ETA68" s="15"/>
      <c r="ETB68" s="15"/>
      <c r="ETC68" s="15"/>
      <c r="ETD68" s="15"/>
      <c r="ETE68" s="15"/>
      <c r="ETF68" s="15"/>
      <c r="ETG68" s="15"/>
      <c r="ETH68" s="15"/>
      <c r="ETI68" s="15"/>
      <c r="ETJ68" s="15"/>
      <c r="ETK68" s="15"/>
      <c r="ETL68" s="15"/>
      <c r="ETM68" s="15"/>
      <c r="ETN68" s="15"/>
      <c r="ETO68" s="15"/>
      <c r="ETP68" s="15"/>
      <c r="ETQ68" s="15"/>
      <c r="ETR68" s="15"/>
      <c r="ETS68" s="15"/>
      <c r="ETT68" s="15"/>
      <c r="ETU68" s="15"/>
      <c r="ETV68" s="15"/>
      <c r="ETW68" s="15"/>
      <c r="ETX68" s="15"/>
      <c r="ETY68" s="15"/>
      <c r="ETZ68" s="15"/>
      <c r="EUA68" s="15"/>
      <c r="EUB68" s="15"/>
      <c r="EUC68" s="15"/>
      <c r="EUD68" s="15"/>
      <c r="EUE68" s="15"/>
      <c r="EUF68" s="15"/>
      <c r="EUG68" s="15"/>
      <c r="EUH68" s="15"/>
      <c r="EUI68" s="15"/>
      <c r="EUJ68" s="15"/>
      <c r="EUK68" s="15"/>
      <c r="EUL68" s="15"/>
      <c r="EUM68" s="15"/>
      <c r="EUN68" s="15"/>
      <c r="EUO68" s="15"/>
      <c r="EUP68" s="15"/>
      <c r="EUQ68" s="15"/>
      <c r="EUR68" s="15"/>
      <c r="EUS68" s="15"/>
      <c r="EUT68" s="15"/>
      <c r="EUU68" s="15"/>
      <c r="EUV68" s="15"/>
      <c r="EUW68" s="15"/>
      <c r="EUX68" s="15"/>
      <c r="EUY68" s="15"/>
      <c r="EUZ68" s="15"/>
      <c r="EVA68" s="15"/>
      <c r="EVB68" s="15"/>
      <c r="EVC68" s="15"/>
      <c r="EVD68" s="15"/>
      <c r="EVE68" s="15"/>
      <c r="EVF68" s="15"/>
      <c r="EVG68" s="15"/>
      <c r="EVH68" s="15"/>
      <c r="EVI68" s="15"/>
      <c r="EVJ68" s="15"/>
      <c r="EVK68" s="15"/>
      <c r="EVL68" s="15"/>
      <c r="EVM68" s="15"/>
      <c r="EVN68" s="15"/>
      <c r="EVO68" s="15"/>
      <c r="EVP68" s="15"/>
      <c r="EVQ68" s="15"/>
      <c r="EVR68" s="15"/>
      <c r="EVS68" s="15"/>
      <c r="EVT68" s="15"/>
      <c r="EVU68" s="15"/>
      <c r="EVV68" s="15"/>
      <c r="EVW68" s="15"/>
      <c r="EVX68" s="15"/>
      <c r="EVY68" s="15"/>
      <c r="EVZ68" s="15"/>
      <c r="EWA68" s="15"/>
      <c r="EWB68" s="15"/>
      <c r="EWC68" s="15"/>
      <c r="EWD68" s="15"/>
      <c r="EWE68" s="15"/>
      <c r="EWF68" s="15"/>
      <c r="EWG68" s="15"/>
      <c r="EWH68" s="15"/>
      <c r="EWI68" s="15"/>
      <c r="EWJ68" s="15"/>
      <c r="EWK68" s="15"/>
      <c r="EWL68" s="15"/>
      <c r="EWM68" s="15"/>
      <c r="EWN68" s="15"/>
      <c r="EWO68" s="15"/>
      <c r="EWP68" s="15"/>
      <c r="EWQ68" s="15"/>
      <c r="EWR68" s="15"/>
      <c r="EWS68" s="15"/>
      <c r="EWT68" s="15"/>
      <c r="EWU68" s="15"/>
      <c r="EWV68" s="15"/>
      <c r="EWW68" s="15"/>
      <c r="EWX68" s="15"/>
      <c r="EWY68" s="15"/>
      <c r="EWZ68" s="15"/>
      <c r="EXA68" s="15"/>
      <c r="EXB68" s="15"/>
      <c r="EXC68" s="15"/>
      <c r="EXD68" s="15"/>
      <c r="EXE68" s="15"/>
      <c r="EXF68" s="15"/>
      <c r="EXG68" s="15"/>
      <c r="EXH68" s="15"/>
      <c r="EXI68" s="15"/>
      <c r="EXJ68" s="15"/>
      <c r="EXK68" s="15"/>
      <c r="EXL68" s="15"/>
      <c r="EXM68" s="15"/>
      <c r="EXN68" s="15"/>
      <c r="EXO68" s="15"/>
      <c r="EXP68" s="15"/>
      <c r="EXQ68" s="15"/>
      <c r="EXR68" s="15"/>
      <c r="EXS68" s="15"/>
      <c r="EXT68" s="15"/>
      <c r="EXU68" s="15"/>
      <c r="EXV68" s="15"/>
      <c r="EXW68" s="15"/>
      <c r="EXX68" s="15"/>
      <c r="EXY68" s="15"/>
      <c r="EXZ68" s="15"/>
      <c r="EYA68" s="15"/>
      <c r="EYB68" s="15"/>
      <c r="EYC68" s="15"/>
      <c r="EYD68" s="15"/>
      <c r="EYE68" s="15"/>
      <c r="EYF68" s="15"/>
      <c r="EYG68" s="15"/>
      <c r="EYH68" s="15"/>
      <c r="EYI68" s="15"/>
      <c r="EYJ68" s="15"/>
      <c r="EYK68" s="15"/>
      <c r="EYL68" s="15"/>
      <c r="EYM68" s="15"/>
      <c r="EYN68" s="15"/>
      <c r="EYO68" s="15"/>
      <c r="EYP68" s="15"/>
      <c r="EYQ68" s="15"/>
      <c r="EYR68" s="15"/>
      <c r="EYS68" s="15"/>
      <c r="EYT68" s="15"/>
      <c r="EYU68" s="15"/>
      <c r="EYV68" s="15"/>
      <c r="EYW68" s="15"/>
      <c r="EYX68" s="15"/>
      <c r="EYY68" s="15"/>
      <c r="EYZ68" s="15"/>
      <c r="EZA68" s="15"/>
      <c r="EZB68" s="15"/>
      <c r="EZC68" s="15"/>
      <c r="EZD68" s="15"/>
      <c r="EZE68" s="15"/>
      <c r="EZF68" s="15"/>
      <c r="EZG68" s="15"/>
      <c r="EZH68" s="15"/>
      <c r="EZI68" s="15"/>
      <c r="EZJ68" s="15"/>
      <c r="EZK68" s="15"/>
      <c r="EZL68" s="15"/>
      <c r="EZM68" s="15"/>
      <c r="EZN68" s="15"/>
      <c r="EZO68" s="15"/>
      <c r="EZP68" s="15"/>
      <c r="EZQ68" s="15"/>
      <c r="EZR68" s="15"/>
      <c r="EZS68" s="15"/>
      <c r="EZT68" s="15"/>
      <c r="EZU68" s="15"/>
      <c r="EZV68" s="15"/>
      <c r="EZW68" s="15"/>
      <c r="EZX68" s="15"/>
      <c r="EZY68" s="15"/>
      <c r="EZZ68" s="15"/>
      <c r="FAA68" s="15"/>
      <c r="FAB68" s="15"/>
      <c r="FAC68" s="15"/>
      <c r="FAD68" s="15"/>
      <c r="FAE68" s="15"/>
      <c r="FAF68" s="15"/>
      <c r="FAG68" s="15"/>
      <c r="FAH68" s="15"/>
      <c r="FAI68" s="15"/>
      <c r="FAJ68" s="15"/>
      <c r="FAK68" s="15"/>
      <c r="FAL68" s="15"/>
      <c r="FAM68" s="15"/>
      <c r="FAN68" s="15"/>
      <c r="FAO68" s="15"/>
      <c r="FAP68" s="15"/>
      <c r="FAQ68" s="15"/>
      <c r="FAR68" s="15"/>
      <c r="FAS68" s="15"/>
      <c r="FAT68" s="15"/>
      <c r="FAU68" s="15"/>
      <c r="FAV68" s="15"/>
      <c r="FAW68" s="15"/>
      <c r="FAX68" s="15"/>
      <c r="FAY68" s="15"/>
      <c r="FAZ68" s="15"/>
      <c r="FBA68" s="15"/>
      <c r="FBB68" s="15"/>
      <c r="FBC68" s="15"/>
      <c r="FBD68" s="15"/>
      <c r="FBE68" s="15"/>
      <c r="FBF68" s="15"/>
      <c r="FBG68" s="15"/>
      <c r="FBH68" s="15"/>
      <c r="FBI68" s="15"/>
      <c r="FBJ68" s="15"/>
      <c r="FBK68" s="15"/>
      <c r="FBL68" s="15"/>
      <c r="FBM68" s="15"/>
      <c r="FBN68" s="15"/>
      <c r="FBO68" s="15"/>
      <c r="FBP68" s="15"/>
      <c r="FBQ68" s="15"/>
      <c r="FBR68" s="15"/>
      <c r="FBS68" s="15"/>
      <c r="FBT68" s="15"/>
      <c r="FBU68" s="15"/>
      <c r="FBV68" s="15"/>
      <c r="FBW68" s="15"/>
      <c r="FBX68" s="15"/>
      <c r="FBY68" s="15"/>
      <c r="FBZ68" s="15"/>
      <c r="FCA68" s="15"/>
      <c r="FCB68" s="15"/>
      <c r="FCC68" s="15"/>
      <c r="FCD68" s="15"/>
      <c r="FCE68" s="15"/>
      <c r="FCF68" s="15"/>
      <c r="FCG68" s="15"/>
      <c r="FCH68" s="15"/>
      <c r="FCI68" s="15"/>
      <c r="FCJ68" s="15"/>
      <c r="FCK68" s="15"/>
      <c r="FCL68" s="15"/>
      <c r="FCM68" s="15"/>
      <c r="FCN68" s="15"/>
      <c r="FCO68" s="15"/>
      <c r="FCP68" s="15"/>
      <c r="FCQ68" s="15"/>
      <c r="FCR68" s="15"/>
      <c r="FCS68" s="15"/>
      <c r="FCT68" s="15"/>
      <c r="FCU68" s="15"/>
      <c r="FCV68" s="15"/>
      <c r="FCW68" s="15"/>
      <c r="FCX68" s="15"/>
      <c r="FCY68" s="15"/>
      <c r="FCZ68" s="15"/>
      <c r="FDA68" s="15"/>
      <c r="FDB68" s="15"/>
      <c r="FDC68" s="15"/>
      <c r="FDD68" s="15"/>
      <c r="FDE68" s="15"/>
      <c r="FDF68" s="15"/>
      <c r="FDG68" s="15"/>
      <c r="FDH68" s="15"/>
      <c r="FDI68" s="15"/>
      <c r="FDJ68" s="15"/>
      <c r="FDK68" s="15"/>
      <c r="FDL68" s="15"/>
      <c r="FDM68" s="15"/>
      <c r="FDN68" s="15"/>
      <c r="FDO68" s="15"/>
      <c r="FDP68" s="15"/>
      <c r="FDQ68" s="15"/>
      <c r="FDR68" s="15"/>
      <c r="FDS68" s="15"/>
      <c r="FDT68" s="15"/>
      <c r="FDU68" s="15"/>
      <c r="FDV68" s="15"/>
      <c r="FDW68" s="15"/>
      <c r="FDX68" s="15"/>
      <c r="FDY68" s="15"/>
      <c r="FDZ68" s="15"/>
      <c r="FEA68" s="15"/>
      <c r="FEB68" s="15"/>
      <c r="FEC68" s="15"/>
      <c r="FED68" s="15"/>
      <c r="FEE68" s="15"/>
      <c r="FEF68" s="15"/>
      <c r="FEG68" s="15"/>
      <c r="FEH68" s="15"/>
      <c r="FEI68" s="15"/>
      <c r="FEJ68" s="15"/>
      <c r="FEK68" s="15"/>
      <c r="FEL68" s="15"/>
      <c r="FEM68" s="15"/>
      <c r="FEN68" s="15"/>
      <c r="FEO68" s="15"/>
      <c r="FEP68" s="15"/>
      <c r="FEQ68" s="15"/>
      <c r="FER68" s="15"/>
      <c r="FES68" s="15"/>
      <c r="FET68" s="15"/>
      <c r="FEU68" s="15"/>
      <c r="FEV68" s="15"/>
      <c r="FEW68" s="15"/>
      <c r="FEX68" s="15"/>
      <c r="FEY68" s="15"/>
      <c r="FEZ68" s="15"/>
      <c r="FFA68" s="15"/>
      <c r="FFB68" s="15"/>
      <c r="FFC68" s="15"/>
      <c r="FFD68" s="15"/>
      <c r="FFE68" s="15"/>
      <c r="FFF68" s="15"/>
      <c r="FFG68" s="15"/>
      <c r="FFH68" s="15"/>
      <c r="FFI68" s="15"/>
      <c r="FFJ68" s="15"/>
      <c r="FFK68" s="15"/>
      <c r="FFL68" s="15"/>
      <c r="FFM68" s="15"/>
      <c r="FFN68" s="15"/>
      <c r="FFO68" s="15"/>
      <c r="FFP68" s="15"/>
      <c r="FFQ68" s="15"/>
      <c r="FFR68" s="15"/>
      <c r="FFS68" s="15"/>
      <c r="FFT68" s="15"/>
      <c r="FFU68" s="15"/>
      <c r="FFV68" s="15"/>
      <c r="FFW68" s="15"/>
      <c r="FFX68" s="15"/>
      <c r="FFY68" s="15"/>
      <c r="FFZ68" s="15"/>
      <c r="FGA68" s="15"/>
      <c r="FGB68" s="15"/>
      <c r="FGC68" s="15"/>
      <c r="FGD68" s="15"/>
      <c r="FGE68" s="15"/>
      <c r="FGF68" s="15"/>
      <c r="FGG68" s="15"/>
      <c r="FGH68" s="15"/>
      <c r="FGI68" s="15"/>
      <c r="FGJ68" s="15"/>
      <c r="FGK68" s="15"/>
      <c r="FGL68" s="15"/>
      <c r="FGM68" s="15"/>
      <c r="FGN68" s="15"/>
      <c r="FGO68" s="15"/>
      <c r="FGP68" s="15"/>
      <c r="FGQ68" s="15"/>
      <c r="FGR68" s="15"/>
      <c r="FGS68" s="15"/>
      <c r="FGT68" s="15"/>
      <c r="FGU68" s="15"/>
      <c r="FGV68" s="15"/>
      <c r="FGW68" s="15"/>
      <c r="FGX68" s="15"/>
      <c r="FGY68" s="15"/>
      <c r="FGZ68" s="15"/>
      <c r="FHA68" s="15"/>
      <c r="FHB68" s="15"/>
      <c r="FHC68" s="15"/>
      <c r="FHD68" s="15"/>
      <c r="FHE68" s="15"/>
      <c r="FHF68" s="15"/>
      <c r="FHG68" s="15"/>
      <c r="FHH68" s="15"/>
      <c r="FHI68" s="15"/>
      <c r="FHJ68" s="15"/>
      <c r="FHK68" s="15"/>
      <c r="FHL68" s="15"/>
      <c r="FHM68" s="15"/>
      <c r="FHN68" s="15"/>
      <c r="FHO68" s="15"/>
      <c r="FHP68" s="15"/>
      <c r="FHQ68" s="15"/>
      <c r="FHR68" s="15"/>
      <c r="FHS68" s="15"/>
      <c r="FHT68" s="15"/>
      <c r="FHU68" s="15"/>
      <c r="FHV68" s="15"/>
      <c r="FHW68" s="15"/>
      <c r="FHX68" s="15"/>
      <c r="FHY68" s="15"/>
      <c r="FHZ68" s="15"/>
      <c r="FIA68" s="15"/>
      <c r="FIB68" s="15"/>
      <c r="FIC68" s="15"/>
      <c r="FID68" s="15"/>
      <c r="FIE68" s="15"/>
      <c r="FIF68" s="15"/>
      <c r="FIG68" s="15"/>
      <c r="FIH68" s="15"/>
      <c r="FII68" s="15"/>
      <c r="FIJ68" s="15"/>
      <c r="FIK68" s="15"/>
      <c r="FIL68" s="15"/>
      <c r="FIM68" s="15"/>
      <c r="FIN68" s="15"/>
      <c r="FIO68" s="15"/>
      <c r="FIP68" s="15"/>
      <c r="FIQ68" s="15"/>
      <c r="FIR68" s="15"/>
      <c r="FIS68" s="15"/>
      <c r="FIT68" s="15"/>
      <c r="FIU68" s="15"/>
      <c r="FIV68" s="15"/>
      <c r="FIW68" s="15"/>
      <c r="FIX68" s="15"/>
      <c r="FIY68" s="15"/>
      <c r="FIZ68" s="15"/>
      <c r="FJA68" s="15"/>
      <c r="FJB68" s="15"/>
      <c r="FJC68" s="15"/>
      <c r="FJD68" s="15"/>
      <c r="FJE68" s="15"/>
      <c r="FJF68" s="15"/>
      <c r="FJG68" s="15"/>
      <c r="FJH68" s="15"/>
      <c r="FJI68" s="15"/>
      <c r="FJJ68" s="15"/>
      <c r="FJK68" s="15"/>
      <c r="FJL68" s="15"/>
      <c r="FJM68" s="15"/>
      <c r="FJN68" s="15"/>
      <c r="FJO68" s="15"/>
      <c r="FJP68" s="15"/>
      <c r="FJQ68" s="15"/>
      <c r="FJR68" s="15"/>
      <c r="FJS68" s="15"/>
      <c r="FJT68" s="15"/>
      <c r="FJU68" s="15"/>
      <c r="FJV68" s="15"/>
      <c r="FJW68" s="15"/>
      <c r="FJX68" s="15"/>
      <c r="FJY68" s="15"/>
      <c r="FJZ68" s="15"/>
      <c r="FKA68" s="15"/>
      <c r="FKB68" s="15"/>
      <c r="FKC68" s="15"/>
      <c r="FKD68" s="15"/>
      <c r="FKE68" s="15"/>
      <c r="FKF68" s="15"/>
      <c r="FKG68" s="15"/>
      <c r="FKH68" s="15"/>
      <c r="FKI68" s="15"/>
      <c r="FKJ68" s="15"/>
      <c r="FKK68" s="15"/>
      <c r="FKL68" s="15"/>
      <c r="FKM68" s="15"/>
      <c r="FKN68" s="15"/>
      <c r="FKO68" s="15"/>
      <c r="FKP68" s="15"/>
      <c r="FKQ68" s="15"/>
      <c r="FKR68" s="15"/>
      <c r="FKS68" s="15"/>
      <c r="FKT68" s="15"/>
      <c r="FKU68" s="15"/>
      <c r="FKV68" s="15"/>
      <c r="FKW68" s="15"/>
      <c r="FKX68" s="15"/>
      <c r="FKY68" s="15"/>
      <c r="FKZ68" s="15"/>
      <c r="FLA68" s="15"/>
      <c r="FLB68" s="15"/>
      <c r="FLC68" s="15"/>
      <c r="FLD68" s="15"/>
      <c r="FLE68" s="15"/>
      <c r="FLF68" s="15"/>
      <c r="FLG68" s="15"/>
      <c r="FLH68" s="15"/>
      <c r="FLI68" s="15"/>
      <c r="FLJ68" s="15"/>
      <c r="FLK68" s="15"/>
      <c r="FLL68" s="15"/>
      <c r="FLM68" s="15"/>
      <c r="FLN68" s="15"/>
      <c r="FLO68" s="15"/>
      <c r="FLP68" s="15"/>
      <c r="FLQ68" s="15"/>
      <c r="FLR68" s="15"/>
      <c r="FLS68" s="15"/>
      <c r="FLT68" s="15"/>
      <c r="FLU68" s="15"/>
      <c r="FLV68" s="15"/>
      <c r="FLW68" s="15"/>
      <c r="FLX68" s="15"/>
      <c r="FLY68" s="15"/>
      <c r="FLZ68" s="15"/>
      <c r="FMA68" s="15"/>
      <c r="FMB68" s="15"/>
      <c r="FMC68" s="15"/>
      <c r="FMD68" s="15"/>
      <c r="FME68" s="15"/>
      <c r="FMF68" s="15"/>
      <c r="FMG68" s="15"/>
      <c r="FMH68" s="15"/>
      <c r="FMI68" s="15"/>
      <c r="FMJ68" s="15"/>
      <c r="FMK68" s="15"/>
      <c r="FML68" s="15"/>
      <c r="FMM68" s="15"/>
      <c r="FMN68" s="15"/>
      <c r="FMO68" s="15"/>
      <c r="FMP68" s="15"/>
      <c r="FMQ68" s="15"/>
      <c r="FMR68" s="15"/>
      <c r="FMS68" s="15"/>
      <c r="FMT68" s="15"/>
      <c r="FMU68" s="15"/>
      <c r="FMV68" s="15"/>
      <c r="FMW68" s="15"/>
      <c r="FMX68" s="15"/>
      <c r="FMY68" s="15"/>
      <c r="FMZ68" s="15"/>
      <c r="FNA68" s="15"/>
      <c r="FNB68" s="15"/>
      <c r="FNC68" s="15"/>
      <c r="FND68" s="15"/>
      <c r="FNE68" s="15"/>
      <c r="FNF68" s="15"/>
      <c r="FNG68" s="15"/>
      <c r="FNH68" s="15"/>
      <c r="FNI68" s="15"/>
      <c r="FNJ68" s="15"/>
      <c r="FNK68" s="15"/>
      <c r="FNL68" s="15"/>
      <c r="FNM68" s="15"/>
      <c r="FNN68" s="15"/>
      <c r="FNO68" s="15"/>
      <c r="FNP68" s="15"/>
      <c r="FNQ68" s="15"/>
      <c r="FNR68" s="15"/>
      <c r="FNS68" s="15"/>
      <c r="FNT68" s="15"/>
      <c r="FNU68" s="15"/>
      <c r="FNV68" s="15"/>
      <c r="FNW68" s="15"/>
      <c r="FNX68" s="15"/>
      <c r="FNY68" s="15"/>
      <c r="FNZ68" s="15"/>
      <c r="FOA68" s="15"/>
      <c r="FOB68" s="15"/>
      <c r="FOC68" s="15"/>
      <c r="FOD68" s="15"/>
      <c r="FOE68" s="15"/>
      <c r="FOF68" s="15"/>
      <c r="FOG68" s="15"/>
      <c r="FOH68" s="15"/>
      <c r="FOI68" s="15"/>
      <c r="FOJ68" s="15"/>
      <c r="FOK68" s="15"/>
      <c r="FOL68" s="15"/>
      <c r="FOM68" s="15"/>
      <c r="FON68" s="15"/>
      <c r="FOO68" s="15"/>
      <c r="FOP68" s="15"/>
      <c r="FOQ68" s="15"/>
      <c r="FOR68" s="15"/>
      <c r="FOS68" s="15"/>
      <c r="FOT68" s="15"/>
      <c r="FOU68" s="15"/>
      <c r="FOV68" s="15"/>
      <c r="FOW68" s="15"/>
      <c r="FOX68" s="15"/>
      <c r="FOY68" s="15"/>
      <c r="FOZ68" s="15"/>
      <c r="FPA68" s="15"/>
      <c r="FPB68" s="15"/>
      <c r="FPC68" s="15"/>
      <c r="FPD68" s="15"/>
      <c r="FPE68" s="15"/>
      <c r="FPF68" s="15"/>
      <c r="FPG68" s="15"/>
      <c r="FPH68" s="15"/>
      <c r="FPI68" s="15"/>
      <c r="FPJ68" s="15"/>
      <c r="FPK68" s="15"/>
      <c r="FPL68" s="15"/>
      <c r="FPM68" s="15"/>
      <c r="FPN68" s="15"/>
      <c r="FPO68" s="15"/>
      <c r="FPP68" s="15"/>
      <c r="FPQ68" s="15"/>
      <c r="FPR68" s="15"/>
      <c r="FPS68" s="15"/>
      <c r="FPT68" s="15"/>
      <c r="FPU68" s="15"/>
      <c r="FPV68" s="15"/>
      <c r="FPW68" s="15"/>
      <c r="FPX68" s="15"/>
      <c r="FPY68" s="15"/>
      <c r="FPZ68" s="15"/>
      <c r="FQA68" s="15"/>
      <c r="FQB68" s="15"/>
      <c r="FQC68" s="15"/>
      <c r="FQD68" s="15"/>
      <c r="FQE68" s="15"/>
      <c r="FQF68" s="15"/>
      <c r="FQG68" s="15"/>
      <c r="FQH68" s="15"/>
      <c r="FQI68" s="15"/>
      <c r="FQJ68" s="15"/>
      <c r="FQK68" s="15"/>
      <c r="FQL68" s="15"/>
      <c r="FQM68" s="15"/>
      <c r="FQN68" s="15"/>
      <c r="FQO68" s="15"/>
      <c r="FQP68" s="15"/>
      <c r="FQQ68" s="15"/>
      <c r="FQR68" s="15"/>
      <c r="FQS68" s="15"/>
      <c r="FQT68" s="15"/>
      <c r="FQU68" s="15"/>
      <c r="FQV68" s="15"/>
      <c r="FQW68" s="15"/>
      <c r="FQX68" s="15"/>
      <c r="FQY68" s="15"/>
      <c r="FQZ68" s="15"/>
      <c r="FRA68" s="15"/>
      <c r="FRB68" s="15"/>
      <c r="FRC68" s="15"/>
      <c r="FRD68" s="15"/>
      <c r="FRE68" s="15"/>
      <c r="FRF68" s="15"/>
      <c r="FRG68" s="15"/>
      <c r="FRH68" s="15"/>
      <c r="FRI68" s="15"/>
      <c r="FRJ68" s="15"/>
      <c r="FRK68" s="15"/>
      <c r="FRL68" s="15"/>
      <c r="FRM68" s="15"/>
      <c r="FRN68" s="15"/>
      <c r="FRO68" s="15"/>
      <c r="FRP68" s="15"/>
      <c r="FRQ68" s="15"/>
      <c r="FRR68" s="15"/>
      <c r="FRS68" s="15"/>
      <c r="FRT68" s="15"/>
      <c r="FRU68" s="15"/>
      <c r="FRV68" s="15"/>
      <c r="FRW68" s="15"/>
      <c r="FRX68" s="15"/>
      <c r="FRY68" s="15"/>
      <c r="FRZ68" s="15"/>
      <c r="FSA68" s="15"/>
      <c r="FSB68" s="15"/>
      <c r="FSC68" s="15"/>
      <c r="FSD68" s="15"/>
      <c r="FSE68" s="15"/>
      <c r="FSF68" s="15"/>
      <c r="FSG68" s="15"/>
      <c r="FSH68" s="15"/>
      <c r="FSI68" s="15"/>
      <c r="FSJ68" s="15"/>
      <c r="FSK68" s="15"/>
      <c r="FSL68" s="15"/>
      <c r="FSM68" s="15"/>
      <c r="FSN68" s="15"/>
      <c r="FSO68" s="15"/>
      <c r="FSP68" s="15"/>
      <c r="FSQ68" s="15"/>
      <c r="FSR68" s="15"/>
      <c r="FSS68" s="15"/>
      <c r="FST68" s="15"/>
      <c r="FSU68" s="15"/>
      <c r="FSV68" s="15"/>
      <c r="FSW68" s="15"/>
      <c r="FSX68" s="15"/>
      <c r="FSY68" s="15"/>
      <c r="FSZ68" s="15"/>
      <c r="FTA68" s="15"/>
      <c r="FTB68" s="15"/>
      <c r="FTC68" s="15"/>
      <c r="FTD68" s="15"/>
      <c r="FTE68" s="15"/>
      <c r="FTF68" s="15"/>
      <c r="FTG68" s="15"/>
      <c r="FTH68" s="15"/>
      <c r="FTI68" s="15"/>
      <c r="FTJ68" s="15"/>
      <c r="FTK68" s="15"/>
      <c r="FTL68" s="15"/>
      <c r="FTM68" s="15"/>
      <c r="FTN68" s="15"/>
      <c r="FTO68" s="15"/>
      <c r="FTP68" s="15"/>
      <c r="FTQ68" s="15"/>
      <c r="FTR68" s="15"/>
      <c r="FTS68" s="15"/>
      <c r="FTT68" s="15"/>
      <c r="FTU68" s="15"/>
      <c r="FTV68" s="15"/>
      <c r="FTW68" s="15"/>
      <c r="FTX68" s="15"/>
      <c r="FTY68" s="15"/>
      <c r="FTZ68" s="15"/>
      <c r="FUA68" s="15"/>
      <c r="FUB68" s="15"/>
      <c r="FUC68" s="15"/>
      <c r="FUD68" s="15"/>
      <c r="FUE68" s="15"/>
      <c r="FUF68" s="15"/>
      <c r="FUG68" s="15"/>
      <c r="FUH68" s="15"/>
      <c r="FUI68" s="15"/>
      <c r="FUJ68" s="15"/>
      <c r="FUK68" s="15"/>
      <c r="FUL68" s="15"/>
      <c r="FUM68" s="15"/>
      <c r="FUN68" s="15"/>
      <c r="FUO68" s="15"/>
      <c r="FUP68" s="15"/>
      <c r="FUQ68" s="15"/>
      <c r="FUR68" s="15"/>
      <c r="FUS68" s="15"/>
      <c r="FUT68" s="15"/>
      <c r="FUU68" s="15"/>
      <c r="FUV68" s="15"/>
      <c r="FUW68" s="15"/>
      <c r="FUX68" s="15"/>
      <c r="FUY68" s="15"/>
      <c r="FUZ68" s="15"/>
      <c r="FVA68" s="15"/>
      <c r="FVB68" s="15"/>
      <c r="FVC68" s="15"/>
      <c r="FVD68" s="15"/>
      <c r="FVE68" s="15"/>
      <c r="FVF68" s="15"/>
      <c r="FVG68" s="15"/>
      <c r="FVH68" s="15"/>
      <c r="FVI68" s="15"/>
      <c r="FVJ68" s="15"/>
      <c r="FVK68" s="15"/>
      <c r="FVL68" s="15"/>
      <c r="FVM68" s="15"/>
      <c r="FVN68" s="15"/>
      <c r="FVO68" s="15"/>
      <c r="FVP68" s="15"/>
      <c r="FVQ68" s="15"/>
      <c r="FVR68" s="15"/>
      <c r="FVS68" s="15"/>
      <c r="FVT68" s="15"/>
      <c r="FVU68" s="15"/>
      <c r="FVV68" s="15"/>
      <c r="FVW68" s="15"/>
      <c r="FVX68" s="15"/>
      <c r="FVY68" s="15"/>
      <c r="FVZ68" s="15"/>
      <c r="FWA68" s="15"/>
      <c r="FWB68" s="15"/>
      <c r="FWC68" s="15"/>
      <c r="FWD68" s="15"/>
      <c r="FWE68" s="15"/>
      <c r="FWF68" s="15"/>
      <c r="FWG68" s="15"/>
      <c r="FWH68" s="15"/>
      <c r="FWI68" s="15"/>
      <c r="FWJ68" s="15"/>
      <c r="FWK68" s="15"/>
      <c r="FWL68" s="15"/>
      <c r="FWM68" s="15"/>
      <c r="FWN68" s="15"/>
      <c r="FWO68" s="15"/>
      <c r="FWP68" s="15"/>
      <c r="FWQ68" s="15"/>
      <c r="FWR68" s="15"/>
      <c r="FWS68" s="15"/>
      <c r="FWT68" s="15"/>
      <c r="FWU68" s="15"/>
      <c r="FWV68" s="15"/>
      <c r="FWW68" s="15"/>
      <c r="FWX68" s="15"/>
      <c r="FWY68" s="15"/>
      <c r="FWZ68" s="15"/>
      <c r="FXA68" s="15"/>
      <c r="FXB68" s="15"/>
      <c r="FXC68" s="15"/>
      <c r="FXD68" s="15"/>
      <c r="FXE68" s="15"/>
      <c r="FXF68" s="15"/>
      <c r="FXG68" s="15"/>
      <c r="FXH68" s="15"/>
      <c r="FXI68" s="15"/>
      <c r="FXJ68" s="15"/>
      <c r="FXK68" s="15"/>
      <c r="FXL68" s="15"/>
      <c r="FXM68" s="15"/>
      <c r="FXN68" s="15"/>
      <c r="FXO68" s="15"/>
      <c r="FXP68" s="15"/>
      <c r="FXQ68" s="15"/>
      <c r="FXR68" s="15"/>
      <c r="FXS68" s="15"/>
      <c r="FXT68" s="15"/>
      <c r="FXU68" s="15"/>
      <c r="FXV68" s="15"/>
      <c r="FXW68" s="15"/>
      <c r="FXX68" s="15"/>
      <c r="FXY68" s="15"/>
      <c r="FXZ68" s="15"/>
      <c r="FYA68" s="15"/>
      <c r="FYB68" s="15"/>
      <c r="FYC68" s="15"/>
      <c r="FYD68" s="15"/>
      <c r="FYE68" s="15"/>
      <c r="FYF68" s="15"/>
      <c r="FYG68" s="15"/>
      <c r="FYH68" s="15"/>
      <c r="FYI68" s="15"/>
      <c r="FYJ68" s="15"/>
      <c r="FYK68" s="15"/>
      <c r="FYL68" s="15"/>
      <c r="FYM68" s="15"/>
      <c r="FYN68" s="15"/>
      <c r="FYO68" s="15"/>
      <c r="FYP68" s="15"/>
      <c r="FYQ68" s="15"/>
      <c r="FYR68" s="15"/>
      <c r="FYS68" s="15"/>
      <c r="FYT68" s="15"/>
      <c r="FYU68" s="15"/>
      <c r="FYV68" s="15"/>
      <c r="FYW68" s="15"/>
      <c r="FYX68" s="15"/>
      <c r="FYY68" s="15"/>
      <c r="FYZ68" s="15"/>
      <c r="FZA68" s="15"/>
      <c r="FZB68" s="15"/>
      <c r="FZC68" s="15"/>
      <c r="FZD68" s="15"/>
      <c r="FZE68" s="15"/>
      <c r="FZF68" s="15"/>
      <c r="FZG68" s="15"/>
      <c r="FZH68" s="15"/>
      <c r="FZI68" s="15"/>
      <c r="FZJ68" s="15"/>
      <c r="FZK68" s="15"/>
      <c r="FZL68" s="15"/>
      <c r="FZM68" s="15"/>
      <c r="FZN68" s="15"/>
      <c r="FZO68" s="15"/>
      <c r="FZP68" s="15"/>
      <c r="FZQ68" s="15"/>
      <c r="FZR68" s="15"/>
      <c r="FZS68" s="15"/>
      <c r="FZT68" s="15"/>
      <c r="FZU68" s="15"/>
      <c r="FZV68" s="15"/>
      <c r="FZW68" s="15"/>
      <c r="FZX68" s="15"/>
      <c r="FZY68" s="15"/>
      <c r="FZZ68" s="15"/>
      <c r="GAA68" s="15"/>
      <c r="GAB68" s="15"/>
      <c r="GAC68" s="15"/>
      <c r="GAD68" s="15"/>
      <c r="GAE68" s="15"/>
      <c r="GAF68" s="15"/>
      <c r="GAG68" s="15"/>
      <c r="GAH68" s="15"/>
      <c r="GAI68" s="15"/>
      <c r="GAJ68" s="15"/>
      <c r="GAK68" s="15"/>
      <c r="GAL68" s="15"/>
      <c r="GAM68" s="15"/>
      <c r="GAN68" s="15"/>
      <c r="GAO68" s="15"/>
      <c r="GAP68" s="15"/>
      <c r="GAQ68" s="15"/>
      <c r="GAR68" s="15"/>
      <c r="GAS68" s="15"/>
      <c r="GAT68" s="15"/>
      <c r="GAU68" s="15"/>
      <c r="GAV68" s="15"/>
      <c r="GAW68" s="15"/>
      <c r="GAX68" s="15"/>
      <c r="GAY68" s="15"/>
      <c r="GAZ68" s="15"/>
      <c r="GBA68" s="15"/>
      <c r="GBB68" s="15"/>
      <c r="GBC68" s="15"/>
      <c r="GBD68" s="15"/>
      <c r="GBE68" s="15"/>
      <c r="GBF68" s="15"/>
      <c r="GBG68" s="15"/>
      <c r="GBH68" s="15"/>
      <c r="GBI68" s="15"/>
      <c r="GBJ68" s="15"/>
      <c r="GBK68" s="15"/>
      <c r="GBL68" s="15"/>
      <c r="GBM68" s="15"/>
      <c r="GBN68" s="15"/>
      <c r="GBO68" s="15"/>
      <c r="GBP68" s="15"/>
      <c r="GBQ68" s="15"/>
      <c r="GBR68" s="15"/>
      <c r="GBS68" s="15"/>
      <c r="GBT68" s="15"/>
      <c r="GBU68" s="15"/>
      <c r="GBV68" s="15"/>
      <c r="GBW68" s="15"/>
      <c r="GBX68" s="15"/>
      <c r="GBY68" s="15"/>
      <c r="GBZ68" s="15"/>
      <c r="GCA68" s="15"/>
      <c r="GCB68" s="15"/>
      <c r="GCC68" s="15"/>
      <c r="GCD68" s="15"/>
      <c r="GCE68" s="15"/>
      <c r="GCF68" s="15"/>
      <c r="GCG68" s="15"/>
      <c r="GCH68" s="15"/>
      <c r="GCI68" s="15"/>
      <c r="GCJ68" s="15"/>
      <c r="GCK68" s="15"/>
      <c r="GCL68" s="15"/>
      <c r="GCM68" s="15"/>
      <c r="GCN68" s="15"/>
      <c r="GCO68" s="15"/>
      <c r="GCP68" s="15"/>
      <c r="GCQ68" s="15"/>
      <c r="GCR68" s="15"/>
      <c r="GCS68" s="15"/>
      <c r="GCT68" s="15"/>
      <c r="GCU68" s="15"/>
      <c r="GCV68" s="15"/>
      <c r="GCW68" s="15"/>
      <c r="GCX68" s="15"/>
      <c r="GCY68" s="15"/>
      <c r="GCZ68" s="15"/>
      <c r="GDA68" s="15"/>
      <c r="GDB68" s="15"/>
      <c r="GDC68" s="15"/>
      <c r="GDD68" s="15"/>
      <c r="GDE68" s="15"/>
      <c r="GDF68" s="15"/>
      <c r="GDG68" s="15"/>
      <c r="GDH68" s="15"/>
      <c r="GDI68" s="15"/>
      <c r="GDJ68" s="15"/>
      <c r="GDK68" s="15"/>
      <c r="GDL68" s="15"/>
      <c r="GDM68" s="15"/>
      <c r="GDN68" s="15"/>
      <c r="GDO68" s="15"/>
      <c r="GDP68" s="15"/>
      <c r="GDQ68" s="15"/>
      <c r="GDR68" s="15"/>
      <c r="GDS68" s="15"/>
      <c r="GDT68" s="15"/>
      <c r="GDU68" s="15"/>
      <c r="GDV68" s="15"/>
      <c r="GDW68" s="15"/>
      <c r="GDX68" s="15"/>
      <c r="GDY68" s="15"/>
      <c r="GDZ68" s="15"/>
      <c r="GEA68" s="15"/>
      <c r="GEB68" s="15"/>
      <c r="GEC68" s="15"/>
      <c r="GED68" s="15"/>
      <c r="GEE68" s="15"/>
      <c r="GEF68" s="15"/>
      <c r="GEG68" s="15"/>
      <c r="GEH68" s="15"/>
      <c r="GEI68" s="15"/>
      <c r="GEJ68" s="15"/>
      <c r="GEK68" s="15"/>
      <c r="GEL68" s="15"/>
      <c r="GEM68" s="15"/>
      <c r="GEN68" s="15"/>
      <c r="GEO68" s="15"/>
      <c r="GEP68" s="15"/>
      <c r="GEQ68" s="15"/>
      <c r="GER68" s="15"/>
      <c r="GES68" s="15"/>
      <c r="GET68" s="15"/>
      <c r="GEU68" s="15"/>
      <c r="GEV68" s="15"/>
      <c r="GEW68" s="15"/>
      <c r="GEX68" s="15"/>
      <c r="GEY68" s="15"/>
      <c r="GEZ68" s="15"/>
      <c r="GFA68" s="15"/>
      <c r="GFB68" s="15"/>
      <c r="GFC68" s="15"/>
      <c r="GFD68" s="15"/>
      <c r="GFE68" s="15"/>
      <c r="GFF68" s="15"/>
      <c r="GFG68" s="15"/>
      <c r="GFH68" s="15"/>
      <c r="GFI68" s="15"/>
      <c r="GFJ68" s="15"/>
      <c r="GFK68" s="15"/>
      <c r="GFL68" s="15"/>
      <c r="GFM68" s="15"/>
      <c r="GFN68" s="15"/>
      <c r="GFO68" s="15"/>
      <c r="GFP68" s="15"/>
      <c r="GFQ68" s="15"/>
      <c r="GFR68" s="15"/>
      <c r="GFS68" s="15"/>
      <c r="GFT68" s="15"/>
      <c r="GFU68" s="15"/>
      <c r="GFV68" s="15"/>
      <c r="GFW68" s="15"/>
      <c r="GFX68" s="15"/>
      <c r="GFY68" s="15"/>
      <c r="GFZ68" s="15"/>
      <c r="GGA68" s="15"/>
      <c r="GGB68" s="15"/>
      <c r="GGC68" s="15"/>
      <c r="GGD68" s="15"/>
      <c r="GGE68" s="15"/>
      <c r="GGF68" s="15"/>
      <c r="GGG68" s="15"/>
      <c r="GGH68" s="15"/>
      <c r="GGI68" s="15"/>
      <c r="GGJ68" s="15"/>
      <c r="GGK68" s="15"/>
      <c r="GGL68" s="15"/>
      <c r="GGM68" s="15"/>
      <c r="GGN68" s="15"/>
      <c r="GGO68" s="15"/>
      <c r="GGP68" s="15"/>
      <c r="GGQ68" s="15"/>
      <c r="GGR68" s="15"/>
      <c r="GGS68" s="15"/>
      <c r="GGT68" s="15"/>
      <c r="GGU68" s="15"/>
      <c r="GGV68" s="15"/>
      <c r="GGW68" s="15"/>
      <c r="GGX68" s="15"/>
      <c r="GGY68" s="15"/>
      <c r="GGZ68" s="15"/>
      <c r="GHA68" s="15"/>
      <c r="GHB68" s="15"/>
      <c r="GHC68" s="15"/>
      <c r="GHD68" s="15"/>
      <c r="GHE68" s="15"/>
      <c r="GHF68" s="15"/>
      <c r="GHG68" s="15"/>
      <c r="GHH68" s="15"/>
      <c r="GHI68" s="15"/>
      <c r="GHJ68" s="15"/>
      <c r="GHK68" s="15"/>
      <c r="GHL68" s="15"/>
      <c r="GHM68" s="15"/>
      <c r="GHN68" s="15"/>
      <c r="GHO68" s="15"/>
      <c r="GHP68" s="15"/>
      <c r="GHQ68" s="15"/>
      <c r="GHR68" s="15"/>
      <c r="GHS68" s="15"/>
      <c r="GHT68" s="15"/>
      <c r="GHU68" s="15"/>
      <c r="GHV68" s="15"/>
      <c r="GHW68" s="15"/>
      <c r="GHX68" s="15"/>
      <c r="GHY68" s="15"/>
      <c r="GHZ68" s="15"/>
      <c r="GIA68" s="15"/>
      <c r="GIB68" s="15"/>
      <c r="GIC68" s="15"/>
      <c r="GID68" s="15"/>
      <c r="GIE68" s="15"/>
      <c r="GIF68" s="15"/>
      <c r="GIG68" s="15"/>
      <c r="GIH68" s="15"/>
      <c r="GII68" s="15"/>
      <c r="GIJ68" s="15"/>
      <c r="GIK68" s="15"/>
      <c r="GIL68" s="15"/>
      <c r="GIM68" s="15"/>
      <c r="GIN68" s="15"/>
      <c r="GIO68" s="15"/>
      <c r="GIP68" s="15"/>
      <c r="GIQ68" s="15"/>
      <c r="GIR68" s="15"/>
      <c r="GIS68" s="15"/>
      <c r="GIT68" s="15"/>
      <c r="GIU68" s="15"/>
      <c r="GIV68" s="15"/>
      <c r="GIW68" s="15"/>
      <c r="GIX68" s="15"/>
      <c r="GIY68" s="15"/>
      <c r="GIZ68" s="15"/>
      <c r="GJA68" s="15"/>
      <c r="GJB68" s="15"/>
      <c r="GJC68" s="15"/>
      <c r="GJD68" s="15"/>
      <c r="GJE68" s="15"/>
      <c r="GJF68" s="15"/>
      <c r="GJG68" s="15"/>
      <c r="GJH68" s="15"/>
      <c r="GJI68" s="15"/>
      <c r="GJJ68" s="15"/>
      <c r="GJK68" s="15"/>
      <c r="GJL68" s="15"/>
      <c r="GJM68" s="15"/>
      <c r="GJN68" s="15"/>
      <c r="GJO68" s="15"/>
      <c r="GJP68" s="15"/>
      <c r="GJQ68" s="15"/>
      <c r="GJR68" s="15"/>
      <c r="GJS68" s="15"/>
      <c r="GJT68" s="15"/>
      <c r="GJU68" s="15"/>
      <c r="GJV68" s="15"/>
      <c r="GJW68" s="15"/>
      <c r="GJX68" s="15"/>
      <c r="GJY68" s="15"/>
      <c r="GJZ68" s="15"/>
      <c r="GKA68" s="15"/>
      <c r="GKB68" s="15"/>
      <c r="GKC68" s="15"/>
      <c r="GKD68" s="15"/>
      <c r="GKE68" s="15"/>
      <c r="GKF68" s="15"/>
      <c r="GKG68" s="15"/>
      <c r="GKH68" s="15"/>
      <c r="GKI68" s="15"/>
      <c r="GKJ68" s="15"/>
      <c r="GKK68" s="15"/>
      <c r="GKL68" s="15"/>
      <c r="GKM68" s="15"/>
      <c r="GKN68" s="15"/>
      <c r="GKO68" s="15"/>
      <c r="GKP68" s="15"/>
      <c r="GKQ68" s="15"/>
      <c r="GKR68" s="15"/>
      <c r="GKS68" s="15"/>
      <c r="GKT68" s="15"/>
      <c r="GKU68" s="15"/>
      <c r="GKV68" s="15"/>
      <c r="GKW68" s="15"/>
      <c r="GKX68" s="15"/>
      <c r="GKY68" s="15"/>
      <c r="GKZ68" s="15"/>
      <c r="GLA68" s="15"/>
      <c r="GLB68" s="15"/>
      <c r="GLC68" s="15"/>
      <c r="GLD68" s="15"/>
      <c r="GLE68" s="15"/>
      <c r="GLF68" s="15"/>
      <c r="GLG68" s="15"/>
      <c r="GLH68" s="15"/>
      <c r="GLI68" s="15"/>
      <c r="GLJ68" s="15"/>
      <c r="GLK68" s="15"/>
      <c r="GLL68" s="15"/>
      <c r="GLM68" s="15"/>
      <c r="GLN68" s="15"/>
      <c r="GLO68" s="15"/>
      <c r="GLP68" s="15"/>
      <c r="GLQ68" s="15"/>
      <c r="GLR68" s="15"/>
      <c r="GLS68" s="15"/>
      <c r="GLT68" s="15"/>
      <c r="GLU68" s="15"/>
      <c r="GLV68" s="15"/>
      <c r="GLW68" s="15"/>
      <c r="GLX68" s="15"/>
      <c r="GLY68" s="15"/>
      <c r="GLZ68" s="15"/>
      <c r="GMA68" s="15"/>
      <c r="GMB68" s="15"/>
      <c r="GMC68" s="15"/>
      <c r="GMD68" s="15"/>
      <c r="GME68" s="15"/>
      <c r="GMF68" s="15"/>
      <c r="GMG68" s="15"/>
      <c r="GMH68" s="15"/>
      <c r="GMI68" s="15"/>
      <c r="GMJ68" s="15"/>
      <c r="GMK68" s="15"/>
      <c r="GML68" s="15"/>
      <c r="GMM68" s="15"/>
      <c r="GMN68" s="15"/>
      <c r="GMO68" s="15"/>
      <c r="GMP68" s="15"/>
      <c r="GMQ68" s="15"/>
      <c r="GMR68" s="15"/>
      <c r="GMS68" s="15"/>
      <c r="GMT68" s="15"/>
      <c r="GMU68" s="15"/>
      <c r="GMV68" s="15"/>
      <c r="GMW68" s="15"/>
      <c r="GMX68" s="15"/>
      <c r="GMY68" s="15"/>
      <c r="GMZ68" s="15"/>
      <c r="GNA68" s="15"/>
      <c r="GNB68" s="15"/>
      <c r="GNC68" s="15"/>
      <c r="GND68" s="15"/>
      <c r="GNE68" s="15"/>
      <c r="GNF68" s="15"/>
      <c r="GNG68" s="15"/>
      <c r="GNH68" s="15"/>
      <c r="GNI68" s="15"/>
      <c r="GNJ68" s="15"/>
      <c r="GNK68" s="15"/>
      <c r="GNL68" s="15"/>
      <c r="GNM68" s="15"/>
      <c r="GNN68" s="15"/>
      <c r="GNO68" s="15"/>
      <c r="GNP68" s="15"/>
      <c r="GNQ68" s="15"/>
      <c r="GNR68" s="15"/>
      <c r="GNS68" s="15"/>
      <c r="GNT68" s="15"/>
      <c r="GNU68" s="15"/>
      <c r="GNV68" s="15"/>
      <c r="GNW68" s="15"/>
      <c r="GNX68" s="15"/>
      <c r="GNY68" s="15"/>
      <c r="GNZ68" s="15"/>
      <c r="GOA68" s="15"/>
      <c r="GOB68" s="15"/>
      <c r="GOC68" s="15"/>
      <c r="GOD68" s="15"/>
      <c r="GOE68" s="15"/>
      <c r="GOF68" s="15"/>
      <c r="GOG68" s="15"/>
      <c r="GOH68" s="15"/>
      <c r="GOI68" s="15"/>
      <c r="GOJ68" s="15"/>
      <c r="GOK68" s="15"/>
      <c r="GOL68" s="15"/>
      <c r="GOM68" s="15"/>
      <c r="GON68" s="15"/>
      <c r="GOO68" s="15"/>
      <c r="GOP68" s="15"/>
      <c r="GOQ68" s="15"/>
      <c r="GOR68" s="15"/>
      <c r="GOS68" s="15"/>
      <c r="GOT68" s="15"/>
      <c r="GOU68" s="15"/>
      <c r="GOV68" s="15"/>
      <c r="GOW68" s="15"/>
      <c r="GOX68" s="15"/>
      <c r="GOY68" s="15"/>
      <c r="GOZ68" s="15"/>
      <c r="GPA68" s="15"/>
      <c r="GPB68" s="15"/>
      <c r="GPC68" s="15"/>
      <c r="GPD68" s="15"/>
      <c r="GPE68" s="15"/>
      <c r="GPF68" s="15"/>
      <c r="GPG68" s="15"/>
      <c r="GPH68" s="15"/>
      <c r="GPI68" s="15"/>
      <c r="GPJ68" s="15"/>
      <c r="GPK68" s="15"/>
      <c r="GPL68" s="15"/>
      <c r="GPM68" s="15"/>
      <c r="GPN68" s="15"/>
      <c r="GPO68" s="15"/>
      <c r="GPP68" s="15"/>
      <c r="GPQ68" s="15"/>
      <c r="GPR68" s="15"/>
      <c r="GPS68" s="15"/>
      <c r="GPT68" s="15"/>
      <c r="GPU68" s="15"/>
      <c r="GPV68" s="15"/>
      <c r="GPW68" s="15"/>
      <c r="GPX68" s="15"/>
      <c r="GPY68" s="15"/>
      <c r="GPZ68" s="15"/>
      <c r="GQA68" s="15"/>
      <c r="GQB68" s="15"/>
      <c r="GQC68" s="15"/>
      <c r="GQD68" s="15"/>
      <c r="GQE68" s="15"/>
      <c r="GQF68" s="15"/>
      <c r="GQG68" s="15"/>
      <c r="GQH68" s="15"/>
      <c r="GQI68" s="15"/>
      <c r="GQJ68" s="15"/>
      <c r="GQK68" s="15"/>
      <c r="GQL68" s="15"/>
      <c r="GQM68" s="15"/>
      <c r="GQN68" s="15"/>
      <c r="GQO68" s="15"/>
      <c r="GQP68" s="15"/>
      <c r="GQQ68" s="15"/>
      <c r="GQR68" s="15"/>
      <c r="GQS68" s="15"/>
      <c r="GQT68" s="15"/>
      <c r="GQU68" s="15"/>
      <c r="GQV68" s="15"/>
      <c r="GQW68" s="15"/>
      <c r="GQX68" s="15"/>
      <c r="GQY68" s="15"/>
      <c r="GQZ68" s="15"/>
      <c r="GRA68" s="15"/>
      <c r="GRB68" s="15"/>
      <c r="GRC68" s="15"/>
      <c r="GRD68" s="15"/>
      <c r="GRE68" s="15"/>
      <c r="GRF68" s="15"/>
      <c r="GRG68" s="15"/>
      <c r="GRH68" s="15"/>
      <c r="GRI68" s="15"/>
      <c r="GRJ68" s="15"/>
      <c r="GRK68" s="15"/>
      <c r="GRL68" s="15"/>
      <c r="GRM68" s="15"/>
      <c r="GRN68" s="15"/>
      <c r="GRO68" s="15"/>
      <c r="GRP68" s="15"/>
      <c r="GRQ68" s="15"/>
      <c r="GRR68" s="15"/>
      <c r="GRS68" s="15"/>
      <c r="GRT68" s="15"/>
      <c r="GRU68" s="15"/>
      <c r="GRV68" s="15"/>
      <c r="GRW68" s="15"/>
      <c r="GRX68" s="15"/>
      <c r="GRY68" s="15"/>
      <c r="GRZ68" s="15"/>
      <c r="GSA68" s="15"/>
      <c r="GSB68" s="15"/>
      <c r="GSC68" s="15"/>
      <c r="GSD68" s="15"/>
      <c r="GSE68" s="15"/>
      <c r="GSF68" s="15"/>
      <c r="GSG68" s="15"/>
      <c r="GSH68" s="15"/>
      <c r="GSI68" s="15"/>
      <c r="GSJ68" s="15"/>
      <c r="GSK68" s="15"/>
      <c r="GSL68" s="15"/>
      <c r="GSM68" s="15"/>
      <c r="GSN68" s="15"/>
      <c r="GSO68" s="15"/>
      <c r="GSP68" s="15"/>
      <c r="GSQ68" s="15"/>
      <c r="GSR68" s="15"/>
      <c r="GSS68" s="15"/>
      <c r="GST68" s="15"/>
      <c r="GSU68" s="15"/>
      <c r="GSV68" s="15"/>
      <c r="GSW68" s="15"/>
      <c r="GSX68" s="15"/>
      <c r="GSY68" s="15"/>
      <c r="GSZ68" s="15"/>
      <c r="GTA68" s="15"/>
      <c r="GTB68" s="15"/>
      <c r="GTC68" s="15"/>
      <c r="GTD68" s="15"/>
      <c r="GTE68" s="15"/>
      <c r="GTF68" s="15"/>
      <c r="GTG68" s="15"/>
      <c r="GTH68" s="15"/>
      <c r="GTI68" s="15"/>
      <c r="GTJ68" s="15"/>
      <c r="GTK68" s="15"/>
      <c r="GTL68" s="15"/>
      <c r="GTM68" s="15"/>
      <c r="GTN68" s="15"/>
      <c r="GTO68" s="15"/>
      <c r="GTP68" s="15"/>
      <c r="GTQ68" s="15"/>
      <c r="GTR68" s="15"/>
      <c r="GTS68" s="15"/>
      <c r="GTT68" s="15"/>
      <c r="GTU68" s="15"/>
      <c r="GTV68" s="15"/>
      <c r="GTW68" s="15"/>
      <c r="GTX68" s="15"/>
      <c r="GTY68" s="15"/>
      <c r="GTZ68" s="15"/>
      <c r="GUA68" s="15"/>
      <c r="GUB68" s="15"/>
      <c r="GUC68" s="15"/>
      <c r="GUD68" s="15"/>
      <c r="GUE68" s="15"/>
      <c r="GUF68" s="15"/>
      <c r="GUG68" s="15"/>
      <c r="GUH68" s="15"/>
      <c r="GUI68" s="15"/>
      <c r="GUJ68" s="15"/>
      <c r="GUK68" s="15"/>
      <c r="GUL68" s="15"/>
      <c r="GUM68" s="15"/>
      <c r="GUN68" s="15"/>
      <c r="GUO68" s="15"/>
      <c r="GUP68" s="15"/>
      <c r="GUQ68" s="15"/>
      <c r="GUR68" s="15"/>
      <c r="GUS68" s="15"/>
      <c r="GUT68" s="15"/>
      <c r="GUU68" s="15"/>
      <c r="GUV68" s="15"/>
      <c r="GUW68" s="15"/>
      <c r="GUX68" s="15"/>
      <c r="GUY68" s="15"/>
      <c r="GUZ68" s="15"/>
      <c r="GVA68" s="15"/>
      <c r="GVB68" s="15"/>
      <c r="GVC68" s="15"/>
      <c r="GVD68" s="15"/>
      <c r="GVE68" s="15"/>
      <c r="GVF68" s="15"/>
      <c r="GVG68" s="15"/>
      <c r="GVH68" s="15"/>
      <c r="GVI68" s="15"/>
      <c r="GVJ68" s="15"/>
      <c r="GVK68" s="15"/>
      <c r="GVL68" s="15"/>
      <c r="GVM68" s="15"/>
      <c r="GVN68" s="15"/>
      <c r="GVO68" s="15"/>
      <c r="GVP68" s="15"/>
      <c r="GVQ68" s="15"/>
      <c r="GVR68" s="15"/>
      <c r="GVS68" s="15"/>
      <c r="GVT68" s="15"/>
      <c r="GVU68" s="15"/>
      <c r="GVV68" s="15"/>
      <c r="GVW68" s="15"/>
      <c r="GVX68" s="15"/>
      <c r="GVY68" s="15"/>
      <c r="GVZ68" s="15"/>
      <c r="GWA68" s="15"/>
      <c r="GWB68" s="15"/>
      <c r="GWC68" s="15"/>
      <c r="GWD68" s="15"/>
      <c r="GWE68" s="15"/>
      <c r="GWF68" s="15"/>
      <c r="GWG68" s="15"/>
      <c r="GWH68" s="15"/>
      <c r="GWI68" s="15"/>
      <c r="GWJ68" s="15"/>
      <c r="GWK68" s="15"/>
      <c r="GWL68" s="15"/>
      <c r="GWM68" s="15"/>
      <c r="GWN68" s="15"/>
      <c r="GWO68" s="15"/>
      <c r="GWP68" s="15"/>
      <c r="GWQ68" s="15"/>
      <c r="GWR68" s="15"/>
      <c r="GWS68" s="15"/>
      <c r="GWT68" s="15"/>
      <c r="GWU68" s="15"/>
      <c r="GWV68" s="15"/>
      <c r="GWW68" s="15"/>
      <c r="GWX68" s="15"/>
      <c r="GWY68" s="15"/>
      <c r="GWZ68" s="15"/>
      <c r="GXA68" s="15"/>
      <c r="GXB68" s="15"/>
      <c r="GXC68" s="15"/>
      <c r="GXD68" s="15"/>
      <c r="GXE68" s="15"/>
      <c r="GXF68" s="15"/>
      <c r="GXG68" s="15"/>
      <c r="GXH68" s="15"/>
      <c r="GXI68" s="15"/>
      <c r="GXJ68" s="15"/>
      <c r="GXK68" s="15"/>
      <c r="GXL68" s="15"/>
      <c r="GXM68" s="15"/>
      <c r="GXN68" s="15"/>
      <c r="GXO68" s="15"/>
      <c r="GXP68" s="15"/>
      <c r="GXQ68" s="15"/>
      <c r="GXR68" s="15"/>
      <c r="GXS68" s="15"/>
      <c r="GXT68" s="15"/>
      <c r="GXU68" s="15"/>
      <c r="GXV68" s="15"/>
      <c r="GXW68" s="15"/>
      <c r="GXX68" s="15"/>
      <c r="GXY68" s="15"/>
      <c r="GXZ68" s="15"/>
      <c r="GYA68" s="15"/>
      <c r="GYB68" s="15"/>
      <c r="GYC68" s="15"/>
      <c r="GYD68" s="15"/>
      <c r="GYE68" s="15"/>
      <c r="GYF68" s="15"/>
      <c r="GYG68" s="15"/>
      <c r="GYH68" s="15"/>
      <c r="GYI68" s="15"/>
      <c r="GYJ68" s="15"/>
      <c r="GYK68" s="15"/>
      <c r="GYL68" s="15"/>
      <c r="GYM68" s="15"/>
      <c r="GYN68" s="15"/>
      <c r="GYO68" s="15"/>
      <c r="GYP68" s="15"/>
      <c r="GYQ68" s="15"/>
      <c r="GYR68" s="15"/>
      <c r="GYS68" s="15"/>
      <c r="GYT68" s="15"/>
      <c r="GYU68" s="15"/>
      <c r="GYV68" s="15"/>
      <c r="GYW68" s="15"/>
      <c r="GYX68" s="15"/>
      <c r="GYY68" s="15"/>
      <c r="GYZ68" s="15"/>
      <c r="GZA68" s="15"/>
      <c r="GZB68" s="15"/>
      <c r="GZC68" s="15"/>
      <c r="GZD68" s="15"/>
      <c r="GZE68" s="15"/>
      <c r="GZF68" s="15"/>
      <c r="GZG68" s="15"/>
      <c r="GZH68" s="15"/>
      <c r="GZI68" s="15"/>
      <c r="GZJ68" s="15"/>
      <c r="GZK68" s="15"/>
      <c r="GZL68" s="15"/>
      <c r="GZM68" s="15"/>
      <c r="GZN68" s="15"/>
      <c r="GZO68" s="15"/>
      <c r="GZP68" s="15"/>
      <c r="GZQ68" s="15"/>
      <c r="GZR68" s="15"/>
      <c r="GZS68" s="15"/>
      <c r="GZT68" s="15"/>
      <c r="GZU68" s="15"/>
      <c r="GZV68" s="15"/>
      <c r="GZW68" s="15"/>
      <c r="GZX68" s="15"/>
      <c r="GZY68" s="15"/>
      <c r="GZZ68" s="15"/>
      <c r="HAA68" s="15"/>
      <c r="HAB68" s="15"/>
      <c r="HAC68" s="15"/>
      <c r="HAD68" s="15"/>
      <c r="HAE68" s="15"/>
      <c r="HAF68" s="15"/>
      <c r="HAG68" s="15"/>
      <c r="HAH68" s="15"/>
      <c r="HAI68" s="15"/>
      <c r="HAJ68" s="15"/>
      <c r="HAK68" s="15"/>
      <c r="HAL68" s="15"/>
      <c r="HAM68" s="15"/>
      <c r="HAN68" s="15"/>
      <c r="HAO68" s="15"/>
      <c r="HAP68" s="15"/>
      <c r="HAQ68" s="15"/>
      <c r="HAR68" s="15"/>
      <c r="HAS68" s="15"/>
      <c r="HAT68" s="15"/>
      <c r="HAU68" s="15"/>
      <c r="HAV68" s="15"/>
      <c r="HAW68" s="15"/>
      <c r="HAX68" s="15"/>
      <c r="HAY68" s="15"/>
      <c r="HAZ68" s="15"/>
      <c r="HBA68" s="15"/>
      <c r="HBB68" s="15"/>
      <c r="HBC68" s="15"/>
      <c r="HBD68" s="15"/>
      <c r="HBE68" s="15"/>
      <c r="HBF68" s="15"/>
      <c r="HBG68" s="15"/>
      <c r="HBH68" s="15"/>
      <c r="HBI68" s="15"/>
      <c r="HBJ68" s="15"/>
      <c r="HBK68" s="15"/>
      <c r="HBL68" s="15"/>
      <c r="HBM68" s="15"/>
      <c r="HBN68" s="15"/>
      <c r="HBO68" s="15"/>
      <c r="HBP68" s="15"/>
      <c r="HBQ68" s="15"/>
      <c r="HBR68" s="15"/>
      <c r="HBS68" s="15"/>
      <c r="HBT68" s="15"/>
      <c r="HBU68" s="15"/>
      <c r="HBV68" s="15"/>
      <c r="HBW68" s="15"/>
      <c r="HBX68" s="15"/>
      <c r="HBY68" s="15"/>
      <c r="HBZ68" s="15"/>
      <c r="HCA68" s="15"/>
      <c r="HCB68" s="15"/>
      <c r="HCC68" s="15"/>
      <c r="HCD68" s="15"/>
      <c r="HCE68" s="15"/>
      <c r="HCF68" s="15"/>
      <c r="HCG68" s="15"/>
      <c r="HCH68" s="15"/>
      <c r="HCI68" s="15"/>
      <c r="HCJ68" s="15"/>
      <c r="HCK68" s="15"/>
      <c r="HCL68" s="15"/>
      <c r="HCM68" s="15"/>
      <c r="HCN68" s="15"/>
      <c r="HCO68" s="15"/>
      <c r="HCP68" s="15"/>
      <c r="HCQ68" s="15"/>
      <c r="HCR68" s="15"/>
      <c r="HCS68" s="15"/>
      <c r="HCT68" s="15"/>
      <c r="HCU68" s="15"/>
      <c r="HCV68" s="15"/>
      <c r="HCW68" s="15"/>
      <c r="HCX68" s="15"/>
      <c r="HCY68" s="15"/>
      <c r="HCZ68" s="15"/>
      <c r="HDA68" s="15"/>
      <c r="HDB68" s="15"/>
      <c r="HDC68" s="15"/>
      <c r="HDD68" s="15"/>
      <c r="HDE68" s="15"/>
      <c r="HDF68" s="15"/>
      <c r="HDG68" s="15"/>
      <c r="HDH68" s="15"/>
      <c r="HDI68" s="15"/>
      <c r="HDJ68" s="15"/>
      <c r="HDK68" s="15"/>
      <c r="HDL68" s="15"/>
      <c r="HDM68" s="15"/>
      <c r="HDN68" s="15"/>
      <c r="HDO68" s="15"/>
      <c r="HDP68" s="15"/>
      <c r="HDQ68" s="15"/>
      <c r="HDR68" s="15"/>
      <c r="HDS68" s="15"/>
      <c r="HDT68" s="15"/>
      <c r="HDU68" s="15"/>
      <c r="HDV68" s="15"/>
      <c r="HDW68" s="15"/>
      <c r="HDX68" s="15"/>
      <c r="HDY68" s="15"/>
      <c r="HDZ68" s="15"/>
      <c r="HEA68" s="15"/>
      <c r="HEB68" s="15"/>
      <c r="HEC68" s="15"/>
      <c r="HED68" s="15"/>
      <c r="HEE68" s="15"/>
      <c r="HEF68" s="15"/>
      <c r="HEG68" s="15"/>
      <c r="HEH68" s="15"/>
      <c r="HEI68" s="15"/>
      <c r="HEJ68" s="15"/>
      <c r="HEK68" s="15"/>
      <c r="HEL68" s="15"/>
      <c r="HEM68" s="15"/>
      <c r="HEN68" s="15"/>
      <c r="HEO68" s="15"/>
      <c r="HEP68" s="15"/>
      <c r="HEQ68" s="15"/>
      <c r="HER68" s="15"/>
      <c r="HES68" s="15"/>
      <c r="HET68" s="15"/>
      <c r="HEU68" s="15"/>
      <c r="HEV68" s="15"/>
      <c r="HEW68" s="15"/>
      <c r="HEX68" s="15"/>
      <c r="HEY68" s="15"/>
      <c r="HEZ68" s="15"/>
      <c r="HFA68" s="15"/>
      <c r="HFB68" s="15"/>
      <c r="HFC68" s="15"/>
      <c r="HFD68" s="15"/>
      <c r="HFE68" s="15"/>
      <c r="HFF68" s="15"/>
      <c r="HFG68" s="15"/>
      <c r="HFH68" s="15"/>
      <c r="HFI68" s="15"/>
      <c r="HFJ68" s="15"/>
      <c r="HFK68" s="15"/>
      <c r="HFL68" s="15"/>
      <c r="HFM68" s="15"/>
      <c r="HFN68" s="15"/>
      <c r="HFO68" s="15"/>
      <c r="HFP68" s="15"/>
      <c r="HFQ68" s="15"/>
      <c r="HFR68" s="15"/>
      <c r="HFS68" s="15"/>
      <c r="HFT68" s="15"/>
      <c r="HFU68" s="15"/>
      <c r="HFV68" s="15"/>
      <c r="HFW68" s="15"/>
      <c r="HFX68" s="15"/>
      <c r="HFY68" s="15"/>
      <c r="HFZ68" s="15"/>
      <c r="HGA68" s="15"/>
      <c r="HGB68" s="15"/>
      <c r="HGC68" s="15"/>
      <c r="HGD68" s="15"/>
      <c r="HGE68" s="15"/>
      <c r="HGF68" s="15"/>
      <c r="HGG68" s="15"/>
      <c r="HGH68" s="15"/>
      <c r="HGI68" s="15"/>
      <c r="HGJ68" s="15"/>
      <c r="HGK68" s="15"/>
      <c r="HGL68" s="15"/>
      <c r="HGM68" s="15"/>
      <c r="HGN68" s="15"/>
      <c r="HGO68" s="15"/>
      <c r="HGP68" s="15"/>
      <c r="HGQ68" s="15"/>
      <c r="HGR68" s="15"/>
      <c r="HGS68" s="15"/>
      <c r="HGT68" s="15"/>
      <c r="HGU68" s="15"/>
      <c r="HGV68" s="15"/>
      <c r="HGW68" s="15"/>
      <c r="HGX68" s="15"/>
      <c r="HGY68" s="15"/>
      <c r="HGZ68" s="15"/>
      <c r="HHA68" s="15"/>
      <c r="HHB68" s="15"/>
      <c r="HHC68" s="15"/>
      <c r="HHD68" s="15"/>
      <c r="HHE68" s="15"/>
      <c r="HHF68" s="15"/>
      <c r="HHG68" s="15"/>
      <c r="HHH68" s="15"/>
      <c r="HHI68" s="15"/>
      <c r="HHJ68" s="15"/>
      <c r="HHK68" s="15"/>
      <c r="HHL68" s="15"/>
      <c r="HHM68" s="15"/>
      <c r="HHN68" s="15"/>
      <c r="HHO68" s="15"/>
      <c r="HHP68" s="15"/>
      <c r="HHQ68" s="15"/>
      <c r="HHR68" s="15"/>
      <c r="HHS68" s="15"/>
      <c r="HHT68" s="15"/>
      <c r="HHU68" s="15"/>
      <c r="HHV68" s="15"/>
      <c r="HHW68" s="15"/>
      <c r="HHX68" s="15"/>
      <c r="HHY68" s="15"/>
      <c r="HHZ68" s="15"/>
      <c r="HIA68" s="15"/>
      <c r="HIB68" s="15"/>
      <c r="HIC68" s="15"/>
      <c r="HID68" s="15"/>
      <c r="HIE68" s="15"/>
      <c r="HIF68" s="15"/>
      <c r="HIG68" s="15"/>
      <c r="HIH68" s="15"/>
      <c r="HII68" s="15"/>
      <c r="HIJ68" s="15"/>
      <c r="HIK68" s="15"/>
      <c r="HIL68" s="15"/>
      <c r="HIM68" s="15"/>
      <c r="HIN68" s="15"/>
      <c r="HIO68" s="15"/>
      <c r="HIP68" s="15"/>
      <c r="HIQ68" s="15"/>
      <c r="HIR68" s="15"/>
      <c r="HIS68" s="15"/>
      <c r="HIT68" s="15"/>
      <c r="HIU68" s="15"/>
      <c r="HIV68" s="15"/>
      <c r="HIW68" s="15"/>
      <c r="HIX68" s="15"/>
      <c r="HIY68" s="15"/>
      <c r="HIZ68" s="15"/>
      <c r="HJA68" s="15"/>
      <c r="HJB68" s="15"/>
      <c r="HJC68" s="15"/>
      <c r="HJD68" s="15"/>
      <c r="HJE68" s="15"/>
      <c r="HJF68" s="15"/>
      <c r="HJG68" s="15"/>
      <c r="HJH68" s="15"/>
      <c r="HJI68" s="15"/>
      <c r="HJJ68" s="15"/>
      <c r="HJK68" s="15"/>
      <c r="HJL68" s="15"/>
      <c r="HJM68" s="15"/>
      <c r="HJN68" s="15"/>
      <c r="HJO68" s="15"/>
      <c r="HJP68" s="15"/>
      <c r="HJQ68" s="15"/>
      <c r="HJR68" s="15"/>
      <c r="HJS68" s="15"/>
      <c r="HJT68" s="15"/>
      <c r="HJU68" s="15"/>
      <c r="HJV68" s="15"/>
      <c r="HJW68" s="15"/>
      <c r="HJX68" s="15"/>
      <c r="HJY68" s="15"/>
      <c r="HJZ68" s="15"/>
      <c r="HKA68" s="15"/>
      <c r="HKB68" s="15"/>
      <c r="HKC68" s="15"/>
      <c r="HKD68" s="15"/>
      <c r="HKE68" s="15"/>
      <c r="HKF68" s="15"/>
      <c r="HKG68" s="15"/>
      <c r="HKH68" s="15"/>
      <c r="HKI68" s="15"/>
      <c r="HKJ68" s="15"/>
      <c r="HKK68" s="15"/>
      <c r="HKL68" s="15"/>
      <c r="HKM68" s="15"/>
      <c r="HKN68" s="15"/>
      <c r="HKO68" s="15"/>
      <c r="HKP68" s="15"/>
      <c r="HKQ68" s="15"/>
      <c r="HKR68" s="15"/>
      <c r="HKS68" s="15"/>
      <c r="HKT68" s="15"/>
      <c r="HKU68" s="15"/>
      <c r="HKV68" s="15"/>
      <c r="HKW68" s="15"/>
      <c r="HKX68" s="15"/>
      <c r="HKY68" s="15"/>
      <c r="HKZ68" s="15"/>
      <c r="HLA68" s="15"/>
      <c r="HLB68" s="15"/>
      <c r="HLC68" s="15"/>
      <c r="HLD68" s="15"/>
      <c r="HLE68" s="15"/>
      <c r="HLF68" s="15"/>
      <c r="HLG68" s="15"/>
      <c r="HLH68" s="15"/>
      <c r="HLI68" s="15"/>
      <c r="HLJ68" s="15"/>
      <c r="HLK68" s="15"/>
      <c r="HLL68" s="15"/>
      <c r="HLM68" s="15"/>
      <c r="HLN68" s="15"/>
      <c r="HLO68" s="15"/>
      <c r="HLP68" s="15"/>
      <c r="HLQ68" s="15"/>
      <c r="HLR68" s="15"/>
      <c r="HLS68" s="15"/>
      <c r="HLT68" s="15"/>
      <c r="HLU68" s="15"/>
      <c r="HLV68" s="15"/>
      <c r="HLW68" s="15"/>
      <c r="HLX68" s="15"/>
      <c r="HLY68" s="15"/>
      <c r="HLZ68" s="15"/>
      <c r="HMA68" s="15"/>
      <c r="HMB68" s="15"/>
      <c r="HMC68" s="15"/>
      <c r="HMD68" s="15"/>
      <c r="HME68" s="15"/>
      <c r="HMF68" s="15"/>
      <c r="HMG68" s="15"/>
      <c r="HMH68" s="15"/>
      <c r="HMI68" s="15"/>
      <c r="HMJ68" s="15"/>
      <c r="HMK68" s="15"/>
      <c r="HML68" s="15"/>
      <c r="HMM68" s="15"/>
      <c r="HMN68" s="15"/>
      <c r="HMO68" s="15"/>
      <c r="HMP68" s="15"/>
      <c r="HMQ68" s="15"/>
      <c r="HMR68" s="15"/>
      <c r="HMS68" s="15"/>
      <c r="HMT68" s="15"/>
      <c r="HMU68" s="15"/>
      <c r="HMV68" s="15"/>
      <c r="HMW68" s="15"/>
      <c r="HMX68" s="15"/>
      <c r="HMY68" s="15"/>
      <c r="HMZ68" s="15"/>
      <c r="HNA68" s="15"/>
      <c r="HNB68" s="15"/>
      <c r="HNC68" s="15"/>
      <c r="HND68" s="15"/>
      <c r="HNE68" s="15"/>
      <c r="HNF68" s="15"/>
      <c r="HNG68" s="15"/>
      <c r="HNH68" s="15"/>
      <c r="HNI68" s="15"/>
      <c r="HNJ68" s="15"/>
      <c r="HNK68" s="15"/>
      <c r="HNL68" s="15"/>
      <c r="HNM68" s="15"/>
      <c r="HNN68" s="15"/>
      <c r="HNO68" s="15"/>
      <c r="HNP68" s="15"/>
      <c r="HNQ68" s="15"/>
      <c r="HNR68" s="15"/>
      <c r="HNS68" s="15"/>
      <c r="HNT68" s="15"/>
      <c r="HNU68" s="15"/>
      <c r="HNV68" s="15"/>
      <c r="HNW68" s="15"/>
      <c r="HNX68" s="15"/>
      <c r="HNY68" s="15"/>
      <c r="HNZ68" s="15"/>
      <c r="HOA68" s="15"/>
      <c r="HOB68" s="15"/>
      <c r="HOC68" s="15"/>
      <c r="HOD68" s="15"/>
      <c r="HOE68" s="15"/>
      <c r="HOF68" s="15"/>
      <c r="HOG68" s="15"/>
      <c r="HOH68" s="15"/>
      <c r="HOI68" s="15"/>
      <c r="HOJ68" s="15"/>
      <c r="HOK68" s="15"/>
      <c r="HOL68" s="15"/>
      <c r="HOM68" s="15"/>
      <c r="HON68" s="15"/>
      <c r="HOO68" s="15"/>
      <c r="HOP68" s="15"/>
      <c r="HOQ68" s="15"/>
      <c r="HOR68" s="15"/>
      <c r="HOS68" s="15"/>
      <c r="HOT68" s="15"/>
      <c r="HOU68" s="15"/>
      <c r="HOV68" s="15"/>
      <c r="HOW68" s="15"/>
      <c r="HOX68" s="15"/>
      <c r="HOY68" s="15"/>
      <c r="HOZ68" s="15"/>
      <c r="HPA68" s="15"/>
      <c r="HPB68" s="15"/>
      <c r="HPC68" s="15"/>
      <c r="HPD68" s="15"/>
      <c r="HPE68" s="15"/>
      <c r="HPF68" s="15"/>
      <c r="HPG68" s="15"/>
      <c r="HPH68" s="15"/>
      <c r="HPI68" s="15"/>
      <c r="HPJ68" s="15"/>
      <c r="HPK68" s="15"/>
      <c r="HPL68" s="15"/>
      <c r="HPM68" s="15"/>
      <c r="HPN68" s="15"/>
      <c r="HPO68" s="15"/>
      <c r="HPP68" s="15"/>
      <c r="HPQ68" s="15"/>
      <c r="HPR68" s="15"/>
      <c r="HPS68" s="15"/>
      <c r="HPT68" s="15"/>
      <c r="HPU68" s="15"/>
      <c r="HPV68" s="15"/>
      <c r="HPW68" s="15"/>
      <c r="HPX68" s="15"/>
      <c r="HPY68" s="15"/>
      <c r="HPZ68" s="15"/>
      <c r="HQA68" s="15"/>
      <c r="HQB68" s="15"/>
      <c r="HQC68" s="15"/>
      <c r="HQD68" s="15"/>
      <c r="HQE68" s="15"/>
      <c r="HQF68" s="15"/>
      <c r="HQG68" s="15"/>
      <c r="HQH68" s="15"/>
      <c r="HQI68" s="15"/>
      <c r="HQJ68" s="15"/>
      <c r="HQK68" s="15"/>
      <c r="HQL68" s="15"/>
      <c r="HQM68" s="15"/>
      <c r="HQN68" s="15"/>
      <c r="HQO68" s="15"/>
      <c r="HQP68" s="15"/>
      <c r="HQQ68" s="15"/>
      <c r="HQR68" s="15"/>
      <c r="HQS68" s="15"/>
      <c r="HQT68" s="15"/>
      <c r="HQU68" s="15"/>
      <c r="HQV68" s="15"/>
      <c r="HQW68" s="15"/>
      <c r="HQX68" s="15"/>
      <c r="HQY68" s="15"/>
      <c r="HQZ68" s="15"/>
      <c r="HRA68" s="15"/>
      <c r="HRB68" s="15"/>
      <c r="HRC68" s="15"/>
      <c r="HRD68" s="15"/>
      <c r="HRE68" s="15"/>
      <c r="HRF68" s="15"/>
      <c r="HRG68" s="15"/>
      <c r="HRH68" s="15"/>
      <c r="HRI68" s="15"/>
      <c r="HRJ68" s="15"/>
      <c r="HRK68" s="15"/>
      <c r="HRL68" s="15"/>
      <c r="HRM68" s="15"/>
      <c r="HRN68" s="15"/>
      <c r="HRO68" s="15"/>
      <c r="HRP68" s="15"/>
      <c r="HRQ68" s="15"/>
      <c r="HRR68" s="15"/>
      <c r="HRS68" s="15"/>
      <c r="HRT68" s="15"/>
      <c r="HRU68" s="15"/>
      <c r="HRV68" s="15"/>
      <c r="HRW68" s="15"/>
      <c r="HRX68" s="15"/>
      <c r="HRY68" s="15"/>
      <c r="HRZ68" s="15"/>
      <c r="HSA68" s="15"/>
      <c r="HSB68" s="15"/>
      <c r="HSC68" s="15"/>
      <c r="HSD68" s="15"/>
      <c r="HSE68" s="15"/>
      <c r="HSF68" s="15"/>
      <c r="HSG68" s="15"/>
      <c r="HSH68" s="15"/>
      <c r="HSI68" s="15"/>
      <c r="HSJ68" s="15"/>
      <c r="HSK68" s="15"/>
      <c r="HSL68" s="15"/>
      <c r="HSM68" s="15"/>
      <c r="HSN68" s="15"/>
      <c r="HSO68" s="15"/>
      <c r="HSP68" s="15"/>
      <c r="HSQ68" s="15"/>
      <c r="HSR68" s="15"/>
      <c r="HSS68" s="15"/>
      <c r="HST68" s="15"/>
      <c r="HSU68" s="15"/>
      <c r="HSV68" s="15"/>
      <c r="HSW68" s="15"/>
      <c r="HSX68" s="15"/>
      <c r="HSY68" s="15"/>
      <c r="HSZ68" s="15"/>
      <c r="HTA68" s="15"/>
      <c r="HTB68" s="15"/>
      <c r="HTC68" s="15"/>
      <c r="HTD68" s="15"/>
      <c r="HTE68" s="15"/>
      <c r="HTF68" s="15"/>
      <c r="HTG68" s="15"/>
      <c r="HTH68" s="15"/>
      <c r="HTI68" s="15"/>
      <c r="HTJ68" s="15"/>
      <c r="HTK68" s="15"/>
      <c r="HTL68" s="15"/>
      <c r="HTM68" s="15"/>
      <c r="HTN68" s="15"/>
      <c r="HTO68" s="15"/>
      <c r="HTP68" s="15"/>
      <c r="HTQ68" s="15"/>
      <c r="HTR68" s="15"/>
      <c r="HTS68" s="15"/>
      <c r="HTT68" s="15"/>
      <c r="HTU68" s="15"/>
      <c r="HTV68" s="15"/>
      <c r="HTW68" s="15"/>
      <c r="HTX68" s="15"/>
      <c r="HTY68" s="15"/>
      <c r="HTZ68" s="15"/>
      <c r="HUA68" s="15"/>
      <c r="HUB68" s="15"/>
      <c r="HUC68" s="15"/>
      <c r="HUD68" s="15"/>
      <c r="HUE68" s="15"/>
      <c r="HUF68" s="15"/>
      <c r="HUG68" s="15"/>
      <c r="HUH68" s="15"/>
      <c r="HUI68" s="15"/>
      <c r="HUJ68" s="15"/>
      <c r="HUK68" s="15"/>
      <c r="HUL68" s="15"/>
      <c r="HUM68" s="15"/>
      <c r="HUN68" s="15"/>
      <c r="HUO68" s="15"/>
      <c r="HUP68" s="15"/>
      <c r="HUQ68" s="15"/>
      <c r="HUR68" s="15"/>
      <c r="HUS68" s="15"/>
      <c r="HUT68" s="15"/>
      <c r="HUU68" s="15"/>
      <c r="HUV68" s="15"/>
      <c r="HUW68" s="15"/>
      <c r="HUX68" s="15"/>
      <c r="HUY68" s="15"/>
      <c r="HUZ68" s="15"/>
      <c r="HVA68" s="15"/>
      <c r="HVB68" s="15"/>
      <c r="HVC68" s="15"/>
      <c r="HVD68" s="15"/>
      <c r="HVE68" s="15"/>
      <c r="HVF68" s="15"/>
      <c r="HVG68" s="15"/>
      <c r="HVH68" s="15"/>
      <c r="HVI68" s="15"/>
      <c r="HVJ68" s="15"/>
      <c r="HVK68" s="15"/>
      <c r="HVL68" s="15"/>
      <c r="HVM68" s="15"/>
      <c r="HVN68" s="15"/>
      <c r="HVO68" s="15"/>
      <c r="HVP68" s="15"/>
      <c r="HVQ68" s="15"/>
      <c r="HVR68" s="15"/>
      <c r="HVS68" s="15"/>
      <c r="HVT68" s="15"/>
      <c r="HVU68" s="15"/>
      <c r="HVV68" s="15"/>
      <c r="HVW68" s="15"/>
      <c r="HVX68" s="15"/>
      <c r="HVY68" s="15"/>
      <c r="HVZ68" s="15"/>
      <c r="HWA68" s="15"/>
      <c r="HWB68" s="15"/>
      <c r="HWC68" s="15"/>
      <c r="HWD68" s="15"/>
      <c r="HWE68" s="15"/>
      <c r="HWF68" s="15"/>
      <c r="HWG68" s="15"/>
      <c r="HWH68" s="15"/>
      <c r="HWI68" s="15"/>
      <c r="HWJ68" s="15"/>
      <c r="HWK68" s="15"/>
      <c r="HWL68" s="15"/>
      <c r="HWM68" s="15"/>
      <c r="HWN68" s="15"/>
      <c r="HWO68" s="15"/>
      <c r="HWP68" s="15"/>
      <c r="HWQ68" s="15"/>
      <c r="HWR68" s="15"/>
      <c r="HWS68" s="15"/>
      <c r="HWT68" s="15"/>
      <c r="HWU68" s="15"/>
      <c r="HWV68" s="15"/>
      <c r="HWW68" s="15"/>
      <c r="HWX68" s="15"/>
      <c r="HWY68" s="15"/>
      <c r="HWZ68" s="15"/>
      <c r="HXA68" s="15"/>
      <c r="HXB68" s="15"/>
      <c r="HXC68" s="15"/>
      <c r="HXD68" s="15"/>
      <c r="HXE68" s="15"/>
      <c r="HXF68" s="15"/>
      <c r="HXG68" s="15"/>
      <c r="HXH68" s="15"/>
      <c r="HXI68" s="15"/>
      <c r="HXJ68" s="15"/>
      <c r="HXK68" s="15"/>
      <c r="HXL68" s="15"/>
      <c r="HXM68" s="15"/>
      <c r="HXN68" s="15"/>
      <c r="HXO68" s="15"/>
      <c r="HXP68" s="15"/>
      <c r="HXQ68" s="15"/>
      <c r="HXR68" s="15"/>
      <c r="HXS68" s="15"/>
      <c r="HXT68" s="15"/>
      <c r="HXU68" s="15"/>
      <c r="HXV68" s="15"/>
      <c r="HXW68" s="15"/>
      <c r="HXX68" s="15"/>
      <c r="HXY68" s="15"/>
      <c r="HXZ68" s="15"/>
      <c r="HYA68" s="15"/>
      <c r="HYB68" s="15"/>
      <c r="HYC68" s="15"/>
      <c r="HYD68" s="15"/>
      <c r="HYE68" s="15"/>
      <c r="HYF68" s="15"/>
      <c r="HYG68" s="15"/>
      <c r="HYH68" s="15"/>
      <c r="HYI68" s="15"/>
      <c r="HYJ68" s="15"/>
      <c r="HYK68" s="15"/>
      <c r="HYL68" s="15"/>
      <c r="HYM68" s="15"/>
      <c r="HYN68" s="15"/>
      <c r="HYO68" s="15"/>
      <c r="HYP68" s="15"/>
      <c r="HYQ68" s="15"/>
      <c r="HYR68" s="15"/>
      <c r="HYS68" s="15"/>
      <c r="HYT68" s="15"/>
      <c r="HYU68" s="15"/>
      <c r="HYV68" s="15"/>
      <c r="HYW68" s="15"/>
      <c r="HYX68" s="15"/>
      <c r="HYY68" s="15"/>
      <c r="HYZ68" s="15"/>
      <c r="HZA68" s="15"/>
      <c r="HZB68" s="15"/>
      <c r="HZC68" s="15"/>
      <c r="HZD68" s="15"/>
      <c r="HZE68" s="15"/>
      <c r="HZF68" s="15"/>
      <c r="HZG68" s="15"/>
      <c r="HZH68" s="15"/>
      <c r="HZI68" s="15"/>
      <c r="HZJ68" s="15"/>
      <c r="HZK68" s="15"/>
      <c r="HZL68" s="15"/>
      <c r="HZM68" s="15"/>
      <c r="HZN68" s="15"/>
      <c r="HZO68" s="15"/>
      <c r="HZP68" s="15"/>
      <c r="HZQ68" s="15"/>
      <c r="HZR68" s="15"/>
      <c r="HZS68" s="15"/>
      <c r="HZT68" s="15"/>
      <c r="HZU68" s="15"/>
      <c r="HZV68" s="15"/>
      <c r="HZW68" s="15"/>
      <c r="HZX68" s="15"/>
      <c r="HZY68" s="15"/>
      <c r="HZZ68" s="15"/>
      <c r="IAA68" s="15"/>
      <c r="IAB68" s="15"/>
      <c r="IAC68" s="15"/>
      <c r="IAD68" s="15"/>
      <c r="IAE68" s="15"/>
      <c r="IAF68" s="15"/>
      <c r="IAG68" s="15"/>
      <c r="IAH68" s="15"/>
      <c r="IAI68" s="15"/>
      <c r="IAJ68" s="15"/>
      <c r="IAK68" s="15"/>
      <c r="IAL68" s="15"/>
      <c r="IAM68" s="15"/>
      <c r="IAN68" s="15"/>
      <c r="IAO68" s="15"/>
      <c r="IAP68" s="15"/>
      <c r="IAQ68" s="15"/>
      <c r="IAR68" s="15"/>
      <c r="IAS68" s="15"/>
      <c r="IAT68" s="15"/>
      <c r="IAU68" s="15"/>
      <c r="IAV68" s="15"/>
      <c r="IAW68" s="15"/>
      <c r="IAX68" s="15"/>
      <c r="IAY68" s="15"/>
      <c r="IAZ68" s="15"/>
      <c r="IBA68" s="15"/>
      <c r="IBB68" s="15"/>
      <c r="IBC68" s="15"/>
      <c r="IBD68" s="15"/>
      <c r="IBE68" s="15"/>
      <c r="IBF68" s="15"/>
      <c r="IBG68" s="15"/>
      <c r="IBH68" s="15"/>
      <c r="IBI68" s="15"/>
      <c r="IBJ68" s="15"/>
      <c r="IBK68" s="15"/>
      <c r="IBL68" s="15"/>
      <c r="IBM68" s="15"/>
      <c r="IBN68" s="15"/>
      <c r="IBO68" s="15"/>
      <c r="IBP68" s="15"/>
      <c r="IBQ68" s="15"/>
      <c r="IBR68" s="15"/>
      <c r="IBS68" s="15"/>
      <c r="IBT68" s="15"/>
      <c r="IBU68" s="15"/>
      <c r="IBV68" s="15"/>
      <c r="IBW68" s="15"/>
      <c r="IBX68" s="15"/>
      <c r="IBY68" s="15"/>
      <c r="IBZ68" s="15"/>
      <c r="ICA68" s="15"/>
      <c r="ICB68" s="15"/>
      <c r="ICC68" s="15"/>
      <c r="ICD68" s="15"/>
      <c r="ICE68" s="15"/>
      <c r="ICF68" s="15"/>
      <c r="ICG68" s="15"/>
      <c r="ICH68" s="15"/>
      <c r="ICI68" s="15"/>
      <c r="ICJ68" s="15"/>
      <c r="ICK68" s="15"/>
      <c r="ICL68" s="15"/>
      <c r="ICM68" s="15"/>
      <c r="ICN68" s="15"/>
      <c r="ICO68" s="15"/>
      <c r="ICP68" s="15"/>
      <c r="ICQ68" s="15"/>
      <c r="ICR68" s="15"/>
      <c r="ICS68" s="15"/>
      <c r="ICT68" s="15"/>
      <c r="ICU68" s="15"/>
      <c r="ICV68" s="15"/>
      <c r="ICW68" s="15"/>
      <c r="ICX68" s="15"/>
      <c r="ICY68" s="15"/>
      <c r="ICZ68" s="15"/>
      <c r="IDA68" s="15"/>
      <c r="IDB68" s="15"/>
      <c r="IDC68" s="15"/>
      <c r="IDD68" s="15"/>
      <c r="IDE68" s="15"/>
      <c r="IDF68" s="15"/>
      <c r="IDG68" s="15"/>
      <c r="IDH68" s="15"/>
      <c r="IDI68" s="15"/>
      <c r="IDJ68" s="15"/>
      <c r="IDK68" s="15"/>
      <c r="IDL68" s="15"/>
      <c r="IDM68" s="15"/>
      <c r="IDN68" s="15"/>
      <c r="IDO68" s="15"/>
      <c r="IDP68" s="15"/>
      <c r="IDQ68" s="15"/>
      <c r="IDR68" s="15"/>
      <c r="IDS68" s="15"/>
      <c r="IDT68" s="15"/>
      <c r="IDU68" s="15"/>
      <c r="IDV68" s="15"/>
      <c r="IDW68" s="15"/>
      <c r="IDX68" s="15"/>
      <c r="IDY68" s="15"/>
      <c r="IDZ68" s="15"/>
      <c r="IEA68" s="15"/>
      <c r="IEB68" s="15"/>
      <c r="IEC68" s="15"/>
      <c r="IED68" s="15"/>
      <c r="IEE68" s="15"/>
      <c r="IEF68" s="15"/>
      <c r="IEG68" s="15"/>
      <c r="IEH68" s="15"/>
      <c r="IEI68" s="15"/>
      <c r="IEJ68" s="15"/>
      <c r="IEK68" s="15"/>
      <c r="IEL68" s="15"/>
      <c r="IEM68" s="15"/>
      <c r="IEN68" s="15"/>
      <c r="IEO68" s="15"/>
      <c r="IEP68" s="15"/>
      <c r="IEQ68" s="15"/>
      <c r="IER68" s="15"/>
      <c r="IES68" s="15"/>
      <c r="IET68" s="15"/>
      <c r="IEU68" s="15"/>
      <c r="IEV68" s="15"/>
      <c r="IEW68" s="15"/>
      <c r="IEX68" s="15"/>
      <c r="IEY68" s="15"/>
      <c r="IEZ68" s="15"/>
      <c r="IFA68" s="15"/>
      <c r="IFB68" s="15"/>
      <c r="IFC68" s="15"/>
      <c r="IFD68" s="15"/>
      <c r="IFE68" s="15"/>
      <c r="IFF68" s="15"/>
      <c r="IFG68" s="15"/>
      <c r="IFH68" s="15"/>
      <c r="IFI68" s="15"/>
      <c r="IFJ68" s="15"/>
      <c r="IFK68" s="15"/>
      <c r="IFL68" s="15"/>
      <c r="IFM68" s="15"/>
      <c r="IFN68" s="15"/>
      <c r="IFO68" s="15"/>
      <c r="IFP68" s="15"/>
      <c r="IFQ68" s="15"/>
      <c r="IFR68" s="15"/>
      <c r="IFS68" s="15"/>
      <c r="IFT68" s="15"/>
      <c r="IFU68" s="15"/>
      <c r="IFV68" s="15"/>
      <c r="IFW68" s="15"/>
      <c r="IFX68" s="15"/>
      <c r="IFY68" s="15"/>
      <c r="IFZ68" s="15"/>
      <c r="IGA68" s="15"/>
      <c r="IGB68" s="15"/>
      <c r="IGC68" s="15"/>
      <c r="IGD68" s="15"/>
      <c r="IGE68" s="15"/>
      <c r="IGF68" s="15"/>
      <c r="IGG68" s="15"/>
      <c r="IGH68" s="15"/>
      <c r="IGI68" s="15"/>
      <c r="IGJ68" s="15"/>
      <c r="IGK68" s="15"/>
      <c r="IGL68" s="15"/>
      <c r="IGM68" s="15"/>
      <c r="IGN68" s="15"/>
      <c r="IGO68" s="15"/>
      <c r="IGP68" s="15"/>
      <c r="IGQ68" s="15"/>
      <c r="IGR68" s="15"/>
      <c r="IGS68" s="15"/>
      <c r="IGT68" s="15"/>
      <c r="IGU68" s="15"/>
      <c r="IGV68" s="15"/>
      <c r="IGW68" s="15"/>
      <c r="IGX68" s="15"/>
      <c r="IGY68" s="15"/>
      <c r="IGZ68" s="15"/>
      <c r="IHA68" s="15"/>
      <c r="IHB68" s="15"/>
      <c r="IHC68" s="15"/>
      <c r="IHD68" s="15"/>
      <c r="IHE68" s="15"/>
      <c r="IHF68" s="15"/>
      <c r="IHG68" s="15"/>
      <c r="IHH68" s="15"/>
      <c r="IHI68" s="15"/>
      <c r="IHJ68" s="15"/>
      <c r="IHK68" s="15"/>
      <c r="IHL68" s="15"/>
      <c r="IHM68" s="15"/>
      <c r="IHN68" s="15"/>
      <c r="IHO68" s="15"/>
      <c r="IHP68" s="15"/>
      <c r="IHQ68" s="15"/>
      <c r="IHR68" s="15"/>
      <c r="IHS68" s="15"/>
      <c r="IHT68" s="15"/>
      <c r="IHU68" s="15"/>
      <c r="IHV68" s="15"/>
      <c r="IHW68" s="15"/>
      <c r="IHX68" s="15"/>
      <c r="IHY68" s="15"/>
      <c r="IHZ68" s="15"/>
      <c r="IIA68" s="15"/>
      <c r="IIB68" s="15"/>
      <c r="IIC68" s="15"/>
      <c r="IID68" s="15"/>
      <c r="IIE68" s="15"/>
      <c r="IIF68" s="15"/>
      <c r="IIG68" s="15"/>
      <c r="IIH68" s="15"/>
      <c r="III68" s="15"/>
      <c r="IIJ68" s="15"/>
      <c r="IIK68" s="15"/>
      <c r="IIL68" s="15"/>
      <c r="IIM68" s="15"/>
      <c r="IIN68" s="15"/>
      <c r="IIO68" s="15"/>
      <c r="IIP68" s="15"/>
      <c r="IIQ68" s="15"/>
      <c r="IIR68" s="15"/>
      <c r="IIS68" s="15"/>
      <c r="IIT68" s="15"/>
      <c r="IIU68" s="15"/>
      <c r="IIV68" s="15"/>
      <c r="IIW68" s="15"/>
      <c r="IIX68" s="15"/>
      <c r="IIY68" s="15"/>
      <c r="IIZ68" s="15"/>
      <c r="IJA68" s="15"/>
      <c r="IJB68" s="15"/>
      <c r="IJC68" s="15"/>
      <c r="IJD68" s="15"/>
      <c r="IJE68" s="15"/>
      <c r="IJF68" s="15"/>
      <c r="IJG68" s="15"/>
      <c r="IJH68" s="15"/>
      <c r="IJI68" s="15"/>
      <c r="IJJ68" s="15"/>
      <c r="IJK68" s="15"/>
      <c r="IJL68" s="15"/>
      <c r="IJM68" s="15"/>
      <c r="IJN68" s="15"/>
      <c r="IJO68" s="15"/>
      <c r="IJP68" s="15"/>
      <c r="IJQ68" s="15"/>
      <c r="IJR68" s="15"/>
      <c r="IJS68" s="15"/>
      <c r="IJT68" s="15"/>
      <c r="IJU68" s="15"/>
      <c r="IJV68" s="15"/>
      <c r="IJW68" s="15"/>
      <c r="IJX68" s="15"/>
      <c r="IJY68" s="15"/>
      <c r="IJZ68" s="15"/>
      <c r="IKA68" s="15"/>
      <c r="IKB68" s="15"/>
      <c r="IKC68" s="15"/>
      <c r="IKD68" s="15"/>
      <c r="IKE68" s="15"/>
      <c r="IKF68" s="15"/>
      <c r="IKG68" s="15"/>
      <c r="IKH68" s="15"/>
      <c r="IKI68" s="15"/>
      <c r="IKJ68" s="15"/>
      <c r="IKK68" s="15"/>
      <c r="IKL68" s="15"/>
      <c r="IKM68" s="15"/>
      <c r="IKN68" s="15"/>
      <c r="IKO68" s="15"/>
      <c r="IKP68" s="15"/>
      <c r="IKQ68" s="15"/>
      <c r="IKR68" s="15"/>
      <c r="IKS68" s="15"/>
      <c r="IKT68" s="15"/>
      <c r="IKU68" s="15"/>
      <c r="IKV68" s="15"/>
      <c r="IKW68" s="15"/>
      <c r="IKX68" s="15"/>
      <c r="IKY68" s="15"/>
      <c r="IKZ68" s="15"/>
      <c r="ILA68" s="15"/>
      <c r="ILB68" s="15"/>
      <c r="ILC68" s="15"/>
      <c r="ILD68" s="15"/>
      <c r="ILE68" s="15"/>
      <c r="ILF68" s="15"/>
      <c r="ILG68" s="15"/>
      <c r="ILH68" s="15"/>
      <c r="ILI68" s="15"/>
      <c r="ILJ68" s="15"/>
      <c r="ILK68" s="15"/>
      <c r="ILL68" s="15"/>
      <c r="ILM68" s="15"/>
      <c r="ILN68" s="15"/>
      <c r="ILO68" s="15"/>
      <c r="ILP68" s="15"/>
      <c r="ILQ68" s="15"/>
      <c r="ILR68" s="15"/>
      <c r="ILS68" s="15"/>
      <c r="ILT68" s="15"/>
      <c r="ILU68" s="15"/>
      <c r="ILV68" s="15"/>
      <c r="ILW68" s="15"/>
      <c r="ILX68" s="15"/>
      <c r="ILY68" s="15"/>
      <c r="ILZ68" s="15"/>
      <c r="IMA68" s="15"/>
      <c r="IMB68" s="15"/>
      <c r="IMC68" s="15"/>
      <c r="IMD68" s="15"/>
      <c r="IME68" s="15"/>
      <c r="IMF68" s="15"/>
      <c r="IMG68" s="15"/>
      <c r="IMH68" s="15"/>
      <c r="IMI68" s="15"/>
      <c r="IMJ68" s="15"/>
      <c r="IMK68" s="15"/>
      <c r="IML68" s="15"/>
      <c r="IMM68" s="15"/>
      <c r="IMN68" s="15"/>
      <c r="IMO68" s="15"/>
      <c r="IMP68" s="15"/>
      <c r="IMQ68" s="15"/>
      <c r="IMR68" s="15"/>
      <c r="IMS68" s="15"/>
      <c r="IMT68" s="15"/>
      <c r="IMU68" s="15"/>
      <c r="IMV68" s="15"/>
      <c r="IMW68" s="15"/>
      <c r="IMX68" s="15"/>
      <c r="IMY68" s="15"/>
      <c r="IMZ68" s="15"/>
      <c r="INA68" s="15"/>
      <c r="INB68" s="15"/>
      <c r="INC68" s="15"/>
      <c r="IND68" s="15"/>
      <c r="INE68" s="15"/>
      <c r="INF68" s="15"/>
      <c r="ING68" s="15"/>
      <c r="INH68" s="15"/>
      <c r="INI68" s="15"/>
      <c r="INJ68" s="15"/>
      <c r="INK68" s="15"/>
      <c r="INL68" s="15"/>
      <c r="INM68" s="15"/>
      <c r="INN68" s="15"/>
      <c r="INO68" s="15"/>
      <c r="INP68" s="15"/>
      <c r="INQ68" s="15"/>
      <c r="INR68" s="15"/>
      <c r="INS68" s="15"/>
      <c r="INT68" s="15"/>
      <c r="INU68" s="15"/>
      <c r="INV68" s="15"/>
      <c r="INW68" s="15"/>
      <c r="INX68" s="15"/>
      <c r="INY68" s="15"/>
      <c r="INZ68" s="15"/>
      <c r="IOA68" s="15"/>
      <c r="IOB68" s="15"/>
      <c r="IOC68" s="15"/>
      <c r="IOD68" s="15"/>
      <c r="IOE68" s="15"/>
      <c r="IOF68" s="15"/>
      <c r="IOG68" s="15"/>
      <c r="IOH68" s="15"/>
      <c r="IOI68" s="15"/>
      <c r="IOJ68" s="15"/>
      <c r="IOK68" s="15"/>
      <c r="IOL68" s="15"/>
      <c r="IOM68" s="15"/>
      <c r="ION68" s="15"/>
      <c r="IOO68" s="15"/>
      <c r="IOP68" s="15"/>
      <c r="IOQ68" s="15"/>
      <c r="IOR68" s="15"/>
      <c r="IOS68" s="15"/>
      <c r="IOT68" s="15"/>
      <c r="IOU68" s="15"/>
      <c r="IOV68" s="15"/>
      <c r="IOW68" s="15"/>
      <c r="IOX68" s="15"/>
      <c r="IOY68" s="15"/>
      <c r="IOZ68" s="15"/>
      <c r="IPA68" s="15"/>
      <c r="IPB68" s="15"/>
      <c r="IPC68" s="15"/>
      <c r="IPD68" s="15"/>
      <c r="IPE68" s="15"/>
      <c r="IPF68" s="15"/>
      <c r="IPG68" s="15"/>
      <c r="IPH68" s="15"/>
      <c r="IPI68" s="15"/>
      <c r="IPJ68" s="15"/>
      <c r="IPK68" s="15"/>
      <c r="IPL68" s="15"/>
      <c r="IPM68" s="15"/>
      <c r="IPN68" s="15"/>
      <c r="IPO68" s="15"/>
      <c r="IPP68" s="15"/>
      <c r="IPQ68" s="15"/>
      <c r="IPR68" s="15"/>
      <c r="IPS68" s="15"/>
      <c r="IPT68" s="15"/>
      <c r="IPU68" s="15"/>
      <c r="IPV68" s="15"/>
      <c r="IPW68" s="15"/>
      <c r="IPX68" s="15"/>
      <c r="IPY68" s="15"/>
      <c r="IPZ68" s="15"/>
      <c r="IQA68" s="15"/>
      <c r="IQB68" s="15"/>
      <c r="IQC68" s="15"/>
      <c r="IQD68" s="15"/>
      <c r="IQE68" s="15"/>
      <c r="IQF68" s="15"/>
      <c r="IQG68" s="15"/>
      <c r="IQH68" s="15"/>
      <c r="IQI68" s="15"/>
      <c r="IQJ68" s="15"/>
      <c r="IQK68" s="15"/>
      <c r="IQL68" s="15"/>
      <c r="IQM68" s="15"/>
      <c r="IQN68" s="15"/>
      <c r="IQO68" s="15"/>
      <c r="IQP68" s="15"/>
      <c r="IQQ68" s="15"/>
      <c r="IQR68" s="15"/>
      <c r="IQS68" s="15"/>
      <c r="IQT68" s="15"/>
      <c r="IQU68" s="15"/>
      <c r="IQV68" s="15"/>
      <c r="IQW68" s="15"/>
      <c r="IQX68" s="15"/>
      <c r="IQY68" s="15"/>
      <c r="IQZ68" s="15"/>
      <c r="IRA68" s="15"/>
      <c r="IRB68" s="15"/>
      <c r="IRC68" s="15"/>
      <c r="IRD68" s="15"/>
      <c r="IRE68" s="15"/>
      <c r="IRF68" s="15"/>
      <c r="IRG68" s="15"/>
      <c r="IRH68" s="15"/>
      <c r="IRI68" s="15"/>
      <c r="IRJ68" s="15"/>
      <c r="IRK68" s="15"/>
      <c r="IRL68" s="15"/>
      <c r="IRM68" s="15"/>
      <c r="IRN68" s="15"/>
      <c r="IRO68" s="15"/>
      <c r="IRP68" s="15"/>
      <c r="IRQ68" s="15"/>
      <c r="IRR68" s="15"/>
      <c r="IRS68" s="15"/>
      <c r="IRT68" s="15"/>
      <c r="IRU68" s="15"/>
      <c r="IRV68" s="15"/>
      <c r="IRW68" s="15"/>
      <c r="IRX68" s="15"/>
      <c r="IRY68" s="15"/>
      <c r="IRZ68" s="15"/>
      <c r="ISA68" s="15"/>
      <c r="ISB68" s="15"/>
      <c r="ISC68" s="15"/>
      <c r="ISD68" s="15"/>
      <c r="ISE68" s="15"/>
      <c r="ISF68" s="15"/>
      <c r="ISG68" s="15"/>
      <c r="ISH68" s="15"/>
      <c r="ISI68" s="15"/>
      <c r="ISJ68" s="15"/>
      <c r="ISK68" s="15"/>
      <c r="ISL68" s="15"/>
      <c r="ISM68" s="15"/>
      <c r="ISN68" s="15"/>
      <c r="ISO68" s="15"/>
      <c r="ISP68" s="15"/>
      <c r="ISQ68" s="15"/>
      <c r="ISR68" s="15"/>
      <c r="ISS68" s="15"/>
      <c r="IST68" s="15"/>
      <c r="ISU68" s="15"/>
      <c r="ISV68" s="15"/>
      <c r="ISW68" s="15"/>
      <c r="ISX68" s="15"/>
      <c r="ISY68" s="15"/>
      <c r="ISZ68" s="15"/>
      <c r="ITA68" s="15"/>
      <c r="ITB68" s="15"/>
      <c r="ITC68" s="15"/>
      <c r="ITD68" s="15"/>
      <c r="ITE68" s="15"/>
      <c r="ITF68" s="15"/>
      <c r="ITG68" s="15"/>
      <c r="ITH68" s="15"/>
      <c r="ITI68" s="15"/>
      <c r="ITJ68" s="15"/>
      <c r="ITK68" s="15"/>
      <c r="ITL68" s="15"/>
      <c r="ITM68" s="15"/>
      <c r="ITN68" s="15"/>
      <c r="ITO68" s="15"/>
      <c r="ITP68" s="15"/>
      <c r="ITQ68" s="15"/>
      <c r="ITR68" s="15"/>
      <c r="ITS68" s="15"/>
      <c r="ITT68" s="15"/>
      <c r="ITU68" s="15"/>
      <c r="ITV68" s="15"/>
      <c r="ITW68" s="15"/>
      <c r="ITX68" s="15"/>
      <c r="ITY68" s="15"/>
      <c r="ITZ68" s="15"/>
      <c r="IUA68" s="15"/>
      <c r="IUB68" s="15"/>
      <c r="IUC68" s="15"/>
      <c r="IUD68" s="15"/>
      <c r="IUE68" s="15"/>
      <c r="IUF68" s="15"/>
      <c r="IUG68" s="15"/>
      <c r="IUH68" s="15"/>
      <c r="IUI68" s="15"/>
      <c r="IUJ68" s="15"/>
      <c r="IUK68" s="15"/>
      <c r="IUL68" s="15"/>
      <c r="IUM68" s="15"/>
      <c r="IUN68" s="15"/>
      <c r="IUO68" s="15"/>
      <c r="IUP68" s="15"/>
      <c r="IUQ68" s="15"/>
      <c r="IUR68" s="15"/>
      <c r="IUS68" s="15"/>
      <c r="IUT68" s="15"/>
      <c r="IUU68" s="15"/>
      <c r="IUV68" s="15"/>
      <c r="IUW68" s="15"/>
      <c r="IUX68" s="15"/>
      <c r="IUY68" s="15"/>
      <c r="IUZ68" s="15"/>
      <c r="IVA68" s="15"/>
      <c r="IVB68" s="15"/>
      <c r="IVC68" s="15"/>
      <c r="IVD68" s="15"/>
      <c r="IVE68" s="15"/>
      <c r="IVF68" s="15"/>
      <c r="IVG68" s="15"/>
      <c r="IVH68" s="15"/>
      <c r="IVI68" s="15"/>
      <c r="IVJ68" s="15"/>
      <c r="IVK68" s="15"/>
      <c r="IVL68" s="15"/>
      <c r="IVM68" s="15"/>
      <c r="IVN68" s="15"/>
      <c r="IVO68" s="15"/>
      <c r="IVP68" s="15"/>
      <c r="IVQ68" s="15"/>
      <c r="IVR68" s="15"/>
      <c r="IVS68" s="15"/>
      <c r="IVT68" s="15"/>
      <c r="IVU68" s="15"/>
      <c r="IVV68" s="15"/>
      <c r="IVW68" s="15"/>
      <c r="IVX68" s="15"/>
      <c r="IVY68" s="15"/>
      <c r="IVZ68" s="15"/>
      <c r="IWA68" s="15"/>
      <c r="IWB68" s="15"/>
      <c r="IWC68" s="15"/>
      <c r="IWD68" s="15"/>
      <c r="IWE68" s="15"/>
      <c r="IWF68" s="15"/>
      <c r="IWG68" s="15"/>
      <c r="IWH68" s="15"/>
      <c r="IWI68" s="15"/>
      <c r="IWJ68" s="15"/>
      <c r="IWK68" s="15"/>
      <c r="IWL68" s="15"/>
      <c r="IWM68" s="15"/>
      <c r="IWN68" s="15"/>
      <c r="IWO68" s="15"/>
      <c r="IWP68" s="15"/>
      <c r="IWQ68" s="15"/>
      <c r="IWR68" s="15"/>
      <c r="IWS68" s="15"/>
      <c r="IWT68" s="15"/>
      <c r="IWU68" s="15"/>
      <c r="IWV68" s="15"/>
      <c r="IWW68" s="15"/>
      <c r="IWX68" s="15"/>
      <c r="IWY68" s="15"/>
      <c r="IWZ68" s="15"/>
      <c r="IXA68" s="15"/>
      <c r="IXB68" s="15"/>
      <c r="IXC68" s="15"/>
      <c r="IXD68" s="15"/>
      <c r="IXE68" s="15"/>
      <c r="IXF68" s="15"/>
      <c r="IXG68" s="15"/>
      <c r="IXH68" s="15"/>
      <c r="IXI68" s="15"/>
      <c r="IXJ68" s="15"/>
      <c r="IXK68" s="15"/>
      <c r="IXL68" s="15"/>
      <c r="IXM68" s="15"/>
      <c r="IXN68" s="15"/>
      <c r="IXO68" s="15"/>
      <c r="IXP68" s="15"/>
      <c r="IXQ68" s="15"/>
      <c r="IXR68" s="15"/>
      <c r="IXS68" s="15"/>
      <c r="IXT68" s="15"/>
      <c r="IXU68" s="15"/>
      <c r="IXV68" s="15"/>
      <c r="IXW68" s="15"/>
      <c r="IXX68" s="15"/>
      <c r="IXY68" s="15"/>
      <c r="IXZ68" s="15"/>
      <c r="IYA68" s="15"/>
      <c r="IYB68" s="15"/>
      <c r="IYC68" s="15"/>
      <c r="IYD68" s="15"/>
      <c r="IYE68" s="15"/>
      <c r="IYF68" s="15"/>
      <c r="IYG68" s="15"/>
      <c r="IYH68" s="15"/>
      <c r="IYI68" s="15"/>
      <c r="IYJ68" s="15"/>
      <c r="IYK68" s="15"/>
      <c r="IYL68" s="15"/>
      <c r="IYM68" s="15"/>
      <c r="IYN68" s="15"/>
      <c r="IYO68" s="15"/>
      <c r="IYP68" s="15"/>
      <c r="IYQ68" s="15"/>
      <c r="IYR68" s="15"/>
      <c r="IYS68" s="15"/>
      <c r="IYT68" s="15"/>
      <c r="IYU68" s="15"/>
      <c r="IYV68" s="15"/>
      <c r="IYW68" s="15"/>
      <c r="IYX68" s="15"/>
      <c r="IYY68" s="15"/>
      <c r="IYZ68" s="15"/>
      <c r="IZA68" s="15"/>
      <c r="IZB68" s="15"/>
      <c r="IZC68" s="15"/>
      <c r="IZD68" s="15"/>
      <c r="IZE68" s="15"/>
      <c r="IZF68" s="15"/>
      <c r="IZG68" s="15"/>
      <c r="IZH68" s="15"/>
      <c r="IZI68" s="15"/>
      <c r="IZJ68" s="15"/>
      <c r="IZK68" s="15"/>
      <c r="IZL68" s="15"/>
      <c r="IZM68" s="15"/>
      <c r="IZN68" s="15"/>
      <c r="IZO68" s="15"/>
      <c r="IZP68" s="15"/>
      <c r="IZQ68" s="15"/>
      <c r="IZR68" s="15"/>
      <c r="IZS68" s="15"/>
      <c r="IZT68" s="15"/>
      <c r="IZU68" s="15"/>
      <c r="IZV68" s="15"/>
      <c r="IZW68" s="15"/>
      <c r="IZX68" s="15"/>
      <c r="IZY68" s="15"/>
      <c r="IZZ68" s="15"/>
      <c r="JAA68" s="15"/>
      <c r="JAB68" s="15"/>
      <c r="JAC68" s="15"/>
      <c r="JAD68" s="15"/>
      <c r="JAE68" s="15"/>
      <c r="JAF68" s="15"/>
      <c r="JAG68" s="15"/>
      <c r="JAH68" s="15"/>
      <c r="JAI68" s="15"/>
      <c r="JAJ68" s="15"/>
      <c r="JAK68" s="15"/>
      <c r="JAL68" s="15"/>
      <c r="JAM68" s="15"/>
      <c r="JAN68" s="15"/>
      <c r="JAO68" s="15"/>
      <c r="JAP68" s="15"/>
      <c r="JAQ68" s="15"/>
      <c r="JAR68" s="15"/>
      <c r="JAS68" s="15"/>
      <c r="JAT68" s="15"/>
      <c r="JAU68" s="15"/>
      <c r="JAV68" s="15"/>
      <c r="JAW68" s="15"/>
      <c r="JAX68" s="15"/>
      <c r="JAY68" s="15"/>
      <c r="JAZ68" s="15"/>
      <c r="JBA68" s="15"/>
      <c r="JBB68" s="15"/>
      <c r="JBC68" s="15"/>
      <c r="JBD68" s="15"/>
      <c r="JBE68" s="15"/>
      <c r="JBF68" s="15"/>
      <c r="JBG68" s="15"/>
      <c r="JBH68" s="15"/>
      <c r="JBI68" s="15"/>
      <c r="JBJ68" s="15"/>
      <c r="JBK68" s="15"/>
      <c r="JBL68" s="15"/>
      <c r="JBM68" s="15"/>
      <c r="JBN68" s="15"/>
      <c r="JBO68" s="15"/>
      <c r="JBP68" s="15"/>
      <c r="JBQ68" s="15"/>
      <c r="JBR68" s="15"/>
      <c r="JBS68" s="15"/>
      <c r="JBT68" s="15"/>
      <c r="JBU68" s="15"/>
      <c r="JBV68" s="15"/>
      <c r="JBW68" s="15"/>
      <c r="JBX68" s="15"/>
      <c r="JBY68" s="15"/>
      <c r="JBZ68" s="15"/>
      <c r="JCA68" s="15"/>
      <c r="JCB68" s="15"/>
      <c r="JCC68" s="15"/>
      <c r="JCD68" s="15"/>
      <c r="JCE68" s="15"/>
      <c r="JCF68" s="15"/>
      <c r="JCG68" s="15"/>
      <c r="JCH68" s="15"/>
      <c r="JCI68" s="15"/>
      <c r="JCJ68" s="15"/>
      <c r="JCK68" s="15"/>
      <c r="JCL68" s="15"/>
      <c r="JCM68" s="15"/>
      <c r="JCN68" s="15"/>
      <c r="JCO68" s="15"/>
      <c r="JCP68" s="15"/>
      <c r="JCQ68" s="15"/>
      <c r="JCR68" s="15"/>
      <c r="JCS68" s="15"/>
      <c r="JCT68" s="15"/>
      <c r="JCU68" s="15"/>
      <c r="JCV68" s="15"/>
      <c r="JCW68" s="15"/>
      <c r="JCX68" s="15"/>
      <c r="JCY68" s="15"/>
      <c r="JCZ68" s="15"/>
      <c r="JDA68" s="15"/>
      <c r="JDB68" s="15"/>
      <c r="JDC68" s="15"/>
      <c r="JDD68" s="15"/>
      <c r="JDE68" s="15"/>
      <c r="JDF68" s="15"/>
      <c r="JDG68" s="15"/>
      <c r="JDH68" s="15"/>
      <c r="JDI68" s="15"/>
      <c r="JDJ68" s="15"/>
      <c r="JDK68" s="15"/>
      <c r="JDL68" s="15"/>
      <c r="JDM68" s="15"/>
      <c r="JDN68" s="15"/>
      <c r="JDO68" s="15"/>
      <c r="JDP68" s="15"/>
      <c r="JDQ68" s="15"/>
      <c r="JDR68" s="15"/>
      <c r="JDS68" s="15"/>
      <c r="JDT68" s="15"/>
      <c r="JDU68" s="15"/>
      <c r="JDV68" s="15"/>
      <c r="JDW68" s="15"/>
      <c r="JDX68" s="15"/>
      <c r="JDY68" s="15"/>
      <c r="JDZ68" s="15"/>
      <c r="JEA68" s="15"/>
      <c r="JEB68" s="15"/>
      <c r="JEC68" s="15"/>
      <c r="JED68" s="15"/>
      <c r="JEE68" s="15"/>
      <c r="JEF68" s="15"/>
      <c r="JEG68" s="15"/>
      <c r="JEH68" s="15"/>
      <c r="JEI68" s="15"/>
      <c r="JEJ68" s="15"/>
      <c r="JEK68" s="15"/>
      <c r="JEL68" s="15"/>
      <c r="JEM68" s="15"/>
      <c r="JEN68" s="15"/>
      <c r="JEO68" s="15"/>
      <c r="JEP68" s="15"/>
      <c r="JEQ68" s="15"/>
      <c r="JER68" s="15"/>
      <c r="JES68" s="15"/>
      <c r="JET68" s="15"/>
      <c r="JEU68" s="15"/>
      <c r="JEV68" s="15"/>
      <c r="JEW68" s="15"/>
      <c r="JEX68" s="15"/>
      <c r="JEY68" s="15"/>
      <c r="JEZ68" s="15"/>
      <c r="JFA68" s="15"/>
      <c r="JFB68" s="15"/>
      <c r="JFC68" s="15"/>
      <c r="JFD68" s="15"/>
      <c r="JFE68" s="15"/>
      <c r="JFF68" s="15"/>
      <c r="JFG68" s="15"/>
      <c r="JFH68" s="15"/>
      <c r="JFI68" s="15"/>
      <c r="JFJ68" s="15"/>
      <c r="JFK68" s="15"/>
      <c r="JFL68" s="15"/>
      <c r="JFM68" s="15"/>
      <c r="JFN68" s="15"/>
      <c r="JFO68" s="15"/>
      <c r="JFP68" s="15"/>
      <c r="JFQ68" s="15"/>
      <c r="JFR68" s="15"/>
      <c r="JFS68" s="15"/>
      <c r="JFT68" s="15"/>
      <c r="JFU68" s="15"/>
      <c r="JFV68" s="15"/>
      <c r="JFW68" s="15"/>
      <c r="JFX68" s="15"/>
      <c r="JFY68" s="15"/>
      <c r="JFZ68" s="15"/>
      <c r="JGA68" s="15"/>
      <c r="JGB68" s="15"/>
      <c r="JGC68" s="15"/>
      <c r="JGD68" s="15"/>
      <c r="JGE68" s="15"/>
      <c r="JGF68" s="15"/>
      <c r="JGG68" s="15"/>
      <c r="JGH68" s="15"/>
      <c r="JGI68" s="15"/>
      <c r="JGJ68" s="15"/>
      <c r="JGK68" s="15"/>
      <c r="JGL68" s="15"/>
      <c r="JGM68" s="15"/>
      <c r="JGN68" s="15"/>
      <c r="JGO68" s="15"/>
      <c r="JGP68" s="15"/>
      <c r="JGQ68" s="15"/>
      <c r="JGR68" s="15"/>
      <c r="JGS68" s="15"/>
      <c r="JGT68" s="15"/>
      <c r="JGU68" s="15"/>
      <c r="JGV68" s="15"/>
      <c r="JGW68" s="15"/>
      <c r="JGX68" s="15"/>
      <c r="JGY68" s="15"/>
      <c r="JGZ68" s="15"/>
      <c r="JHA68" s="15"/>
      <c r="JHB68" s="15"/>
      <c r="JHC68" s="15"/>
      <c r="JHD68" s="15"/>
      <c r="JHE68" s="15"/>
      <c r="JHF68" s="15"/>
      <c r="JHG68" s="15"/>
      <c r="JHH68" s="15"/>
      <c r="JHI68" s="15"/>
      <c r="JHJ68" s="15"/>
      <c r="JHK68" s="15"/>
      <c r="JHL68" s="15"/>
      <c r="JHM68" s="15"/>
      <c r="JHN68" s="15"/>
      <c r="JHO68" s="15"/>
      <c r="JHP68" s="15"/>
      <c r="JHQ68" s="15"/>
      <c r="JHR68" s="15"/>
      <c r="JHS68" s="15"/>
      <c r="JHT68" s="15"/>
      <c r="JHU68" s="15"/>
      <c r="JHV68" s="15"/>
      <c r="JHW68" s="15"/>
      <c r="JHX68" s="15"/>
      <c r="JHY68" s="15"/>
      <c r="JHZ68" s="15"/>
      <c r="JIA68" s="15"/>
      <c r="JIB68" s="15"/>
      <c r="JIC68" s="15"/>
      <c r="JID68" s="15"/>
      <c r="JIE68" s="15"/>
      <c r="JIF68" s="15"/>
      <c r="JIG68" s="15"/>
      <c r="JIH68" s="15"/>
      <c r="JII68" s="15"/>
      <c r="JIJ68" s="15"/>
      <c r="JIK68" s="15"/>
      <c r="JIL68" s="15"/>
      <c r="JIM68" s="15"/>
      <c r="JIN68" s="15"/>
      <c r="JIO68" s="15"/>
      <c r="JIP68" s="15"/>
      <c r="JIQ68" s="15"/>
      <c r="JIR68" s="15"/>
      <c r="JIS68" s="15"/>
      <c r="JIT68" s="15"/>
      <c r="JIU68" s="15"/>
      <c r="JIV68" s="15"/>
      <c r="JIW68" s="15"/>
      <c r="JIX68" s="15"/>
      <c r="JIY68" s="15"/>
      <c r="JIZ68" s="15"/>
      <c r="JJA68" s="15"/>
      <c r="JJB68" s="15"/>
      <c r="JJC68" s="15"/>
      <c r="JJD68" s="15"/>
      <c r="JJE68" s="15"/>
      <c r="JJF68" s="15"/>
      <c r="JJG68" s="15"/>
      <c r="JJH68" s="15"/>
      <c r="JJI68" s="15"/>
      <c r="JJJ68" s="15"/>
      <c r="JJK68" s="15"/>
      <c r="JJL68" s="15"/>
      <c r="JJM68" s="15"/>
      <c r="JJN68" s="15"/>
      <c r="JJO68" s="15"/>
      <c r="JJP68" s="15"/>
      <c r="JJQ68" s="15"/>
      <c r="JJR68" s="15"/>
      <c r="JJS68" s="15"/>
      <c r="JJT68" s="15"/>
      <c r="JJU68" s="15"/>
      <c r="JJV68" s="15"/>
      <c r="JJW68" s="15"/>
      <c r="JJX68" s="15"/>
      <c r="JJY68" s="15"/>
      <c r="JJZ68" s="15"/>
      <c r="JKA68" s="15"/>
      <c r="JKB68" s="15"/>
      <c r="JKC68" s="15"/>
      <c r="JKD68" s="15"/>
      <c r="JKE68" s="15"/>
      <c r="JKF68" s="15"/>
      <c r="JKG68" s="15"/>
      <c r="JKH68" s="15"/>
      <c r="JKI68" s="15"/>
      <c r="JKJ68" s="15"/>
      <c r="JKK68" s="15"/>
      <c r="JKL68" s="15"/>
      <c r="JKM68" s="15"/>
      <c r="JKN68" s="15"/>
      <c r="JKO68" s="15"/>
      <c r="JKP68" s="15"/>
      <c r="JKQ68" s="15"/>
      <c r="JKR68" s="15"/>
      <c r="JKS68" s="15"/>
      <c r="JKT68" s="15"/>
      <c r="JKU68" s="15"/>
      <c r="JKV68" s="15"/>
      <c r="JKW68" s="15"/>
      <c r="JKX68" s="15"/>
      <c r="JKY68" s="15"/>
      <c r="JKZ68" s="15"/>
      <c r="JLA68" s="15"/>
      <c r="JLB68" s="15"/>
      <c r="JLC68" s="15"/>
      <c r="JLD68" s="15"/>
      <c r="JLE68" s="15"/>
      <c r="JLF68" s="15"/>
      <c r="JLG68" s="15"/>
      <c r="JLH68" s="15"/>
      <c r="JLI68" s="15"/>
      <c r="JLJ68" s="15"/>
      <c r="JLK68" s="15"/>
      <c r="JLL68" s="15"/>
      <c r="JLM68" s="15"/>
      <c r="JLN68" s="15"/>
      <c r="JLO68" s="15"/>
      <c r="JLP68" s="15"/>
      <c r="JLQ68" s="15"/>
      <c r="JLR68" s="15"/>
      <c r="JLS68" s="15"/>
      <c r="JLT68" s="15"/>
      <c r="JLU68" s="15"/>
      <c r="JLV68" s="15"/>
      <c r="JLW68" s="15"/>
      <c r="JLX68" s="15"/>
      <c r="JLY68" s="15"/>
      <c r="JLZ68" s="15"/>
      <c r="JMA68" s="15"/>
      <c r="JMB68" s="15"/>
      <c r="JMC68" s="15"/>
      <c r="JMD68" s="15"/>
      <c r="JME68" s="15"/>
      <c r="JMF68" s="15"/>
      <c r="JMG68" s="15"/>
      <c r="JMH68" s="15"/>
      <c r="JMI68" s="15"/>
      <c r="JMJ68" s="15"/>
      <c r="JMK68" s="15"/>
      <c r="JML68" s="15"/>
      <c r="JMM68" s="15"/>
      <c r="JMN68" s="15"/>
      <c r="JMO68" s="15"/>
      <c r="JMP68" s="15"/>
      <c r="JMQ68" s="15"/>
      <c r="JMR68" s="15"/>
      <c r="JMS68" s="15"/>
      <c r="JMT68" s="15"/>
      <c r="JMU68" s="15"/>
      <c r="JMV68" s="15"/>
      <c r="JMW68" s="15"/>
      <c r="JMX68" s="15"/>
      <c r="JMY68" s="15"/>
      <c r="JMZ68" s="15"/>
      <c r="JNA68" s="15"/>
      <c r="JNB68" s="15"/>
      <c r="JNC68" s="15"/>
      <c r="JND68" s="15"/>
      <c r="JNE68" s="15"/>
      <c r="JNF68" s="15"/>
      <c r="JNG68" s="15"/>
      <c r="JNH68" s="15"/>
      <c r="JNI68" s="15"/>
      <c r="JNJ68" s="15"/>
      <c r="JNK68" s="15"/>
      <c r="JNL68" s="15"/>
      <c r="JNM68" s="15"/>
      <c r="JNN68" s="15"/>
      <c r="JNO68" s="15"/>
      <c r="JNP68" s="15"/>
      <c r="JNQ68" s="15"/>
      <c r="JNR68" s="15"/>
      <c r="JNS68" s="15"/>
      <c r="JNT68" s="15"/>
      <c r="JNU68" s="15"/>
      <c r="JNV68" s="15"/>
      <c r="JNW68" s="15"/>
      <c r="JNX68" s="15"/>
      <c r="JNY68" s="15"/>
      <c r="JNZ68" s="15"/>
      <c r="JOA68" s="15"/>
      <c r="JOB68" s="15"/>
      <c r="JOC68" s="15"/>
      <c r="JOD68" s="15"/>
      <c r="JOE68" s="15"/>
      <c r="JOF68" s="15"/>
      <c r="JOG68" s="15"/>
      <c r="JOH68" s="15"/>
      <c r="JOI68" s="15"/>
      <c r="JOJ68" s="15"/>
      <c r="JOK68" s="15"/>
      <c r="JOL68" s="15"/>
      <c r="JOM68" s="15"/>
      <c r="JON68" s="15"/>
      <c r="JOO68" s="15"/>
      <c r="JOP68" s="15"/>
      <c r="JOQ68" s="15"/>
      <c r="JOR68" s="15"/>
      <c r="JOS68" s="15"/>
      <c r="JOT68" s="15"/>
      <c r="JOU68" s="15"/>
      <c r="JOV68" s="15"/>
      <c r="JOW68" s="15"/>
      <c r="JOX68" s="15"/>
      <c r="JOY68" s="15"/>
      <c r="JOZ68" s="15"/>
      <c r="JPA68" s="15"/>
      <c r="JPB68" s="15"/>
      <c r="JPC68" s="15"/>
      <c r="JPD68" s="15"/>
      <c r="JPE68" s="15"/>
      <c r="JPF68" s="15"/>
      <c r="JPG68" s="15"/>
      <c r="JPH68" s="15"/>
      <c r="JPI68" s="15"/>
      <c r="JPJ68" s="15"/>
      <c r="JPK68" s="15"/>
      <c r="JPL68" s="15"/>
      <c r="JPM68" s="15"/>
      <c r="JPN68" s="15"/>
      <c r="JPO68" s="15"/>
      <c r="JPP68" s="15"/>
      <c r="JPQ68" s="15"/>
      <c r="JPR68" s="15"/>
      <c r="JPS68" s="15"/>
      <c r="JPT68" s="15"/>
      <c r="JPU68" s="15"/>
      <c r="JPV68" s="15"/>
      <c r="JPW68" s="15"/>
      <c r="JPX68" s="15"/>
      <c r="JPY68" s="15"/>
      <c r="JPZ68" s="15"/>
      <c r="JQA68" s="15"/>
      <c r="JQB68" s="15"/>
      <c r="JQC68" s="15"/>
      <c r="JQD68" s="15"/>
      <c r="JQE68" s="15"/>
      <c r="JQF68" s="15"/>
      <c r="JQG68" s="15"/>
      <c r="JQH68" s="15"/>
      <c r="JQI68" s="15"/>
      <c r="JQJ68" s="15"/>
      <c r="JQK68" s="15"/>
      <c r="JQL68" s="15"/>
      <c r="JQM68" s="15"/>
      <c r="JQN68" s="15"/>
      <c r="JQO68" s="15"/>
      <c r="JQP68" s="15"/>
      <c r="JQQ68" s="15"/>
      <c r="JQR68" s="15"/>
      <c r="JQS68" s="15"/>
      <c r="JQT68" s="15"/>
      <c r="JQU68" s="15"/>
      <c r="JQV68" s="15"/>
      <c r="JQW68" s="15"/>
      <c r="JQX68" s="15"/>
      <c r="JQY68" s="15"/>
      <c r="JQZ68" s="15"/>
      <c r="JRA68" s="15"/>
      <c r="JRB68" s="15"/>
      <c r="JRC68" s="15"/>
      <c r="JRD68" s="15"/>
      <c r="JRE68" s="15"/>
      <c r="JRF68" s="15"/>
      <c r="JRG68" s="15"/>
      <c r="JRH68" s="15"/>
      <c r="JRI68" s="15"/>
      <c r="JRJ68" s="15"/>
      <c r="JRK68" s="15"/>
      <c r="JRL68" s="15"/>
      <c r="JRM68" s="15"/>
      <c r="JRN68" s="15"/>
      <c r="JRO68" s="15"/>
      <c r="JRP68" s="15"/>
      <c r="JRQ68" s="15"/>
      <c r="JRR68" s="15"/>
      <c r="JRS68" s="15"/>
      <c r="JRT68" s="15"/>
      <c r="JRU68" s="15"/>
      <c r="JRV68" s="15"/>
      <c r="JRW68" s="15"/>
      <c r="JRX68" s="15"/>
      <c r="JRY68" s="15"/>
      <c r="JRZ68" s="15"/>
      <c r="JSA68" s="15"/>
      <c r="JSB68" s="15"/>
      <c r="JSC68" s="15"/>
      <c r="JSD68" s="15"/>
      <c r="JSE68" s="15"/>
      <c r="JSF68" s="15"/>
      <c r="JSG68" s="15"/>
      <c r="JSH68" s="15"/>
      <c r="JSI68" s="15"/>
      <c r="JSJ68" s="15"/>
      <c r="JSK68" s="15"/>
      <c r="JSL68" s="15"/>
      <c r="JSM68" s="15"/>
      <c r="JSN68" s="15"/>
      <c r="JSO68" s="15"/>
      <c r="JSP68" s="15"/>
      <c r="JSQ68" s="15"/>
      <c r="JSR68" s="15"/>
      <c r="JSS68" s="15"/>
      <c r="JST68" s="15"/>
      <c r="JSU68" s="15"/>
      <c r="JSV68" s="15"/>
      <c r="JSW68" s="15"/>
      <c r="JSX68" s="15"/>
      <c r="JSY68" s="15"/>
      <c r="JSZ68" s="15"/>
      <c r="JTA68" s="15"/>
      <c r="JTB68" s="15"/>
      <c r="JTC68" s="15"/>
      <c r="JTD68" s="15"/>
      <c r="JTE68" s="15"/>
      <c r="JTF68" s="15"/>
      <c r="JTG68" s="15"/>
      <c r="JTH68" s="15"/>
      <c r="JTI68" s="15"/>
      <c r="JTJ68" s="15"/>
      <c r="JTK68" s="15"/>
      <c r="JTL68" s="15"/>
      <c r="JTM68" s="15"/>
      <c r="JTN68" s="15"/>
      <c r="JTO68" s="15"/>
      <c r="JTP68" s="15"/>
      <c r="JTQ68" s="15"/>
      <c r="JTR68" s="15"/>
      <c r="JTS68" s="15"/>
      <c r="JTT68" s="15"/>
      <c r="JTU68" s="15"/>
      <c r="JTV68" s="15"/>
      <c r="JTW68" s="15"/>
      <c r="JTX68" s="15"/>
      <c r="JTY68" s="15"/>
      <c r="JTZ68" s="15"/>
      <c r="JUA68" s="15"/>
      <c r="JUB68" s="15"/>
      <c r="JUC68" s="15"/>
      <c r="JUD68" s="15"/>
      <c r="JUE68" s="15"/>
      <c r="JUF68" s="15"/>
      <c r="JUG68" s="15"/>
      <c r="JUH68" s="15"/>
      <c r="JUI68" s="15"/>
      <c r="JUJ68" s="15"/>
      <c r="JUK68" s="15"/>
      <c r="JUL68" s="15"/>
      <c r="JUM68" s="15"/>
      <c r="JUN68" s="15"/>
      <c r="JUO68" s="15"/>
      <c r="JUP68" s="15"/>
      <c r="JUQ68" s="15"/>
      <c r="JUR68" s="15"/>
      <c r="JUS68" s="15"/>
      <c r="JUT68" s="15"/>
      <c r="JUU68" s="15"/>
      <c r="JUV68" s="15"/>
      <c r="JUW68" s="15"/>
      <c r="JUX68" s="15"/>
      <c r="JUY68" s="15"/>
      <c r="JUZ68" s="15"/>
      <c r="JVA68" s="15"/>
      <c r="JVB68" s="15"/>
      <c r="JVC68" s="15"/>
      <c r="JVD68" s="15"/>
      <c r="JVE68" s="15"/>
      <c r="JVF68" s="15"/>
      <c r="JVG68" s="15"/>
      <c r="JVH68" s="15"/>
      <c r="JVI68" s="15"/>
      <c r="JVJ68" s="15"/>
      <c r="JVK68" s="15"/>
      <c r="JVL68" s="15"/>
      <c r="JVM68" s="15"/>
      <c r="JVN68" s="15"/>
      <c r="JVO68" s="15"/>
      <c r="JVP68" s="15"/>
      <c r="JVQ68" s="15"/>
      <c r="JVR68" s="15"/>
      <c r="JVS68" s="15"/>
      <c r="JVT68" s="15"/>
      <c r="JVU68" s="15"/>
      <c r="JVV68" s="15"/>
      <c r="JVW68" s="15"/>
      <c r="JVX68" s="15"/>
      <c r="JVY68" s="15"/>
      <c r="JVZ68" s="15"/>
      <c r="JWA68" s="15"/>
      <c r="JWB68" s="15"/>
      <c r="JWC68" s="15"/>
      <c r="JWD68" s="15"/>
      <c r="JWE68" s="15"/>
      <c r="JWF68" s="15"/>
      <c r="JWG68" s="15"/>
      <c r="JWH68" s="15"/>
      <c r="JWI68" s="15"/>
      <c r="JWJ68" s="15"/>
      <c r="JWK68" s="15"/>
      <c r="JWL68" s="15"/>
      <c r="JWM68" s="15"/>
      <c r="JWN68" s="15"/>
      <c r="JWO68" s="15"/>
      <c r="JWP68" s="15"/>
      <c r="JWQ68" s="15"/>
      <c r="JWR68" s="15"/>
      <c r="JWS68" s="15"/>
      <c r="JWT68" s="15"/>
      <c r="JWU68" s="15"/>
      <c r="JWV68" s="15"/>
      <c r="JWW68" s="15"/>
      <c r="JWX68" s="15"/>
      <c r="JWY68" s="15"/>
      <c r="JWZ68" s="15"/>
      <c r="JXA68" s="15"/>
      <c r="JXB68" s="15"/>
      <c r="JXC68" s="15"/>
      <c r="JXD68" s="15"/>
      <c r="JXE68" s="15"/>
      <c r="JXF68" s="15"/>
      <c r="JXG68" s="15"/>
      <c r="JXH68" s="15"/>
      <c r="JXI68" s="15"/>
      <c r="JXJ68" s="15"/>
      <c r="JXK68" s="15"/>
      <c r="JXL68" s="15"/>
      <c r="JXM68" s="15"/>
      <c r="JXN68" s="15"/>
      <c r="JXO68" s="15"/>
      <c r="JXP68" s="15"/>
      <c r="JXQ68" s="15"/>
      <c r="JXR68" s="15"/>
      <c r="JXS68" s="15"/>
      <c r="JXT68" s="15"/>
      <c r="JXU68" s="15"/>
      <c r="JXV68" s="15"/>
      <c r="JXW68" s="15"/>
      <c r="JXX68" s="15"/>
      <c r="JXY68" s="15"/>
      <c r="JXZ68" s="15"/>
      <c r="JYA68" s="15"/>
      <c r="JYB68" s="15"/>
      <c r="JYC68" s="15"/>
      <c r="JYD68" s="15"/>
      <c r="JYE68" s="15"/>
      <c r="JYF68" s="15"/>
      <c r="JYG68" s="15"/>
      <c r="JYH68" s="15"/>
      <c r="JYI68" s="15"/>
      <c r="JYJ68" s="15"/>
      <c r="JYK68" s="15"/>
      <c r="JYL68" s="15"/>
      <c r="JYM68" s="15"/>
      <c r="JYN68" s="15"/>
      <c r="JYO68" s="15"/>
      <c r="JYP68" s="15"/>
      <c r="JYQ68" s="15"/>
      <c r="JYR68" s="15"/>
      <c r="JYS68" s="15"/>
      <c r="JYT68" s="15"/>
      <c r="JYU68" s="15"/>
      <c r="JYV68" s="15"/>
      <c r="JYW68" s="15"/>
      <c r="JYX68" s="15"/>
      <c r="JYY68" s="15"/>
      <c r="JYZ68" s="15"/>
      <c r="JZA68" s="15"/>
      <c r="JZB68" s="15"/>
      <c r="JZC68" s="15"/>
      <c r="JZD68" s="15"/>
      <c r="JZE68" s="15"/>
      <c r="JZF68" s="15"/>
      <c r="JZG68" s="15"/>
      <c r="JZH68" s="15"/>
      <c r="JZI68" s="15"/>
      <c r="JZJ68" s="15"/>
      <c r="JZK68" s="15"/>
      <c r="JZL68" s="15"/>
      <c r="JZM68" s="15"/>
      <c r="JZN68" s="15"/>
      <c r="JZO68" s="15"/>
      <c r="JZP68" s="15"/>
      <c r="JZQ68" s="15"/>
      <c r="JZR68" s="15"/>
      <c r="JZS68" s="15"/>
      <c r="JZT68" s="15"/>
      <c r="JZU68" s="15"/>
      <c r="JZV68" s="15"/>
      <c r="JZW68" s="15"/>
      <c r="JZX68" s="15"/>
      <c r="JZY68" s="15"/>
      <c r="JZZ68" s="15"/>
      <c r="KAA68" s="15"/>
      <c r="KAB68" s="15"/>
      <c r="KAC68" s="15"/>
      <c r="KAD68" s="15"/>
      <c r="KAE68" s="15"/>
      <c r="KAF68" s="15"/>
      <c r="KAG68" s="15"/>
      <c r="KAH68" s="15"/>
      <c r="KAI68" s="15"/>
      <c r="KAJ68" s="15"/>
      <c r="KAK68" s="15"/>
      <c r="KAL68" s="15"/>
      <c r="KAM68" s="15"/>
      <c r="KAN68" s="15"/>
      <c r="KAO68" s="15"/>
      <c r="KAP68" s="15"/>
      <c r="KAQ68" s="15"/>
      <c r="KAR68" s="15"/>
      <c r="KAS68" s="15"/>
      <c r="KAT68" s="15"/>
      <c r="KAU68" s="15"/>
      <c r="KAV68" s="15"/>
      <c r="KAW68" s="15"/>
      <c r="KAX68" s="15"/>
      <c r="KAY68" s="15"/>
      <c r="KAZ68" s="15"/>
      <c r="KBA68" s="15"/>
      <c r="KBB68" s="15"/>
      <c r="KBC68" s="15"/>
      <c r="KBD68" s="15"/>
      <c r="KBE68" s="15"/>
      <c r="KBF68" s="15"/>
      <c r="KBG68" s="15"/>
      <c r="KBH68" s="15"/>
      <c r="KBI68" s="15"/>
      <c r="KBJ68" s="15"/>
      <c r="KBK68" s="15"/>
      <c r="KBL68" s="15"/>
      <c r="KBM68" s="15"/>
      <c r="KBN68" s="15"/>
      <c r="KBO68" s="15"/>
      <c r="KBP68" s="15"/>
      <c r="KBQ68" s="15"/>
      <c r="KBR68" s="15"/>
      <c r="KBS68" s="15"/>
      <c r="KBT68" s="15"/>
      <c r="KBU68" s="15"/>
      <c r="KBV68" s="15"/>
      <c r="KBW68" s="15"/>
      <c r="KBX68" s="15"/>
      <c r="KBY68" s="15"/>
      <c r="KBZ68" s="15"/>
      <c r="KCA68" s="15"/>
      <c r="KCB68" s="15"/>
      <c r="KCC68" s="15"/>
      <c r="KCD68" s="15"/>
      <c r="KCE68" s="15"/>
      <c r="KCF68" s="15"/>
      <c r="KCG68" s="15"/>
      <c r="KCH68" s="15"/>
      <c r="KCI68" s="15"/>
      <c r="KCJ68" s="15"/>
      <c r="KCK68" s="15"/>
      <c r="KCL68" s="15"/>
      <c r="KCM68" s="15"/>
      <c r="KCN68" s="15"/>
      <c r="KCO68" s="15"/>
      <c r="KCP68" s="15"/>
      <c r="KCQ68" s="15"/>
      <c r="KCR68" s="15"/>
      <c r="KCS68" s="15"/>
      <c r="KCT68" s="15"/>
      <c r="KCU68" s="15"/>
      <c r="KCV68" s="15"/>
      <c r="KCW68" s="15"/>
      <c r="KCX68" s="15"/>
      <c r="KCY68" s="15"/>
      <c r="KCZ68" s="15"/>
      <c r="KDA68" s="15"/>
      <c r="KDB68" s="15"/>
      <c r="KDC68" s="15"/>
      <c r="KDD68" s="15"/>
      <c r="KDE68" s="15"/>
      <c r="KDF68" s="15"/>
      <c r="KDG68" s="15"/>
      <c r="KDH68" s="15"/>
      <c r="KDI68" s="15"/>
      <c r="KDJ68" s="15"/>
      <c r="KDK68" s="15"/>
      <c r="KDL68" s="15"/>
      <c r="KDM68" s="15"/>
      <c r="KDN68" s="15"/>
      <c r="KDO68" s="15"/>
      <c r="KDP68" s="15"/>
      <c r="KDQ68" s="15"/>
      <c r="KDR68" s="15"/>
      <c r="KDS68" s="15"/>
      <c r="KDT68" s="15"/>
      <c r="KDU68" s="15"/>
      <c r="KDV68" s="15"/>
      <c r="KDW68" s="15"/>
      <c r="KDX68" s="15"/>
      <c r="KDY68" s="15"/>
      <c r="KDZ68" s="15"/>
      <c r="KEA68" s="15"/>
      <c r="KEB68" s="15"/>
      <c r="KEC68" s="15"/>
      <c r="KED68" s="15"/>
      <c r="KEE68" s="15"/>
      <c r="KEF68" s="15"/>
      <c r="KEG68" s="15"/>
      <c r="KEH68" s="15"/>
      <c r="KEI68" s="15"/>
      <c r="KEJ68" s="15"/>
      <c r="KEK68" s="15"/>
      <c r="KEL68" s="15"/>
      <c r="KEM68" s="15"/>
      <c r="KEN68" s="15"/>
      <c r="KEO68" s="15"/>
      <c r="KEP68" s="15"/>
      <c r="KEQ68" s="15"/>
      <c r="KER68" s="15"/>
      <c r="KES68" s="15"/>
      <c r="KET68" s="15"/>
      <c r="KEU68" s="15"/>
      <c r="KEV68" s="15"/>
      <c r="KEW68" s="15"/>
      <c r="KEX68" s="15"/>
      <c r="KEY68" s="15"/>
      <c r="KEZ68" s="15"/>
      <c r="KFA68" s="15"/>
      <c r="KFB68" s="15"/>
      <c r="KFC68" s="15"/>
      <c r="KFD68" s="15"/>
      <c r="KFE68" s="15"/>
      <c r="KFF68" s="15"/>
      <c r="KFG68" s="15"/>
      <c r="KFH68" s="15"/>
      <c r="KFI68" s="15"/>
      <c r="KFJ68" s="15"/>
      <c r="KFK68" s="15"/>
      <c r="KFL68" s="15"/>
      <c r="KFM68" s="15"/>
      <c r="KFN68" s="15"/>
      <c r="KFO68" s="15"/>
      <c r="KFP68" s="15"/>
      <c r="KFQ68" s="15"/>
      <c r="KFR68" s="15"/>
      <c r="KFS68" s="15"/>
      <c r="KFT68" s="15"/>
      <c r="KFU68" s="15"/>
      <c r="KFV68" s="15"/>
      <c r="KFW68" s="15"/>
      <c r="KFX68" s="15"/>
      <c r="KFY68" s="15"/>
      <c r="KFZ68" s="15"/>
      <c r="KGA68" s="15"/>
      <c r="KGB68" s="15"/>
      <c r="KGC68" s="15"/>
      <c r="KGD68" s="15"/>
      <c r="KGE68" s="15"/>
      <c r="KGF68" s="15"/>
      <c r="KGG68" s="15"/>
      <c r="KGH68" s="15"/>
      <c r="KGI68" s="15"/>
      <c r="KGJ68" s="15"/>
      <c r="KGK68" s="15"/>
      <c r="KGL68" s="15"/>
      <c r="KGM68" s="15"/>
      <c r="KGN68" s="15"/>
      <c r="KGO68" s="15"/>
      <c r="KGP68" s="15"/>
      <c r="KGQ68" s="15"/>
      <c r="KGR68" s="15"/>
      <c r="KGS68" s="15"/>
      <c r="KGT68" s="15"/>
      <c r="KGU68" s="15"/>
      <c r="KGV68" s="15"/>
      <c r="KGW68" s="15"/>
      <c r="KGX68" s="15"/>
      <c r="KGY68" s="15"/>
      <c r="KGZ68" s="15"/>
      <c r="KHA68" s="15"/>
      <c r="KHB68" s="15"/>
      <c r="KHC68" s="15"/>
      <c r="KHD68" s="15"/>
      <c r="KHE68" s="15"/>
      <c r="KHF68" s="15"/>
      <c r="KHG68" s="15"/>
      <c r="KHH68" s="15"/>
      <c r="KHI68" s="15"/>
      <c r="KHJ68" s="15"/>
      <c r="KHK68" s="15"/>
      <c r="KHL68" s="15"/>
      <c r="KHM68" s="15"/>
      <c r="KHN68" s="15"/>
      <c r="KHO68" s="15"/>
      <c r="KHP68" s="15"/>
      <c r="KHQ68" s="15"/>
      <c r="KHR68" s="15"/>
      <c r="KHS68" s="15"/>
      <c r="KHT68" s="15"/>
      <c r="KHU68" s="15"/>
      <c r="KHV68" s="15"/>
      <c r="KHW68" s="15"/>
      <c r="KHX68" s="15"/>
      <c r="KHY68" s="15"/>
      <c r="KHZ68" s="15"/>
      <c r="KIA68" s="15"/>
      <c r="KIB68" s="15"/>
      <c r="KIC68" s="15"/>
      <c r="KID68" s="15"/>
      <c r="KIE68" s="15"/>
      <c r="KIF68" s="15"/>
      <c r="KIG68" s="15"/>
      <c r="KIH68" s="15"/>
      <c r="KII68" s="15"/>
      <c r="KIJ68" s="15"/>
      <c r="KIK68" s="15"/>
      <c r="KIL68" s="15"/>
      <c r="KIM68" s="15"/>
      <c r="KIN68" s="15"/>
      <c r="KIO68" s="15"/>
      <c r="KIP68" s="15"/>
      <c r="KIQ68" s="15"/>
      <c r="KIR68" s="15"/>
      <c r="KIS68" s="15"/>
      <c r="KIT68" s="15"/>
      <c r="KIU68" s="15"/>
      <c r="KIV68" s="15"/>
      <c r="KIW68" s="15"/>
      <c r="KIX68" s="15"/>
      <c r="KIY68" s="15"/>
      <c r="KIZ68" s="15"/>
      <c r="KJA68" s="15"/>
      <c r="KJB68" s="15"/>
      <c r="KJC68" s="15"/>
      <c r="KJD68" s="15"/>
      <c r="KJE68" s="15"/>
      <c r="KJF68" s="15"/>
      <c r="KJG68" s="15"/>
      <c r="KJH68" s="15"/>
      <c r="KJI68" s="15"/>
      <c r="KJJ68" s="15"/>
      <c r="KJK68" s="15"/>
      <c r="KJL68" s="15"/>
      <c r="KJM68" s="15"/>
      <c r="KJN68" s="15"/>
      <c r="KJO68" s="15"/>
      <c r="KJP68" s="15"/>
      <c r="KJQ68" s="15"/>
      <c r="KJR68" s="15"/>
      <c r="KJS68" s="15"/>
      <c r="KJT68" s="15"/>
      <c r="KJU68" s="15"/>
      <c r="KJV68" s="15"/>
      <c r="KJW68" s="15"/>
      <c r="KJX68" s="15"/>
      <c r="KJY68" s="15"/>
      <c r="KJZ68" s="15"/>
      <c r="KKA68" s="15"/>
      <c r="KKB68" s="15"/>
      <c r="KKC68" s="15"/>
      <c r="KKD68" s="15"/>
      <c r="KKE68" s="15"/>
      <c r="KKF68" s="15"/>
      <c r="KKG68" s="15"/>
      <c r="KKH68" s="15"/>
      <c r="KKI68" s="15"/>
      <c r="KKJ68" s="15"/>
      <c r="KKK68" s="15"/>
      <c r="KKL68" s="15"/>
      <c r="KKM68" s="15"/>
      <c r="KKN68" s="15"/>
      <c r="KKO68" s="15"/>
      <c r="KKP68" s="15"/>
      <c r="KKQ68" s="15"/>
      <c r="KKR68" s="15"/>
      <c r="KKS68" s="15"/>
      <c r="KKT68" s="15"/>
      <c r="KKU68" s="15"/>
      <c r="KKV68" s="15"/>
      <c r="KKW68" s="15"/>
      <c r="KKX68" s="15"/>
      <c r="KKY68" s="15"/>
      <c r="KKZ68" s="15"/>
      <c r="KLA68" s="15"/>
      <c r="KLB68" s="15"/>
      <c r="KLC68" s="15"/>
      <c r="KLD68" s="15"/>
      <c r="KLE68" s="15"/>
      <c r="KLF68" s="15"/>
      <c r="KLG68" s="15"/>
      <c r="KLH68" s="15"/>
      <c r="KLI68" s="15"/>
      <c r="KLJ68" s="15"/>
      <c r="KLK68" s="15"/>
      <c r="KLL68" s="15"/>
      <c r="KLM68" s="15"/>
      <c r="KLN68" s="15"/>
      <c r="KLO68" s="15"/>
      <c r="KLP68" s="15"/>
      <c r="KLQ68" s="15"/>
      <c r="KLR68" s="15"/>
      <c r="KLS68" s="15"/>
      <c r="KLT68" s="15"/>
      <c r="KLU68" s="15"/>
      <c r="KLV68" s="15"/>
      <c r="KLW68" s="15"/>
      <c r="KLX68" s="15"/>
      <c r="KLY68" s="15"/>
      <c r="KLZ68" s="15"/>
      <c r="KMA68" s="15"/>
      <c r="KMB68" s="15"/>
      <c r="KMC68" s="15"/>
      <c r="KMD68" s="15"/>
      <c r="KME68" s="15"/>
      <c r="KMF68" s="15"/>
      <c r="KMG68" s="15"/>
      <c r="KMH68" s="15"/>
      <c r="KMI68" s="15"/>
      <c r="KMJ68" s="15"/>
      <c r="KMK68" s="15"/>
      <c r="KML68" s="15"/>
      <c r="KMM68" s="15"/>
      <c r="KMN68" s="15"/>
      <c r="KMO68" s="15"/>
      <c r="KMP68" s="15"/>
      <c r="KMQ68" s="15"/>
      <c r="KMR68" s="15"/>
      <c r="KMS68" s="15"/>
      <c r="KMT68" s="15"/>
      <c r="KMU68" s="15"/>
      <c r="KMV68" s="15"/>
      <c r="KMW68" s="15"/>
      <c r="KMX68" s="15"/>
      <c r="KMY68" s="15"/>
      <c r="KMZ68" s="15"/>
      <c r="KNA68" s="15"/>
      <c r="KNB68" s="15"/>
      <c r="KNC68" s="15"/>
      <c r="KND68" s="15"/>
      <c r="KNE68" s="15"/>
      <c r="KNF68" s="15"/>
      <c r="KNG68" s="15"/>
      <c r="KNH68" s="15"/>
      <c r="KNI68" s="15"/>
      <c r="KNJ68" s="15"/>
      <c r="KNK68" s="15"/>
      <c r="KNL68" s="15"/>
      <c r="KNM68" s="15"/>
      <c r="KNN68" s="15"/>
      <c r="KNO68" s="15"/>
      <c r="KNP68" s="15"/>
      <c r="KNQ68" s="15"/>
      <c r="KNR68" s="15"/>
      <c r="KNS68" s="15"/>
      <c r="KNT68" s="15"/>
      <c r="KNU68" s="15"/>
      <c r="KNV68" s="15"/>
      <c r="KNW68" s="15"/>
      <c r="KNX68" s="15"/>
      <c r="KNY68" s="15"/>
      <c r="KNZ68" s="15"/>
      <c r="KOA68" s="15"/>
      <c r="KOB68" s="15"/>
      <c r="KOC68" s="15"/>
      <c r="KOD68" s="15"/>
      <c r="KOE68" s="15"/>
      <c r="KOF68" s="15"/>
      <c r="KOG68" s="15"/>
      <c r="KOH68" s="15"/>
      <c r="KOI68" s="15"/>
      <c r="KOJ68" s="15"/>
      <c r="KOK68" s="15"/>
      <c r="KOL68" s="15"/>
      <c r="KOM68" s="15"/>
      <c r="KON68" s="15"/>
      <c r="KOO68" s="15"/>
      <c r="KOP68" s="15"/>
      <c r="KOQ68" s="15"/>
      <c r="KOR68" s="15"/>
      <c r="KOS68" s="15"/>
      <c r="KOT68" s="15"/>
      <c r="KOU68" s="15"/>
      <c r="KOV68" s="15"/>
      <c r="KOW68" s="15"/>
      <c r="KOX68" s="15"/>
      <c r="KOY68" s="15"/>
      <c r="KOZ68" s="15"/>
      <c r="KPA68" s="15"/>
      <c r="KPB68" s="15"/>
      <c r="KPC68" s="15"/>
      <c r="KPD68" s="15"/>
      <c r="KPE68" s="15"/>
      <c r="KPF68" s="15"/>
      <c r="KPG68" s="15"/>
      <c r="KPH68" s="15"/>
      <c r="KPI68" s="15"/>
      <c r="KPJ68" s="15"/>
      <c r="KPK68" s="15"/>
      <c r="KPL68" s="15"/>
      <c r="KPM68" s="15"/>
      <c r="KPN68" s="15"/>
      <c r="KPO68" s="15"/>
      <c r="KPP68" s="15"/>
      <c r="KPQ68" s="15"/>
      <c r="KPR68" s="15"/>
      <c r="KPS68" s="15"/>
      <c r="KPT68" s="15"/>
      <c r="KPU68" s="15"/>
      <c r="KPV68" s="15"/>
      <c r="KPW68" s="15"/>
      <c r="KPX68" s="15"/>
      <c r="KPY68" s="15"/>
      <c r="KPZ68" s="15"/>
      <c r="KQA68" s="15"/>
      <c r="KQB68" s="15"/>
      <c r="KQC68" s="15"/>
      <c r="KQD68" s="15"/>
      <c r="KQE68" s="15"/>
      <c r="KQF68" s="15"/>
      <c r="KQG68" s="15"/>
      <c r="KQH68" s="15"/>
      <c r="KQI68" s="15"/>
      <c r="KQJ68" s="15"/>
      <c r="KQK68" s="15"/>
      <c r="KQL68" s="15"/>
      <c r="KQM68" s="15"/>
      <c r="KQN68" s="15"/>
      <c r="KQO68" s="15"/>
      <c r="KQP68" s="15"/>
      <c r="KQQ68" s="15"/>
      <c r="KQR68" s="15"/>
      <c r="KQS68" s="15"/>
      <c r="KQT68" s="15"/>
      <c r="KQU68" s="15"/>
      <c r="KQV68" s="15"/>
      <c r="KQW68" s="15"/>
      <c r="KQX68" s="15"/>
      <c r="KQY68" s="15"/>
      <c r="KQZ68" s="15"/>
      <c r="KRA68" s="15"/>
      <c r="KRB68" s="15"/>
      <c r="KRC68" s="15"/>
      <c r="KRD68" s="15"/>
      <c r="KRE68" s="15"/>
      <c r="KRF68" s="15"/>
      <c r="KRG68" s="15"/>
      <c r="KRH68" s="15"/>
      <c r="KRI68" s="15"/>
      <c r="KRJ68" s="15"/>
      <c r="KRK68" s="15"/>
      <c r="KRL68" s="15"/>
      <c r="KRM68" s="15"/>
      <c r="KRN68" s="15"/>
      <c r="KRO68" s="15"/>
      <c r="KRP68" s="15"/>
      <c r="KRQ68" s="15"/>
      <c r="KRR68" s="15"/>
      <c r="KRS68" s="15"/>
      <c r="KRT68" s="15"/>
      <c r="KRU68" s="15"/>
      <c r="KRV68" s="15"/>
      <c r="KRW68" s="15"/>
      <c r="KRX68" s="15"/>
      <c r="KRY68" s="15"/>
      <c r="KRZ68" s="15"/>
      <c r="KSA68" s="15"/>
      <c r="KSB68" s="15"/>
      <c r="KSC68" s="15"/>
      <c r="KSD68" s="15"/>
      <c r="KSE68" s="15"/>
      <c r="KSF68" s="15"/>
      <c r="KSG68" s="15"/>
      <c r="KSH68" s="15"/>
      <c r="KSI68" s="15"/>
      <c r="KSJ68" s="15"/>
      <c r="KSK68" s="15"/>
      <c r="KSL68" s="15"/>
      <c r="KSM68" s="15"/>
      <c r="KSN68" s="15"/>
      <c r="KSO68" s="15"/>
      <c r="KSP68" s="15"/>
      <c r="KSQ68" s="15"/>
      <c r="KSR68" s="15"/>
      <c r="KSS68" s="15"/>
      <c r="KST68" s="15"/>
      <c r="KSU68" s="15"/>
      <c r="KSV68" s="15"/>
      <c r="KSW68" s="15"/>
      <c r="KSX68" s="15"/>
      <c r="KSY68" s="15"/>
      <c r="KSZ68" s="15"/>
      <c r="KTA68" s="15"/>
      <c r="KTB68" s="15"/>
      <c r="KTC68" s="15"/>
      <c r="KTD68" s="15"/>
      <c r="KTE68" s="15"/>
      <c r="KTF68" s="15"/>
      <c r="KTG68" s="15"/>
      <c r="KTH68" s="15"/>
      <c r="KTI68" s="15"/>
      <c r="KTJ68" s="15"/>
      <c r="KTK68" s="15"/>
      <c r="KTL68" s="15"/>
      <c r="KTM68" s="15"/>
      <c r="KTN68" s="15"/>
      <c r="KTO68" s="15"/>
      <c r="KTP68" s="15"/>
      <c r="KTQ68" s="15"/>
      <c r="KTR68" s="15"/>
      <c r="KTS68" s="15"/>
      <c r="KTT68" s="15"/>
      <c r="KTU68" s="15"/>
      <c r="KTV68" s="15"/>
      <c r="KTW68" s="15"/>
      <c r="KTX68" s="15"/>
      <c r="KTY68" s="15"/>
      <c r="KTZ68" s="15"/>
      <c r="KUA68" s="15"/>
      <c r="KUB68" s="15"/>
      <c r="KUC68" s="15"/>
      <c r="KUD68" s="15"/>
      <c r="KUE68" s="15"/>
      <c r="KUF68" s="15"/>
      <c r="KUG68" s="15"/>
      <c r="KUH68" s="15"/>
      <c r="KUI68" s="15"/>
      <c r="KUJ68" s="15"/>
      <c r="KUK68" s="15"/>
      <c r="KUL68" s="15"/>
      <c r="KUM68" s="15"/>
      <c r="KUN68" s="15"/>
      <c r="KUO68" s="15"/>
      <c r="KUP68" s="15"/>
      <c r="KUQ68" s="15"/>
      <c r="KUR68" s="15"/>
      <c r="KUS68" s="15"/>
      <c r="KUT68" s="15"/>
      <c r="KUU68" s="15"/>
      <c r="KUV68" s="15"/>
      <c r="KUW68" s="15"/>
      <c r="KUX68" s="15"/>
      <c r="KUY68" s="15"/>
      <c r="KUZ68" s="15"/>
      <c r="KVA68" s="15"/>
      <c r="KVB68" s="15"/>
      <c r="KVC68" s="15"/>
      <c r="KVD68" s="15"/>
      <c r="KVE68" s="15"/>
      <c r="KVF68" s="15"/>
      <c r="KVG68" s="15"/>
      <c r="KVH68" s="15"/>
      <c r="KVI68" s="15"/>
      <c r="KVJ68" s="15"/>
      <c r="KVK68" s="15"/>
      <c r="KVL68" s="15"/>
      <c r="KVM68" s="15"/>
      <c r="KVN68" s="15"/>
      <c r="KVO68" s="15"/>
      <c r="KVP68" s="15"/>
      <c r="KVQ68" s="15"/>
      <c r="KVR68" s="15"/>
      <c r="KVS68" s="15"/>
      <c r="KVT68" s="15"/>
      <c r="KVU68" s="15"/>
      <c r="KVV68" s="15"/>
      <c r="KVW68" s="15"/>
      <c r="KVX68" s="15"/>
      <c r="KVY68" s="15"/>
      <c r="KVZ68" s="15"/>
      <c r="KWA68" s="15"/>
      <c r="KWB68" s="15"/>
      <c r="KWC68" s="15"/>
      <c r="KWD68" s="15"/>
      <c r="KWE68" s="15"/>
      <c r="KWF68" s="15"/>
      <c r="KWG68" s="15"/>
      <c r="KWH68" s="15"/>
      <c r="KWI68" s="15"/>
      <c r="KWJ68" s="15"/>
      <c r="KWK68" s="15"/>
      <c r="KWL68" s="15"/>
      <c r="KWM68" s="15"/>
      <c r="KWN68" s="15"/>
      <c r="KWO68" s="15"/>
      <c r="KWP68" s="15"/>
      <c r="KWQ68" s="15"/>
      <c r="KWR68" s="15"/>
      <c r="KWS68" s="15"/>
      <c r="KWT68" s="15"/>
      <c r="KWU68" s="15"/>
      <c r="KWV68" s="15"/>
      <c r="KWW68" s="15"/>
      <c r="KWX68" s="15"/>
      <c r="KWY68" s="15"/>
      <c r="KWZ68" s="15"/>
      <c r="KXA68" s="15"/>
      <c r="KXB68" s="15"/>
      <c r="KXC68" s="15"/>
      <c r="KXD68" s="15"/>
      <c r="KXE68" s="15"/>
      <c r="KXF68" s="15"/>
      <c r="KXG68" s="15"/>
      <c r="KXH68" s="15"/>
      <c r="KXI68" s="15"/>
      <c r="KXJ68" s="15"/>
      <c r="KXK68" s="15"/>
      <c r="KXL68" s="15"/>
      <c r="KXM68" s="15"/>
      <c r="KXN68" s="15"/>
      <c r="KXO68" s="15"/>
      <c r="KXP68" s="15"/>
      <c r="KXQ68" s="15"/>
      <c r="KXR68" s="15"/>
      <c r="KXS68" s="15"/>
      <c r="KXT68" s="15"/>
      <c r="KXU68" s="15"/>
      <c r="KXV68" s="15"/>
      <c r="KXW68" s="15"/>
      <c r="KXX68" s="15"/>
      <c r="KXY68" s="15"/>
      <c r="KXZ68" s="15"/>
      <c r="KYA68" s="15"/>
      <c r="KYB68" s="15"/>
      <c r="KYC68" s="15"/>
      <c r="KYD68" s="15"/>
      <c r="KYE68" s="15"/>
      <c r="KYF68" s="15"/>
      <c r="KYG68" s="15"/>
      <c r="KYH68" s="15"/>
      <c r="KYI68" s="15"/>
      <c r="KYJ68" s="15"/>
      <c r="KYK68" s="15"/>
      <c r="KYL68" s="15"/>
      <c r="KYM68" s="15"/>
      <c r="KYN68" s="15"/>
      <c r="KYO68" s="15"/>
      <c r="KYP68" s="15"/>
      <c r="KYQ68" s="15"/>
      <c r="KYR68" s="15"/>
      <c r="KYS68" s="15"/>
      <c r="KYT68" s="15"/>
      <c r="KYU68" s="15"/>
      <c r="KYV68" s="15"/>
      <c r="KYW68" s="15"/>
      <c r="KYX68" s="15"/>
      <c r="KYY68" s="15"/>
      <c r="KYZ68" s="15"/>
      <c r="KZA68" s="15"/>
      <c r="KZB68" s="15"/>
      <c r="KZC68" s="15"/>
      <c r="KZD68" s="15"/>
      <c r="KZE68" s="15"/>
      <c r="KZF68" s="15"/>
      <c r="KZG68" s="15"/>
      <c r="KZH68" s="15"/>
      <c r="KZI68" s="15"/>
      <c r="KZJ68" s="15"/>
      <c r="KZK68" s="15"/>
      <c r="KZL68" s="15"/>
      <c r="KZM68" s="15"/>
      <c r="KZN68" s="15"/>
      <c r="KZO68" s="15"/>
      <c r="KZP68" s="15"/>
      <c r="KZQ68" s="15"/>
      <c r="KZR68" s="15"/>
      <c r="KZS68" s="15"/>
      <c r="KZT68" s="15"/>
      <c r="KZU68" s="15"/>
      <c r="KZV68" s="15"/>
      <c r="KZW68" s="15"/>
      <c r="KZX68" s="15"/>
      <c r="KZY68" s="15"/>
      <c r="KZZ68" s="15"/>
      <c r="LAA68" s="15"/>
      <c r="LAB68" s="15"/>
      <c r="LAC68" s="15"/>
      <c r="LAD68" s="15"/>
      <c r="LAE68" s="15"/>
      <c r="LAF68" s="15"/>
      <c r="LAG68" s="15"/>
      <c r="LAH68" s="15"/>
      <c r="LAI68" s="15"/>
      <c r="LAJ68" s="15"/>
      <c r="LAK68" s="15"/>
      <c r="LAL68" s="15"/>
      <c r="LAM68" s="15"/>
      <c r="LAN68" s="15"/>
      <c r="LAO68" s="15"/>
      <c r="LAP68" s="15"/>
      <c r="LAQ68" s="15"/>
      <c r="LAR68" s="15"/>
      <c r="LAS68" s="15"/>
      <c r="LAT68" s="15"/>
      <c r="LAU68" s="15"/>
      <c r="LAV68" s="15"/>
      <c r="LAW68" s="15"/>
      <c r="LAX68" s="15"/>
      <c r="LAY68" s="15"/>
      <c r="LAZ68" s="15"/>
      <c r="LBA68" s="15"/>
      <c r="LBB68" s="15"/>
      <c r="LBC68" s="15"/>
      <c r="LBD68" s="15"/>
      <c r="LBE68" s="15"/>
      <c r="LBF68" s="15"/>
      <c r="LBG68" s="15"/>
      <c r="LBH68" s="15"/>
      <c r="LBI68" s="15"/>
      <c r="LBJ68" s="15"/>
      <c r="LBK68" s="15"/>
      <c r="LBL68" s="15"/>
      <c r="LBM68" s="15"/>
      <c r="LBN68" s="15"/>
      <c r="LBO68" s="15"/>
      <c r="LBP68" s="15"/>
      <c r="LBQ68" s="15"/>
      <c r="LBR68" s="15"/>
      <c r="LBS68" s="15"/>
      <c r="LBT68" s="15"/>
      <c r="LBU68" s="15"/>
      <c r="LBV68" s="15"/>
      <c r="LBW68" s="15"/>
      <c r="LBX68" s="15"/>
      <c r="LBY68" s="15"/>
      <c r="LBZ68" s="15"/>
      <c r="LCA68" s="15"/>
      <c r="LCB68" s="15"/>
      <c r="LCC68" s="15"/>
      <c r="LCD68" s="15"/>
      <c r="LCE68" s="15"/>
      <c r="LCF68" s="15"/>
      <c r="LCG68" s="15"/>
      <c r="LCH68" s="15"/>
      <c r="LCI68" s="15"/>
      <c r="LCJ68" s="15"/>
      <c r="LCK68" s="15"/>
      <c r="LCL68" s="15"/>
      <c r="LCM68" s="15"/>
      <c r="LCN68" s="15"/>
      <c r="LCO68" s="15"/>
      <c r="LCP68" s="15"/>
      <c r="LCQ68" s="15"/>
      <c r="LCR68" s="15"/>
      <c r="LCS68" s="15"/>
      <c r="LCT68" s="15"/>
      <c r="LCU68" s="15"/>
      <c r="LCV68" s="15"/>
      <c r="LCW68" s="15"/>
      <c r="LCX68" s="15"/>
      <c r="LCY68" s="15"/>
      <c r="LCZ68" s="15"/>
      <c r="LDA68" s="15"/>
      <c r="LDB68" s="15"/>
      <c r="LDC68" s="15"/>
      <c r="LDD68" s="15"/>
      <c r="LDE68" s="15"/>
      <c r="LDF68" s="15"/>
      <c r="LDG68" s="15"/>
      <c r="LDH68" s="15"/>
      <c r="LDI68" s="15"/>
      <c r="LDJ68" s="15"/>
      <c r="LDK68" s="15"/>
      <c r="LDL68" s="15"/>
      <c r="LDM68" s="15"/>
      <c r="LDN68" s="15"/>
      <c r="LDO68" s="15"/>
      <c r="LDP68" s="15"/>
      <c r="LDQ68" s="15"/>
      <c r="LDR68" s="15"/>
      <c r="LDS68" s="15"/>
      <c r="LDT68" s="15"/>
      <c r="LDU68" s="15"/>
      <c r="LDV68" s="15"/>
      <c r="LDW68" s="15"/>
      <c r="LDX68" s="15"/>
      <c r="LDY68" s="15"/>
      <c r="LDZ68" s="15"/>
      <c r="LEA68" s="15"/>
      <c r="LEB68" s="15"/>
      <c r="LEC68" s="15"/>
      <c r="LED68" s="15"/>
      <c r="LEE68" s="15"/>
      <c r="LEF68" s="15"/>
      <c r="LEG68" s="15"/>
      <c r="LEH68" s="15"/>
      <c r="LEI68" s="15"/>
      <c r="LEJ68" s="15"/>
      <c r="LEK68" s="15"/>
      <c r="LEL68" s="15"/>
      <c r="LEM68" s="15"/>
      <c r="LEN68" s="15"/>
      <c r="LEO68" s="15"/>
      <c r="LEP68" s="15"/>
      <c r="LEQ68" s="15"/>
      <c r="LER68" s="15"/>
      <c r="LES68" s="15"/>
      <c r="LET68" s="15"/>
      <c r="LEU68" s="15"/>
      <c r="LEV68" s="15"/>
      <c r="LEW68" s="15"/>
      <c r="LEX68" s="15"/>
      <c r="LEY68" s="15"/>
      <c r="LEZ68" s="15"/>
      <c r="LFA68" s="15"/>
      <c r="LFB68" s="15"/>
      <c r="LFC68" s="15"/>
      <c r="LFD68" s="15"/>
      <c r="LFE68" s="15"/>
      <c r="LFF68" s="15"/>
      <c r="LFG68" s="15"/>
      <c r="LFH68" s="15"/>
      <c r="LFI68" s="15"/>
      <c r="LFJ68" s="15"/>
      <c r="LFK68" s="15"/>
      <c r="LFL68" s="15"/>
      <c r="LFM68" s="15"/>
      <c r="LFN68" s="15"/>
      <c r="LFO68" s="15"/>
      <c r="LFP68" s="15"/>
      <c r="LFQ68" s="15"/>
      <c r="LFR68" s="15"/>
      <c r="LFS68" s="15"/>
      <c r="LFT68" s="15"/>
      <c r="LFU68" s="15"/>
      <c r="LFV68" s="15"/>
      <c r="LFW68" s="15"/>
      <c r="LFX68" s="15"/>
      <c r="LFY68" s="15"/>
      <c r="LFZ68" s="15"/>
      <c r="LGA68" s="15"/>
      <c r="LGB68" s="15"/>
      <c r="LGC68" s="15"/>
      <c r="LGD68" s="15"/>
      <c r="LGE68" s="15"/>
      <c r="LGF68" s="15"/>
      <c r="LGG68" s="15"/>
      <c r="LGH68" s="15"/>
      <c r="LGI68" s="15"/>
      <c r="LGJ68" s="15"/>
      <c r="LGK68" s="15"/>
      <c r="LGL68" s="15"/>
      <c r="LGM68" s="15"/>
      <c r="LGN68" s="15"/>
      <c r="LGO68" s="15"/>
      <c r="LGP68" s="15"/>
      <c r="LGQ68" s="15"/>
      <c r="LGR68" s="15"/>
      <c r="LGS68" s="15"/>
      <c r="LGT68" s="15"/>
      <c r="LGU68" s="15"/>
      <c r="LGV68" s="15"/>
      <c r="LGW68" s="15"/>
      <c r="LGX68" s="15"/>
      <c r="LGY68" s="15"/>
      <c r="LGZ68" s="15"/>
      <c r="LHA68" s="15"/>
      <c r="LHB68" s="15"/>
      <c r="LHC68" s="15"/>
      <c r="LHD68" s="15"/>
      <c r="LHE68" s="15"/>
      <c r="LHF68" s="15"/>
      <c r="LHG68" s="15"/>
      <c r="LHH68" s="15"/>
      <c r="LHI68" s="15"/>
      <c r="LHJ68" s="15"/>
      <c r="LHK68" s="15"/>
      <c r="LHL68" s="15"/>
      <c r="LHM68" s="15"/>
      <c r="LHN68" s="15"/>
      <c r="LHO68" s="15"/>
      <c r="LHP68" s="15"/>
      <c r="LHQ68" s="15"/>
      <c r="LHR68" s="15"/>
      <c r="LHS68" s="15"/>
      <c r="LHT68" s="15"/>
      <c r="LHU68" s="15"/>
      <c r="LHV68" s="15"/>
      <c r="LHW68" s="15"/>
      <c r="LHX68" s="15"/>
      <c r="LHY68" s="15"/>
      <c r="LHZ68" s="15"/>
      <c r="LIA68" s="15"/>
      <c r="LIB68" s="15"/>
      <c r="LIC68" s="15"/>
      <c r="LID68" s="15"/>
      <c r="LIE68" s="15"/>
      <c r="LIF68" s="15"/>
      <c r="LIG68" s="15"/>
      <c r="LIH68" s="15"/>
      <c r="LII68" s="15"/>
      <c r="LIJ68" s="15"/>
      <c r="LIK68" s="15"/>
      <c r="LIL68" s="15"/>
      <c r="LIM68" s="15"/>
      <c r="LIN68" s="15"/>
      <c r="LIO68" s="15"/>
      <c r="LIP68" s="15"/>
      <c r="LIQ68" s="15"/>
      <c r="LIR68" s="15"/>
      <c r="LIS68" s="15"/>
      <c r="LIT68" s="15"/>
      <c r="LIU68" s="15"/>
      <c r="LIV68" s="15"/>
      <c r="LIW68" s="15"/>
      <c r="LIX68" s="15"/>
      <c r="LIY68" s="15"/>
      <c r="LIZ68" s="15"/>
      <c r="LJA68" s="15"/>
      <c r="LJB68" s="15"/>
      <c r="LJC68" s="15"/>
      <c r="LJD68" s="15"/>
      <c r="LJE68" s="15"/>
      <c r="LJF68" s="15"/>
      <c r="LJG68" s="15"/>
      <c r="LJH68" s="15"/>
      <c r="LJI68" s="15"/>
      <c r="LJJ68" s="15"/>
      <c r="LJK68" s="15"/>
      <c r="LJL68" s="15"/>
      <c r="LJM68" s="15"/>
      <c r="LJN68" s="15"/>
      <c r="LJO68" s="15"/>
      <c r="LJP68" s="15"/>
      <c r="LJQ68" s="15"/>
      <c r="LJR68" s="15"/>
      <c r="LJS68" s="15"/>
      <c r="LJT68" s="15"/>
      <c r="LJU68" s="15"/>
      <c r="LJV68" s="15"/>
      <c r="LJW68" s="15"/>
      <c r="LJX68" s="15"/>
      <c r="LJY68" s="15"/>
      <c r="LJZ68" s="15"/>
      <c r="LKA68" s="15"/>
      <c r="LKB68" s="15"/>
      <c r="LKC68" s="15"/>
      <c r="LKD68" s="15"/>
      <c r="LKE68" s="15"/>
      <c r="LKF68" s="15"/>
      <c r="LKG68" s="15"/>
      <c r="LKH68" s="15"/>
      <c r="LKI68" s="15"/>
      <c r="LKJ68" s="15"/>
      <c r="LKK68" s="15"/>
      <c r="LKL68" s="15"/>
      <c r="LKM68" s="15"/>
      <c r="LKN68" s="15"/>
      <c r="LKO68" s="15"/>
      <c r="LKP68" s="15"/>
      <c r="LKQ68" s="15"/>
      <c r="LKR68" s="15"/>
      <c r="LKS68" s="15"/>
      <c r="LKT68" s="15"/>
      <c r="LKU68" s="15"/>
      <c r="LKV68" s="15"/>
      <c r="LKW68" s="15"/>
      <c r="LKX68" s="15"/>
      <c r="LKY68" s="15"/>
      <c r="LKZ68" s="15"/>
      <c r="LLA68" s="15"/>
      <c r="LLB68" s="15"/>
      <c r="LLC68" s="15"/>
      <c r="LLD68" s="15"/>
      <c r="LLE68" s="15"/>
      <c r="LLF68" s="15"/>
      <c r="LLG68" s="15"/>
      <c r="LLH68" s="15"/>
      <c r="LLI68" s="15"/>
      <c r="LLJ68" s="15"/>
      <c r="LLK68" s="15"/>
      <c r="LLL68" s="15"/>
      <c r="LLM68" s="15"/>
      <c r="LLN68" s="15"/>
      <c r="LLO68" s="15"/>
      <c r="LLP68" s="15"/>
      <c r="LLQ68" s="15"/>
      <c r="LLR68" s="15"/>
      <c r="LLS68" s="15"/>
      <c r="LLT68" s="15"/>
      <c r="LLU68" s="15"/>
      <c r="LLV68" s="15"/>
      <c r="LLW68" s="15"/>
      <c r="LLX68" s="15"/>
      <c r="LLY68" s="15"/>
      <c r="LLZ68" s="15"/>
      <c r="LMA68" s="15"/>
      <c r="LMB68" s="15"/>
      <c r="LMC68" s="15"/>
      <c r="LMD68" s="15"/>
      <c r="LME68" s="15"/>
      <c r="LMF68" s="15"/>
      <c r="LMG68" s="15"/>
      <c r="LMH68" s="15"/>
      <c r="LMI68" s="15"/>
      <c r="LMJ68" s="15"/>
      <c r="LMK68" s="15"/>
      <c r="LML68" s="15"/>
      <c r="LMM68" s="15"/>
      <c r="LMN68" s="15"/>
      <c r="LMO68" s="15"/>
      <c r="LMP68" s="15"/>
      <c r="LMQ68" s="15"/>
      <c r="LMR68" s="15"/>
      <c r="LMS68" s="15"/>
      <c r="LMT68" s="15"/>
      <c r="LMU68" s="15"/>
      <c r="LMV68" s="15"/>
      <c r="LMW68" s="15"/>
      <c r="LMX68" s="15"/>
      <c r="LMY68" s="15"/>
      <c r="LMZ68" s="15"/>
      <c r="LNA68" s="15"/>
      <c r="LNB68" s="15"/>
      <c r="LNC68" s="15"/>
      <c r="LND68" s="15"/>
      <c r="LNE68" s="15"/>
      <c r="LNF68" s="15"/>
      <c r="LNG68" s="15"/>
      <c r="LNH68" s="15"/>
      <c r="LNI68" s="15"/>
      <c r="LNJ68" s="15"/>
      <c r="LNK68" s="15"/>
      <c r="LNL68" s="15"/>
      <c r="LNM68" s="15"/>
      <c r="LNN68" s="15"/>
      <c r="LNO68" s="15"/>
      <c r="LNP68" s="15"/>
      <c r="LNQ68" s="15"/>
      <c r="LNR68" s="15"/>
      <c r="LNS68" s="15"/>
      <c r="LNT68" s="15"/>
      <c r="LNU68" s="15"/>
      <c r="LNV68" s="15"/>
      <c r="LNW68" s="15"/>
      <c r="LNX68" s="15"/>
      <c r="LNY68" s="15"/>
      <c r="LNZ68" s="15"/>
      <c r="LOA68" s="15"/>
      <c r="LOB68" s="15"/>
      <c r="LOC68" s="15"/>
      <c r="LOD68" s="15"/>
      <c r="LOE68" s="15"/>
      <c r="LOF68" s="15"/>
      <c r="LOG68" s="15"/>
      <c r="LOH68" s="15"/>
      <c r="LOI68" s="15"/>
      <c r="LOJ68" s="15"/>
      <c r="LOK68" s="15"/>
      <c r="LOL68" s="15"/>
      <c r="LOM68" s="15"/>
      <c r="LON68" s="15"/>
      <c r="LOO68" s="15"/>
      <c r="LOP68" s="15"/>
      <c r="LOQ68" s="15"/>
      <c r="LOR68" s="15"/>
      <c r="LOS68" s="15"/>
      <c r="LOT68" s="15"/>
      <c r="LOU68" s="15"/>
      <c r="LOV68" s="15"/>
      <c r="LOW68" s="15"/>
      <c r="LOX68" s="15"/>
      <c r="LOY68" s="15"/>
      <c r="LOZ68" s="15"/>
      <c r="LPA68" s="15"/>
      <c r="LPB68" s="15"/>
      <c r="LPC68" s="15"/>
      <c r="LPD68" s="15"/>
      <c r="LPE68" s="15"/>
      <c r="LPF68" s="15"/>
      <c r="LPG68" s="15"/>
      <c r="LPH68" s="15"/>
      <c r="LPI68" s="15"/>
      <c r="LPJ68" s="15"/>
      <c r="LPK68" s="15"/>
      <c r="LPL68" s="15"/>
      <c r="LPM68" s="15"/>
      <c r="LPN68" s="15"/>
      <c r="LPO68" s="15"/>
      <c r="LPP68" s="15"/>
      <c r="LPQ68" s="15"/>
      <c r="LPR68" s="15"/>
      <c r="LPS68" s="15"/>
      <c r="LPT68" s="15"/>
      <c r="LPU68" s="15"/>
      <c r="LPV68" s="15"/>
      <c r="LPW68" s="15"/>
      <c r="LPX68" s="15"/>
      <c r="LPY68" s="15"/>
      <c r="LPZ68" s="15"/>
      <c r="LQA68" s="15"/>
      <c r="LQB68" s="15"/>
      <c r="LQC68" s="15"/>
      <c r="LQD68" s="15"/>
      <c r="LQE68" s="15"/>
      <c r="LQF68" s="15"/>
      <c r="LQG68" s="15"/>
      <c r="LQH68" s="15"/>
      <c r="LQI68" s="15"/>
      <c r="LQJ68" s="15"/>
      <c r="LQK68" s="15"/>
      <c r="LQL68" s="15"/>
      <c r="LQM68" s="15"/>
      <c r="LQN68" s="15"/>
      <c r="LQO68" s="15"/>
      <c r="LQP68" s="15"/>
      <c r="LQQ68" s="15"/>
      <c r="LQR68" s="15"/>
      <c r="LQS68" s="15"/>
      <c r="LQT68" s="15"/>
      <c r="LQU68" s="15"/>
      <c r="LQV68" s="15"/>
      <c r="LQW68" s="15"/>
      <c r="LQX68" s="15"/>
      <c r="LQY68" s="15"/>
      <c r="LQZ68" s="15"/>
      <c r="LRA68" s="15"/>
      <c r="LRB68" s="15"/>
      <c r="LRC68" s="15"/>
      <c r="LRD68" s="15"/>
      <c r="LRE68" s="15"/>
      <c r="LRF68" s="15"/>
      <c r="LRG68" s="15"/>
      <c r="LRH68" s="15"/>
      <c r="LRI68" s="15"/>
      <c r="LRJ68" s="15"/>
      <c r="LRK68" s="15"/>
      <c r="LRL68" s="15"/>
      <c r="LRM68" s="15"/>
      <c r="LRN68" s="15"/>
      <c r="LRO68" s="15"/>
      <c r="LRP68" s="15"/>
      <c r="LRQ68" s="15"/>
      <c r="LRR68" s="15"/>
      <c r="LRS68" s="15"/>
      <c r="LRT68" s="15"/>
      <c r="LRU68" s="15"/>
      <c r="LRV68" s="15"/>
      <c r="LRW68" s="15"/>
      <c r="LRX68" s="15"/>
      <c r="LRY68" s="15"/>
      <c r="LRZ68" s="15"/>
      <c r="LSA68" s="15"/>
      <c r="LSB68" s="15"/>
      <c r="LSC68" s="15"/>
      <c r="LSD68" s="15"/>
      <c r="LSE68" s="15"/>
      <c r="LSF68" s="15"/>
      <c r="LSG68" s="15"/>
      <c r="LSH68" s="15"/>
      <c r="LSI68" s="15"/>
      <c r="LSJ68" s="15"/>
      <c r="LSK68" s="15"/>
      <c r="LSL68" s="15"/>
      <c r="LSM68" s="15"/>
      <c r="LSN68" s="15"/>
      <c r="LSO68" s="15"/>
      <c r="LSP68" s="15"/>
      <c r="LSQ68" s="15"/>
      <c r="LSR68" s="15"/>
      <c r="LSS68" s="15"/>
      <c r="LST68" s="15"/>
      <c r="LSU68" s="15"/>
      <c r="LSV68" s="15"/>
      <c r="LSW68" s="15"/>
      <c r="LSX68" s="15"/>
      <c r="LSY68" s="15"/>
      <c r="LSZ68" s="15"/>
      <c r="LTA68" s="15"/>
      <c r="LTB68" s="15"/>
      <c r="LTC68" s="15"/>
      <c r="LTD68" s="15"/>
      <c r="LTE68" s="15"/>
      <c r="LTF68" s="15"/>
      <c r="LTG68" s="15"/>
      <c r="LTH68" s="15"/>
      <c r="LTI68" s="15"/>
      <c r="LTJ68" s="15"/>
      <c r="LTK68" s="15"/>
      <c r="LTL68" s="15"/>
      <c r="LTM68" s="15"/>
      <c r="LTN68" s="15"/>
      <c r="LTO68" s="15"/>
      <c r="LTP68" s="15"/>
      <c r="LTQ68" s="15"/>
      <c r="LTR68" s="15"/>
      <c r="LTS68" s="15"/>
      <c r="LTT68" s="15"/>
      <c r="LTU68" s="15"/>
      <c r="LTV68" s="15"/>
      <c r="LTW68" s="15"/>
      <c r="LTX68" s="15"/>
      <c r="LTY68" s="15"/>
      <c r="LTZ68" s="15"/>
      <c r="LUA68" s="15"/>
      <c r="LUB68" s="15"/>
      <c r="LUC68" s="15"/>
      <c r="LUD68" s="15"/>
      <c r="LUE68" s="15"/>
      <c r="LUF68" s="15"/>
      <c r="LUG68" s="15"/>
      <c r="LUH68" s="15"/>
      <c r="LUI68" s="15"/>
      <c r="LUJ68" s="15"/>
      <c r="LUK68" s="15"/>
      <c r="LUL68" s="15"/>
      <c r="LUM68" s="15"/>
      <c r="LUN68" s="15"/>
      <c r="LUO68" s="15"/>
      <c r="LUP68" s="15"/>
      <c r="LUQ68" s="15"/>
      <c r="LUR68" s="15"/>
      <c r="LUS68" s="15"/>
      <c r="LUT68" s="15"/>
      <c r="LUU68" s="15"/>
      <c r="LUV68" s="15"/>
      <c r="LUW68" s="15"/>
      <c r="LUX68" s="15"/>
      <c r="LUY68" s="15"/>
      <c r="LUZ68" s="15"/>
      <c r="LVA68" s="15"/>
      <c r="LVB68" s="15"/>
      <c r="LVC68" s="15"/>
      <c r="LVD68" s="15"/>
      <c r="LVE68" s="15"/>
      <c r="LVF68" s="15"/>
      <c r="LVG68" s="15"/>
      <c r="LVH68" s="15"/>
      <c r="LVI68" s="15"/>
      <c r="LVJ68" s="15"/>
      <c r="LVK68" s="15"/>
      <c r="LVL68" s="15"/>
      <c r="LVM68" s="15"/>
      <c r="LVN68" s="15"/>
      <c r="LVO68" s="15"/>
      <c r="LVP68" s="15"/>
      <c r="LVQ68" s="15"/>
      <c r="LVR68" s="15"/>
      <c r="LVS68" s="15"/>
      <c r="LVT68" s="15"/>
      <c r="LVU68" s="15"/>
      <c r="LVV68" s="15"/>
      <c r="LVW68" s="15"/>
      <c r="LVX68" s="15"/>
      <c r="LVY68" s="15"/>
      <c r="LVZ68" s="15"/>
      <c r="LWA68" s="15"/>
      <c r="LWB68" s="15"/>
      <c r="LWC68" s="15"/>
      <c r="LWD68" s="15"/>
      <c r="LWE68" s="15"/>
      <c r="LWF68" s="15"/>
      <c r="LWG68" s="15"/>
      <c r="LWH68" s="15"/>
      <c r="LWI68" s="15"/>
      <c r="LWJ68" s="15"/>
      <c r="LWK68" s="15"/>
      <c r="LWL68" s="15"/>
      <c r="LWM68" s="15"/>
      <c r="LWN68" s="15"/>
      <c r="LWO68" s="15"/>
      <c r="LWP68" s="15"/>
      <c r="LWQ68" s="15"/>
      <c r="LWR68" s="15"/>
      <c r="LWS68" s="15"/>
      <c r="LWT68" s="15"/>
      <c r="LWU68" s="15"/>
      <c r="LWV68" s="15"/>
      <c r="LWW68" s="15"/>
      <c r="LWX68" s="15"/>
      <c r="LWY68" s="15"/>
      <c r="LWZ68" s="15"/>
      <c r="LXA68" s="15"/>
      <c r="LXB68" s="15"/>
      <c r="LXC68" s="15"/>
      <c r="LXD68" s="15"/>
      <c r="LXE68" s="15"/>
      <c r="LXF68" s="15"/>
      <c r="LXG68" s="15"/>
      <c r="LXH68" s="15"/>
      <c r="LXI68" s="15"/>
      <c r="LXJ68" s="15"/>
      <c r="LXK68" s="15"/>
      <c r="LXL68" s="15"/>
      <c r="LXM68" s="15"/>
      <c r="LXN68" s="15"/>
      <c r="LXO68" s="15"/>
      <c r="LXP68" s="15"/>
      <c r="LXQ68" s="15"/>
      <c r="LXR68" s="15"/>
      <c r="LXS68" s="15"/>
      <c r="LXT68" s="15"/>
      <c r="LXU68" s="15"/>
      <c r="LXV68" s="15"/>
      <c r="LXW68" s="15"/>
      <c r="LXX68" s="15"/>
      <c r="LXY68" s="15"/>
      <c r="LXZ68" s="15"/>
      <c r="LYA68" s="15"/>
      <c r="LYB68" s="15"/>
      <c r="LYC68" s="15"/>
      <c r="LYD68" s="15"/>
      <c r="LYE68" s="15"/>
      <c r="LYF68" s="15"/>
      <c r="LYG68" s="15"/>
      <c r="LYH68" s="15"/>
      <c r="LYI68" s="15"/>
      <c r="LYJ68" s="15"/>
      <c r="LYK68" s="15"/>
      <c r="LYL68" s="15"/>
      <c r="LYM68" s="15"/>
      <c r="LYN68" s="15"/>
      <c r="LYO68" s="15"/>
      <c r="LYP68" s="15"/>
      <c r="LYQ68" s="15"/>
      <c r="LYR68" s="15"/>
      <c r="LYS68" s="15"/>
      <c r="LYT68" s="15"/>
      <c r="LYU68" s="15"/>
      <c r="LYV68" s="15"/>
      <c r="LYW68" s="15"/>
      <c r="LYX68" s="15"/>
      <c r="LYY68" s="15"/>
      <c r="LYZ68" s="15"/>
      <c r="LZA68" s="15"/>
      <c r="LZB68" s="15"/>
      <c r="LZC68" s="15"/>
      <c r="LZD68" s="15"/>
      <c r="LZE68" s="15"/>
      <c r="LZF68" s="15"/>
      <c r="LZG68" s="15"/>
      <c r="LZH68" s="15"/>
      <c r="LZI68" s="15"/>
      <c r="LZJ68" s="15"/>
      <c r="LZK68" s="15"/>
      <c r="LZL68" s="15"/>
      <c r="LZM68" s="15"/>
      <c r="LZN68" s="15"/>
      <c r="LZO68" s="15"/>
      <c r="LZP68" s="15"/>
      <c r="LZQ68" s="15"/>
      <c r="LZR68" s="15"/>
      <c r="LZS68" s="15"/>
      <c r="LZT68" s="15"/>
      <c r="LZU68" s="15"/>
      <c r="LZV68" s="15"/>
      <c r="LZW68" s="15"/>
      <c r="LZX68" s="15"/>
      <c r="LZY68" s="15"/>
      <c r="LZZ68" s="15"/>
      <c r="MAA68" s="15"/>
      <c r="MAB68" s="15"/>
      <c r="MAC68" s="15"/>
      <c r="MAD68" s="15"/>
      <c r="MAE68" s="15"/>
      <c r="MAF68" s="15"/>
      <c r="MAG68" s="15"/>
      <c r="MAH68" s="15"/>
      <c r="MAI68" s="15"/>
      <c r="MAJ68" s="15"/>
      <c r="MAK68" s="15"/>
      <c r="MAL68" s="15"/>
      <c r="MAM68" s="15"/>
      <c r="MAN68" s="15"/>
      <c r="MAO68" s="15"/>
      <c r="MAP68" s="15"/>
      <c r="MAQ68" s="15"/>
      <c r="MAR68" s="15"/>
      <c r="MAS68" s="15"/>
      <c r="MAT68" s="15"/>
      <c r="MAU68" s="15"/>
      <c r="MAV68" s="15"/>
      <c r="MAW68" s="15"/>
      <c r="MAX68" s="15"/>
      <c r="MAY68" s="15"/>
      <c r="MAZ68" s="15"/>
      <c r="MBA68" s="15"/>
      <c r="MBB68" s="15"/>
      <c r="MBC68" s="15"/>
      <c r="MBD68" s="15"/>
      <c r="MBE68" s="15"/>
      <c r="MBF68" s="15"/>
      <c r="MBG68" s="15"/>
      <c r="MBH68" s="15"/>
      <c r="MBI68" s="15"/>
      <c r="MBJ68" s="15"/>
      <c r="MBK68" s="15"/>
      <c r="MBL68" s="15"/>
      <c r="MBM68" s="15"/>
      <c r="MBN68" s="15"/>
      <c r="MBO68" s="15"/>
      <c r="MBP68" s="15"/>
      <c r="MBQ68" s="15"/>
      <c r="MBR68" s="15"/>
      <c r="MBS68" s="15"/>
      <c r="MBT68" s="15"/>
      <c r="MBU68" s="15"/>
      <c r="MBV68" s="15"/>
      <c r="MBW68" s="15"/>
      <c r="MBX68" s="15"/>
      <c r="MBY68" s="15"/>
      <c r="MBZ68" s="15"/>
      <c r="MCA68" s="15"/>
      <c r="MCB68" s="15"/>
      <c r="MCC68" s="15"/>
      <c r="MCD68" s="15"/>
      <c r="MCE68" s="15"/>
      <c r="MCF68" s="15"/>
      <c r="MCG68" s="15"/>
      <c r="MCH68" s="15"/>
      <c r="MCI68" s="15"/>
      <c r="MCJ68" s="15"/>
      <c r="MCK68" s="15"/>
      <c r="MCL68" s="15"/>
      <c r="MCM68" s="15"/>
      <c r="MCN68" s="15"/>
      <c r="MCO68" s="15"/>
      <c r="MCP68" s="15"/>
      <c r="MCQ68" s="15"/>
      <c r="MCR68" s="15"/>
      <c r="MCS68" s="15"/>
      <c r="MCT68" s="15"/>
      <c r="MCU68" s="15"/>
      <c r="MCV68" s="15"/>
      <c r="MCW68" s="15"/>
      <c r="MCX68" s="15"/>
      <c r="MCY68" s="15"/>
      <c r="MCZ68" s="15"/>
      <c r="MDA68" s="15"/>
      <c r="MDB68" s="15"/>
      <c r="MDC68" s="15"/>
      <c r="MDD68" s="15"/>
      <c r="MDE68" s="15"/>
      <c r="MDF68" s="15"/>
      <c r="MDG68" s="15"/>
      <c r="MDH68" s="15"/>
      <c r="MDI68" s="15"/>
      <c r="MDJ68" s="15"/>
      <c r="MDK68" s="15"/>
      <c r="MDL68" s="15"/>
      <c r="MDM68" s="15"/>
      <c r="MDN68" s="15"/>
      <c r="MDO68" s="15"/>
      <c r="MDP68" s="15"/>
      <c r="MDQ68" s="15"/>
      <c r="MDR68" s="15"/>
      <c r="MDS68" s="15"/>
      <c r="MDT68" s="15"/>
      <c r="MDU68" s="15"/>
      <c r="MDV68" s="15"/>
      <c r="MDW68" s="15"/>
      <c r="MDX68" s="15"/>
      <c r="MDY68" s="15"/>
      <c r="MDZ68" s="15"/>
      <c r="MEA68" s="15"/>
      <c r="MEB68" s="15"/>
      <c r="MEC68" s="15"/>
      <c r="MED68" s="15"/>
      <c r="MEE68" s="15"/>
      <c r="MEF68" s="15"/>
      <c r="MEG68" s="15"/>
      <c r="MEH68" s="15"/>
      <c r="MEI68" s="15"/>
      <c r="MEJ68" s="15"/>
      <c r="MEK68" s="15"/>
      <c r="MEL68" s="15"/>
      <c r="MEM68" s="15"/>
      <c r="MEN68" s="15"/>
      <c r="MEO68" s="15"/>
      <c r="MEP68" s="15"/>
      <c r="MEQ68" s="15"/>
      <c r="MER68" s="15"/>
      <c r="MES68" s="15"/>
      <c r="MET68" s="15"/>
      <c r="MEU68" s="15"/>
      <c r="MEV68" s="15"/>
      <c r="MEW68" s="15"/>
      <c r="MEX68" s="15"/>
      <c r="MEY68" s="15"/>
      <c r="MEZ68" s="15"/>
      <c r="MFA68" s="15"/>
      <c r="MFB68" s="15"/>
      <c r="MFC68" s="15"/>
      <c r="MFD68" s="15"/>
      <c r="MFE68" s="15"/>
      <c r="MFF68" s="15"/>
      <c r="MFG68" s="15"/>
      <c r="MFH68" s="15"/>
      <c r="MFI68" s="15"/>
      <c r="MFJ68" s="15"/>
      <c r="MFK68" s="15"/>
      <c r="MFL68" s="15"/>
      <c r="MFM68" s="15"/>
      <c r="MFN68" s="15"/>
      <c r="MFO68" s="15"/>
      <c r="MFP68" s="15"/>
      <c r="MFQ68" s="15"/>
      <c r="MFR68" s="15"/>
      <c r="MFS68" s="15"/>
      <c r="MFT68" s="15"/>
      <c r="MFU68" s="15"/>
      <c r="MFV68" s="15"/>
      <c r="MFW68" s="15"/>
      <c r="MFX68" s="15"/>
      <c r="MFY68" s="15"/>
      <c r="MFZ68" s="15"/>
      <c r="MGA68" s="15"/>
      <c r="MGB68" s="15"/>
      <c r="MGC68" s="15"/>
      <c r="MGD68" s="15"/>
      <c r="MGE68" s="15"/>
      <c r="MGF68" s="15"/>
      <c r="MGG68" s="15"/>
      <c r="MGH68" s="15"/>
      <c r="MGI68" s="15"/>
      <c r="MGJ68" s="15"/>
      <c r="MGK68" s="15"/>
      <c r="MGL68" s="15"/>
      <c r="MGM68" s="15"/>
      <c r="MGN68" s="15"/>
      <c r="MGO68" s="15"/>
      <c r="MGP68" s="15"/>
      <c r="MGQ68" s="15"/>
      <c r="MGR68" s="15"/>
      <c r="MGS68" s="15"/>
      <c r="MGT68" s="15"/>
      <c r="MGU68" s="15"/>
      <c r="MGV68" s="15"/>
      <c r="MGW68" s="15"/>
      <c r="MGX68" s="15"/>
      <c r="MGY68" s="15"/>
      <c r="MGZ68" s="15"/>
      <c r="MHA68" s="15"/>
      <c r="MHB68" s="15"/>
      <c r="MHC68" s="15"/>
      <c r="MHD68" s="15"/>
      <c r="MHE68" s="15"/>
      <c r="MHF68" s="15"/>
      <c r="MHG68" s="15"/>
      <c r="MHH68" s="15"/>
      <c r="MHI68" s="15"/>
      <c r="MHJ68" s="15"/>
      <c r="MHK68" s="15"/>
      <c r="MHL68" s="15"/>
      <c r="MHM68" s="15"/>
      <c r="MHN68" s="15"/>
      <c r="MHO68" s="15"/>
      <c r="MHP68" s="15"/>
      <c r="MHQ68" s="15"/>
      <c r="MHR68" s="15"/>
      <c r="MHS68" s="15"/>
      <c r="MHT68" s="15"/>
      <c r="MHU68" s="15"/>
      <c r="MHV68" s="15"/>
      <c r="MHW68" s="15"/>
      <c r="MHX68" s="15"/>
      <c r="MHY68" s="15"/>
      <c r="MHZ68" s="15"/>
      <c r="MIA68" s="15"/>
      <c r="MIB68" s="15"/>
      <c r="MIC68" s="15"/>
      <c r="MID68" s="15"/>
      <c r="MIE68" s="15"/>
      <c r="MIF68" s="15"/>
      <c r="MIG68" s="15"/>
      <c r="MIH68" s="15"/>
      <c r="MII68" s="15"/>
      <c r="MIJ68" s="15"/>
      <c r="MIK68" s="15"/>
      <c r="MIL68" s="15"/>
      <c r="MIM68" s="15"/>
      <c r="MIN68" s="15"/>
      <c r="MIO68" s="15"/>
      <c r="MIP68" s="15"/>
      <c r="MIQ68" s="15"/>
      <c r="MIR68" s="15"/>
      <c r="MIS68" s="15"/>
      <c r="MIT68" s="15"/>
      <c r="MIU68" s="15"/>
      <c r="MIV68" s="15"/>
      <c r="MIW68" s="15"/>
      <c r="MIX68" s="15"/>
      <c r="MIY68" s="15"/>
      <c r="MIZ68" s="15"/>
      <c r="MJA68" s="15"/>
      <c r="MJB68" s="15"/>
      <c r="MJC68" s="15"/>
      <c r="MJD68" s="15"/>
      <c r="MJE68" s="15"/>
      <c r="MJF68" s="15"/>
      <c r="MJG68" s="15"/>
      <c r="MJH68" s="15"/>
      <c r="MJI68" s="15"/>
      <c r="MJJ68" s="15"/>
      <c r="MJK68" s="15"/>
      <c r="MJL68" s="15"/>
      <c r="MJM68" s="15"/>
      <c r="MJN68" s="15"/>
      <c r="MJO68" s="15"/>
      <c r="MJP68" s="15"/>
      <c r="MJQ68" s="15"/>
      <c r="MJR68" s="15"/>
      <c r="MJS68" s="15"/>
      <c r="MJT68" s="15"/>
      <c r="MJU68" s="15"/>
      <c r="MJV68" s="15"/>
      <c r="MJW68" s="15"/>
      <c r="MJX68" s="15"/>
      <c r="MJY68" s="15"/>
      <c r="MJZ68" s="15"/>
      <c r="MKA68" s="15"/>
      <c r="MKB68" s="15"/>
      <c r="MKC68" s="15"/>
      <c r="MKD68" s="15"/>
      <c r="MKE68" s="15"/>
      <c r="MKF68" s="15"/>
      <c r="MKG68" s="15"/>
      <c r="MKH68" s="15"/>
      <c r="MKI68" s="15"/>
      <c r="MKJ68" s="15"/>
      <c r="MKK68" s="15"/>
      <c r="MKL68" s="15"/>
      <c r="MKM68" s="15"/>
      <c r="MKN68" s="15"/>
      <c r="MKO68" s="15"/>
      <c r="MKP68" s="15"/>
      <c r="MKQ68" s="15"/>
      <c r="MKR68" s="15"/>
      <c r="MKS68" s="15"/>
      <c r="MKT68" s="15"/>
      <c r="MKU68" s="15"/>
      <c r="MKV68" s="15"/>
      <c r="MKW68" s="15"/>
      <c r="MKX68" s="15"/>
      <c r="MKY68" s="15"/>
      <c r="MKZ68" s="15"/>
      <c r="MLA68" s="15"/>
      <c r="MLB68" s="15"/>
      <c r="MLC68" s="15"/>
      <c r="MLD68" s="15"/>
      <c r="MLE68" s="15"/>
      <c r="MLF68" s="15"/>
      <c r="MLG68" s="15"/>
      <c r="MLH68" s="15"/>
      <c r="MLI68" s="15"/>
      <c r="MLJ68" s="15"/>
      <c r="MLK68" s="15"/>
      <c r="MLL68" s="15"/>
      <c r="MLM68" s="15"/>
      <c r="MLN68" s="15"/>
      <c r="MLO68" s="15"/>
      <c r="MLP68" s="15"/>
      <c r="MLQ68" s="15"/>
      <c r="MLR68" s="15"/>
      <c r="MLS68" s="15"/>
      <c r="MLT68" s="15"/>
      <c r="MLU68" s="15"/>
      <c r="MLV68" s="15"/>
      <c r="MLW68" s="15"/>
      <c r="MLX68" s="15"/>
      <c r="MLY68" s="15"/>
      <c r="MLZ68" s="15"/>
      <c r="MMA68" s="15"/>
      <c r="MMB68" s="15"/>
      <c r="MMC68" s="15"/>
      <c r="MMD68" s="15"/>
      <c r="MME68" s="15"/>
      <c r="MMF68" s="15"/>
      <c r="MMG68" s="15"/>
      <c r="MMH68" s="15"/>
      <c r="MMI68" s="15"/>
      <c r="MMJ68" s="15"/>
      <c r="MMK68" s="15"/>
      <c r="MML68" s="15"/>
      <c r="MMM68" s="15"/>
      <c r="MMN68" s="15"/>
      <c r="MMO68" s="15"/>
      <c r="MMP68" s="15"/>
      <c r="MMQ68" s="15"/>
      <c r="MMR68" s="15"/>
      <c r="MMS68" s="15"/>
      <c r="MMT68" s="15"/>
      <c r="MMU68" s="15"/>
      <c r="MMV68" s="15"/>
      <c r="MMW68" s="15"/>
      <c r="MMX68" s="15"/>
      <c r="MMY68" s="15"/>
      <c r="MMZ68" s="15"/>
      <c r="MNA68" s="15"/>
      <c r="MNB68" s="15"/>
      <c r="MNC68" s="15"/>
      <c r="MND68" s="15"/>
      <c r="MNE68" s="15"/>
      <c r="MNF68" s="15"/>
      <c r="MNG68" s="15"/>
      <c r="MNH68" s="15"/>
      <c r="MNI68" s="15"/>
      <c r="MNJ68" s="15"/>
      <c r="MNK68" s="15"/>
      <c r="MNL68" s="15"/>
      <c r="MNM68" s="15"/>
      <c r="MNN68" s="15"/>
      <c r="MNO68" s="15"/>
      <c r="MNP68" s="15"/>
      <c r="MNQ68" s="15"/>
      <c r="MNR68" s="15"/>
      <c r="MNS68" s="15"/>
      <c r="MNT68" s="15"/>
      <c r="MNU68" s="15"/>
      <c r="MNV68" s="15"/>
      <c r="MNW68" s="15"/>
      <c r="MNX68" s="15"/>
      <c r="MNY68" s="15"/>
      <c r="MNZ68" s="15"/>
      <c r="MOA68" s="15"/>
      <c r="MOB68" s="15"/>
      <c r="MOC68" s="15"/>
      <c r="MOD68" s="15"/>
      <c r="MOE68" s="15"/>
      <c r="MOF68" s="15"/>
      <c r="MOG68" s="15"/>
      <c r="MOH68" s="15"/>
      <c r="MOI68" s="15"/>
      <c r="MOJ68" s="15"/>
      <c r="MOK68" s="15"/>
      <c r="MOL68" s="15"/>
      <c r="MOM68" s="15"/>
      <c r="MON68" s="15"/>
      <c r="MOO68" s="15"/>
      <c r="MOP68" s="15"/>
      <c r="MOQ68" s="15"/>
      <c r="MOR68" s="15"/>
      <c r="MOS68" s="15"/>
      <c r="MOT68" s="15"/>
      <c r="MOU68" s="15"/>
      <c r="MOV68" s="15"/>
      <c r="MOW68" s="15"/>
      <c r="MOX68" s="15"/>
      <c r="MOY68" s="15"/>
      <c r="MOZ68" s="15"/>
      <c r="MPA68" s="15"/>
      <c r="MPB68" s="15"/>
      <c r="MPC68" s="15"/>
      <c r="MPD68" s="15"/>
      <c r="MPE68" s="15"/>
      <c r="MPF68" s="15"/>
      <c r="MPG68" s="15"/>
      <c r="MPH68" s="15"/>
      <c r="MPI68" s="15"/>
      <c r="MPJ68" s="15"/>
      <c r="MPK68" s="15"/>
      <c r="MPL68" s="15"/>
      <c r="MPM68" s="15"/>
      <c r="MPN68" s="15"/>
      <c r="MPO68" s="15"/>
      <c r="MPP68" s="15"/>
      <c r="MPQ68" s="15"/>
      <c r="MPR68" s="15"/>
      <c r="MPS68" s="15"/>
      <c r="MPT68" s="15"/>
      <c r="MPU68" s="15"/>
      <c r="MPV68" s="15"/>
      <c r="MPW68" s="15"/>
      <c r="MPX68" s="15"/>
      <c r="MPY68" s="15"/>
      <c r="MPZ68" s="15"/>
      <c r="MQA68" s="15"/>
      <c r="MQB68" s="15"/>
      <c r="MQC68" s="15"/>
      <c r="MQD68" s="15"/>
      <c r="MQE68" s="15"/>
      <c r="MQF68" s="15"/>
      <c r="MQG68" s="15"/>
      <c r="MQH68" s="15"/>
      <c r="MQI68" s="15"/>
      <c r="MQJ68" s="15"/>
      <c r="MQK68" s="15"/>
      <c r="MQL68" s="15"/>
      <c r="MQM68" s="15"/>
      <c r="MQN68" s="15"/>
      <c r="MQO68" s="15"/>
      <c r="MQP68" s="15"/>
      <c r="MQQ68" s="15"/>
      <c r="MQR68" s="15"/>
      <c r="MQS68" s="15"/>
      <c r="MQT68" s="15"/>
      <c r="MQU68" s="15"/>
      <c r="MQV68" s="15"/>
      <c r="MQW68" s="15"/>
      <c r="MQX68" s="15"/>
      <c r="MQY68" s="15"/>
      <c r="MQZ68" s="15"/>
      <c r="MRA68" s="15"/>
      <c r="MRB68" s="15"/>
      <c r="MRC68" s="15"/>
      <c r="MRD68" s="15"/>
      <c r="MRE68" s="15"/>
      <c r="MRF68" s="15"/>
      <c r="MRG68" s="15"/>
      <c r="MRH68" s="15"/>
      <c r="MRI68" s="15"/>
      <c r="MRJ68" s="15"/>
      <c r="MRK68" s="15"/>
      <c r="MRL68" s="15"/>
      <c r="MRM68" s="15"/>
      <c r="MRN68" s="15"/>
      <c r="MRO68" s="15"/>
      <c r="MRP68" s="15"/>
      <c r="MRQ68" s="15"/>
      <c r="MRR68" s="15"/>
      <c r="MRS68" s="15"/>
      <c r="MRT68" s="15"/>
      <c r="MRU68" s="15"/>
      <c r="MRV68" s="15"/>
      <c r="MRW68" s="15"/>
      <c r="MRX68" s="15"/>
      <c r="MRY68" s="15"/>
      <c r="MRZ68" s="15"/>
      <c r="MSA68" s="15"/>
      <c r="MSB68" s="15"/>
      <c r="MSC68" s="15"/>
      <c r="MSD68" s="15"/>
      <c r="MSE68" s="15"/>
      <c r="MSF68" s="15"/>
      <c r="MSG68" s="15"/>
      <c r="MSH68" s="15"/>
      <c r="MSI68" s="15"/>
      <c r="MSJ68" s="15"/>
      <c r="MSK68" s="15"/>
      <c r="MSL68" s="15"/>
      <c r="MSM68" s="15"/>
      <c r="MSN68" s="15"/>
      <c r="MSO68" s="15"/>
      <c r="MSP68" s="15"/>
      <c r="MSQ68" s="15"/>
      <c r="MSR68" s="15"/>
      <c r="MSS68" s="15"/>
      <c r="MST68" s="15"/>
      <c r="MSU68" s="15"/>
      <c r="MSV68" s="15"/>
      <c r="MSW68" s="15"/>
      <c r="MSX68" s="15"/>
      <c r="MSY68" s="15"/>
      <c r="MSZ68" s="15"/>
      <c r="MTA68" s="15"/>
      <c r="MTB68" s="15"/>
      <c r="MTC68" s="15"/>
      <c r="MTD68" s="15"/>
      <c r="MTE68" s="15"/>
      <c r="MTF68" s="15"/>
      <c r="MTG68" s="15"/>
      <c r="MTH68" s="15"/>
      <c r="MTI68" s="15"/>
      <c r="MTJ68" s="15"/>
      <c r="MTK68" s="15"/>
      <c r="MTL68" s="15"/>
      <c r="MTM68" s="15"/>
      <c r="MTN68" s="15"/>
      <c r="MTO68" s="15"/>
      <c r="MTP68" s="15"/>
      <c r="MTQ68" s="15"/>
      <c r="MTR68" s="15"/>
      <c r="MTS68" s="15"/>
      <c r="MTT68" s="15"/>
      <c r="MTU68" s="15"/>
      <c r="MTV68" s="15"/>
      <c r="MTW68" s="15"/>
      <c r="MTX68" s="15"/>
      <c r="MTY68" s="15"/>
      <c r="MTZ68" s="15"/>
      <c r="MUA68" s="15"/>
      <c r="MUB68" s="15"/>
      <c r="MUC68" s="15"/>
      <c r="MUD68" s="15"/>
      <c r="MUE68" s="15"/>
      <c r="MUF68" s="15"/>
      <c r="MUG68" s="15"/>
      <c r="MUH68" s="15"/>
      <c r="MUI68" s="15"/>
      <c r="MUJ68" s="15"/>
      <c r="MUK68" s="15"/>
      <c r="MUL68" s="15"/>
      <c r="MUM68" s="15"/>
      <c r="MUN68" s="15"/>
      <c r="MUO68" s="15"/>
      <c r="MUP68" s="15"/>
      <c r="MUQ68" s="15"/>
      <c r="MUR68" s="15"/>
      <c r="MUS68" s="15"/>
      <c r="MUT68" s="15"/>
      <c r="MUU68" s="15"/>
      <c r="MUV68" s="15"/>
      <c r="MUW68" s="15"/>
      <c r="MUX68" s="15"/>
      <c r="MUY68" s="15"/>
      <c r="MUZ68" s="15"/>
      <c r="MVA68" s="15"/>
      <c r="MVB68" s="15"/>
      <c r="MVC68" s="15"/>
      <c r="MVD68" s="15"/>
      <c r="MVE68" s="15"/>
      <c r="MVF68" s="15"/>
      <c r="MVG68" s="15"/>
      <c r="MVH68" s="15"/>
      <c r="MVI68" s="15"/>
      <c r="MVJ68" s="15"/>
      <c r="MVK68" s="15"/>
      <c r="MVL68" s="15"/>
      <c r="MVM68" s="15"/>
      <c r="MVN68" s="15"/>
      <c r="MVO68" s="15"/>
      <c r="MVP68" s="15"/>
      <c r="MVQ68" s="15"/>
      <c r="MVR68" s="15"/>
      <c r="MVS68" s="15"/>
      <c r="MVT68" s="15"/>
      <c r="MVU68" s="15"/>
      <c r="MVV68" s="15"/>
      <c r="MVW68" s="15"/>
      <c r="MVX68" s="15"/>
      <c r="MVY68" s="15"/>
      <c r="MVZ68" s="15"/>
      <c r="MWA68" s="15"/>
      <c r="MWB68" s="15"/>
      <c r="MWC68" s="15"/>
      <c r="MWD68" s="15"/>
      <c r="MWE68" s="15"/>
      <c r="MWF68" s="15"/>
      <c r="MWG68" s="15"/>
      <c r="MWH68" s="15"/>
      <c r="MWI68" s="15"/>
      <c r="MWJ68" s="15"/>
      <c r="MWK68" s="15"/>
      <c r="MWL68" s="15"/>
      <c r="MWM68" s="15"/>
      <c r="MWN68" s="15"/>
      <c r="MWO68" s="15"/>
      <c r="MWP68" s="15"/>
      <c r="MWQ68" s="15"/>
      <c r="MWR68" s="15"/>
      <c r="MWS68" s="15"/>
      <c r="MWT68" s="15"/>
      <c r="MWU68" s="15"/>
      <c r="MWV68" s="15"/>
      <c r="MWW68" s="15"/>
      <c r="MWX68" s="15"/>
      <c r="MWY68" s="15"/>
      <c r="MWZ68" s="15"/>
      <c r="MXA68" s="15"/>
      <c r="MXB68" s="15"/>
      <c r="MXC68" s="15"/>
      <c r="MXD68" s="15"/>
      <c r="MXE68" s="15"/>
      <c r="MXF68" s="15"/>
      <c r="MXG68" s="15"/>
      <c r="MXH68" s="15"/>
      <c r="MXI68" s="15"/>
      <c r="MXJ68" s="15"/>
      <c r="MXK68" s="15"/>
      <c r="MXL68" s="15"/>
      <c r="MXM68" s="15"/>
      <c r="MXN68" s="15"/>
      <c r="MXO68" s="15"/>
      <c r="MXP68" s="15"/>
      <c r="MXQ68" s="15"/>
      <c r="MXR68" s="15"/>
      <c r="MXS68" s="15"/>
      <c r="MXT68" s="15"/>
      <c r="MXU68" s="15"/>
      <c r="MXV68" s="15"/>
      <c r="MXW68" s="15"/>
      <c r="MXX68" s="15"/>
      <c r="MXY68" s="15"/>
      <c r="MXZ68" s="15"/>
      <c r="MYA68" s="15"/>
      <c r="MYB68" s="15"/>
      <c r="MYC68" s="15"/>
      <c r="MYD68" s="15"/>
      <c r="MYE68" s="15"/>
      <c r="MYF68" s="15"/>
      <c r="MYG68" s="15"/>
      <c r="MYH68" s="15"/>
      <c r="MYI68" s="15"/>
      <c r="MYJ68" s="15"/>
      <c r="MYK68" s="15"/>
      <c r="MYL68" s="15"/>
      <c r="MYM68" s="15"/>
      <c r="MYN68" s="15"/>
      <c r="MYO68" s="15"/>
      <c r="MYP68" s="15"/>
      <c r="MYQ68" s="15"/>
      <c r="MYR68" s="15"/>
      <c r="MYS68" s="15"/>
      <c r="MYT68" s="15"/>
      <c r="MYU68" s="15"/>
      <c r="MYV68" s="15"/>
      <c r="MYW68" s="15"/>
      <c r="MYX68" s="15"/>
      <c r="MYY68" s="15"/>
      <c r="MYZ68" s="15"/>
      <c r="MZA68" s="15"/>
      <c r="MZB68" s="15"/>
      <c r="MZC68" s="15"/>
      <c r="MZD68" s="15"/>
      <c r="MZE68" s="15"/>
      <c r="MZF68" s="15"/>
      <c r="MZG68" s="15"/>
      <c r="MZH68" s="15"/>
      <c r="MZI68" s="15"/>
      <c r="MZJ68" s="15"/>
      <c r="MZK68" s="15"/>
      <c r="MZL68" s="15"/>
      <c r="MZM68" s="15"/>
      <c r="MZN68" s="15"/>
      <c r="MZO68" s="15"/>
      <c r="MZP68" s="15"/>
      <c r="MZQ68" s="15"/>
      <c r="MZR68" s="15"/>
      <c r="MZS68" s="15"/>
      <c r="MZT68" s="15"/>
      <c r="MZU68" s="15"/>
      <c r="MZV68" s="15"/>
      <c r="MZW68" s="15"/>
      <c r="MZX68" s="15"/>
      <c r="MZY68" s="15"/>
      <c r="MZZ68" s="15"/>
      <c r="NAA68" s="15"/>
      <c r="NAB68" s="15"/>
      <c r="NAC68" s="15"/>
      <c r="NAD68" s="15"/>
      <c r="NAE68" s="15"/>
      <c r="NAF68" s="15"/>
      <c r="NAG68" s="15"/>
      <c r="NAH68" s="15"/>
      <c r="NAI68" s="15"/>
      <c r="NAJ68" s="15"/>
      <c r="NAK68" s="15"/>
      <c r="NAL68" s="15"/>
      <c r="NAM68" s="15"/>
      <c r="NAN68" s="15"/>
      <c r="NAO68" s="15"/>
      <c r="NAP68" s="15"/>
      <c r="NAQ68" s="15"/>
      <c r="NAR68" s="15"/>
      <c r="NAS68" s="15"/>
      <c r="NAT68" s="15"/>
      <c r="NAU68" s="15"/>
      <c r="NAV68" s="15"/>
      <c r="NAW68" s="15"/>
      <c r="NAX68" s="15"/>
      <c r="NAY68" s="15"/>
      <c r="NAZ68" s="15"/>
      <c r="NBA68" s="15"/>
      <c r="NBB68" s="15"/>
      <c r="NBC68" s="15"/>
      <c r="NBD68" s="15"/>
      <c r="NBE68" s="15"/>
      <c r="NBF68" s="15"/>
      <c r="NBG68" s="15"/>
      <c r="NBH68" s="15"/>
      <c r="NBI68" s="15"/>
      <c r="NBJ68" s="15"/>
      <c r="NBK68" s="15"/>
      <c r="NBL68" s="15"/>
      <c r="NBM68" s="15"/>
      <c r="NBN68" s="15"/>
      <c r="NBO68" s="15"/>
      <c r="NBP68" s="15"/>
      <c r="NBQ68" s="15"/>
      <c r="NBR68" s="15"/>
      <c r="NBS68" s="15"/>
      <c r="NBT68" s="15"/>
      <c r="NBU68" s="15"/>
      <c r="NBV68" s="15"/>
      <c r="NBW68" s="15"/>
      <c r="NBX68" s="15"/>
      <c r="NBY68" s="15"/>
      <c r="NBZ68" s="15"/>
      <c r="NCA68" s="15"/>
      <c r="NCB68" s="15"/>
      <c r="NCC68" s="15"/>
      <c r="NCD68" s="15"/>
      <c r="NCE68" s="15"/>
      <c r="NCF68" s="15"/>
      <c r="NCG68" s="15"/>
      <c r="NCH68" s="15"/>
      <c r="NCI68" s="15"/>
      <c r="NCJ68" s="15"/>
      <c r="NCK68" s="15"/>
      <c r="NCL68" s="15"/>
      <c r="NCM68" s="15"/>
      <c r="NCN68" s="15"/>
      <c r="NCO68" s="15"/>
      <c r="NCP68" s="15"/>
      <c r="NCQ68" s="15"/>
      <c r="NCR68" s="15"/>
      <c r="NCS68" s="15"/>
      <c r="NCT68" s="15"/>
      <c r="NCU68" s="15"/>
      <c r="NCV68" s="15"/>
      <c r="NCW68" s="15"/>
      <c r="NCX68" s="15"/>
      <c r="NCY68" s="15"/>
      <c r="NCZ68" s="15"/>
      <c r="NDA68" s="15"/>
      <c r="NDB68" s="15"/>
      <c r="NDC68" s="15"/>
      <c r="NDD68" s="15"/>
      <c r="NDE68" s="15"/>
      <c r="NDF68" s="15"/>
      <c r="NDG68" s="15"/>
      <c r="NDH68" s="15"/>
      <c r="NDI68" s="15"/>
      <c r="NDJ68" s="15"/>
      <c r="NDK68" s="15"/>
      <c r="NDL68" s="15"/>
      <c r="NDM68" s="15"/>
      <c r="NDN68" s="15"/>
      <c r="NDO68" s="15"/>
      <c r="NDP68" s="15"/>
      <c r="NDQ68" s="15"/>
      <c r="NDR68" s="15"/>
      <c r="NDS68" s="15"/>
      <c r="NDT68" s="15"/>
      <c r="NDU68" s="15"/>
      <c r="NDV68" s="15"/>
      <c r="NDW68" s="15"/>
      <c r="NDX68" s="15"/>
      <c r="NDY68" s="15"/>
      <c r="NDZ68" s="15"/>
      <c r="NEA68" s="15"/>
      <c r="NEB68" s="15"/>
      <c r="NEC68" s="15"/>
      <c r="NED68" s="15"/>
      <c r="NEE68" s="15"/>
      <c r="NEF68" s="15"/>
      <c r="NEG68" s="15"/>
      <c r="NEH68" s="15"/>
      <c r="NEI68" s="15"/>
      <c r="NEJ68" s="15"/>
      <c r="NEK68" s="15"/>
      <c r="NEL68" s="15"/>
      <c r="NEM68" s="15"/>
      <c r="NEN68" s="15"/>
      <c r="NEO68" s="15"/>
      <c r="NEP68" s="15"/>
      <c r="NEQ68" s="15"/>
      <c r="NER68" s="15"/>
      <c r="NES68" s="15"/>
      <c r="NET68" s="15"/>
      <c r="NEU68" s="15"/>
      <c r="NEV68" s="15"/>
      <c r="NEW68" s="15"/>
      <c r="NEX68" s="15"/>
      <c r="NEY68" s="15"/>
      <c r="NEZ68" s="15"/>
      <c r="NFA68" s="15"/>
      <c r="NFB68" s="15"/>
      <c r="NFC68" s="15"/>
      <c r="NFD68" s="15"/>
      <c r="NFE68" s="15"/>
      <c r="NFF68" s="15"/>
      <c r="NFG68" s="15"/>
      <c r="NFH68" s="15"/>
      <c r="NFI68" s="15"/>
      <c r="NFJ68" s="15"/>
      <c r="NFK68" s="15"/>
      <c r="NFL68" s="15"/>
      <c r="NFM68" s="15"/>
      <c r="NFN68" s="15"/>
      <c r="NFO68" s="15"/>
      <c r="NFP68" s="15"/>
      <c r="NFQ68" s="15"/>
      <c r="NFR68" s="15"/>
      <c r="NFS68" s="15"/>
      <c r="NFT68" s="15"/>
      <c r="NFU68" s="15"/>
      <c r="NFV68" s="15"/>
      <c r="NFW68" s="15"/>
      <c r="NFX68" s="15"/>
      <c r="NFY68" s="15"/>
      <c r="NFZ68" s="15"/>
      <c r="NGA68" s="15"/>
      <c r="NGB68" s="15"/>
      <c r="NGC68" s="15"/>
      <c r="NGD68" s="15"/>
      <c r="NGE68" s="15"/>
      <c r="NGF68" s="15"/>
      <c r="NGG68" s="15"/>
      <c r="NGH68" s="15"/>
      <c r="NGI68" s="15"/>
      <c r="NGJ68" s="15"/>
      <c r="NGK68" s="15"/>
      <c r="NGL68" s="15"/>
      <c r="NGM68" s="15"/>
      <c r="NGN68" s="15"/>
      <c r="NGO68" s="15"/>
      <c r="NGP68" s="15"/>
      <c r="NGQ68" s="15"/>
      <c r="NGR68" s="15"/>
      <c r="NGS68" s="15"/>
      <c r="NGT68" s="15"/>
      <c r="NGU68" s="15"/>
      <c r="NGV68" s="15"/>
      <c r="NGW68" s="15"/>
      <c r="NGX68" s="15"/>
      <c r="NGY68" s="15"/>
      <c r="NGZ68" s="15"/>
      <c r="NHA68" s="15"/>
      <c r="NHB68" s="15"/>
      <c r="NHC68" s="15"/>
      <c r="NHD68" s="15"/>
      <c r="NHE68" s="15"/>
      <c r="NHF68" s="15"/>
      <c r="NHG68" s="15"/>
      <c r="NHH68" s="15"/>
      <c r="NHI68" s="15"/>
      <c r="NHJ68" s="15"/>
      <c r="NHK68" s="15"/>
      <c r="NHL68" s="15"/>
      <c r="NHM68" s="15"/>
      <c r="NHN68" s="15"/>
      <c r="NHO68" s="15"/>
      <c r="NHP68" s="15"/>
      <c r="NHQ68" s="15"/>
      <c r="NHR68" s="15"/>
      <c r="NHS68" s="15"/>
      <c r="NHT68" s="15"/>
      <c r="NHU68" s="15"/>
      <c r="NHV68" s="15"/>
      <c r="NHW68" s="15"/>
      <c r="NHX68" s="15"/>
      <c r="NHY68" s="15"/>
      <c r="NHZ68" s="15"/>
      <c r="NIA68" s="15"/>
      <c r="NIB68" s="15"/>
      <c r="NIC68" s="15"/>
      <c r="NID68" s="15"/>
      <c r="NIE68" s="15"/>
      <c r="NIF68" s="15"/>
      <c r="NIG68" s="15"/>
      <c r="NIH68" s="15"/>
      <c r="NII68" s="15"/>
      <c r="NIJ68" s="15"/>
      <c r="NIK68" s="15"/>
      <c r="NIL68" s="15"/>
      <c r="NIM68" s="15"/>
      <c r="NIN68" s="15"/>
      <c r="NIO68" s="15"/>
      <c r="NIP68" s="15"/>
      <c r="NIQ68" s="15"/>
      <c r="NIR68" s="15"/>
      <c r="NIS68" s="15"/>
      <c r="NIT68" s="15"/>
      <c r="NIU68" s="15"/>
      <c r="NIV68" s="15"/>
      <c r="NIW68" s="15"/>
      <c r="NIX68" s="15"/>
      <c r="NIY68" s="15"/>
      <c r="NIZ68" s="15"/>
      <c r="NJA68" s="15"/>
      <c r="NJB68" s="15"/>
      <c r="NJC68" s="15"/>
      <c r="NJD68" s="15"/>
      <c r="NJE68" s="15"/>
      <c r="NJF68" s="15"/>
      <c r="NJG68" s="15"/>
      <c r="NJH68" s="15"/>
      <c r="NJI68" s="15"/>
      <c r="NJJ68" s="15"/>
      <c r="NJK68" s="15"/>
      <c r="NJL68" s="15"/>
      <c r="NJM68" s="15"/>
      <c r="NJN68" s="15"/>
      <c r="NJO68" s="15"/>
      <c r="NJP68" s="15"/>
      <c r="NJQ68" s="15"/>
      <c r="NJR68" s="15"/>
      <c r="NJS68" s="15"/>
      <c r="NJT68" s="15"/>
      <c r="NJU68" s="15"/>
      <c r="NJV68" s="15"/>
      <c r="NJW68" s="15"/>
      <c r="NJX68" s="15"/>
      <c r="NJY68" s="15"/>
      <c r="NJZ68" s="15"/>
      <c r="NKA68" s="15"/>
      <c r="NKB68" s="15"/>
      <c r="NKC68" s="15"/>
      <c r="NKD68" s="15"/>
      <c r="NKE68" s="15"/>
      <c r="NKF68" s="15"/>
      <c r="NKG68" s="15"/>
      <c r="NKH68" s="15"/>
      <c r="NKI68" s="15"/>
      <c r="NKJ68" s="15"/>
      <c r="NKK68" s="15"/>
      <c r="NKL68" s="15"/>
      <c r="NKM68" s="15"/>
      <c r="NKN68" s="15"/>
      <c r="NKO68" s="15"/>
      <c r="NKP68" s="15"/>
      <c r="NKQ68" s="15"/>
      <c r="NKR68" s="15"/>
      <c r="NKS68" s="15"/>
      <c r="NKT68" s="15"/>
      <c r="NKU68" s="15"/>
      <c r="NKV68" s="15"/>
      <c r="NKW68" s="15"/>
      <c r="NKX68" s="15"/>
      <c r="NKY68" s="15"/>
      <c r="NKZ68" s="15"/>
      <c r="NLA68" s="15"/>
      <c r="NLB68" s="15"/>
      <c r="NLC68" s="15"/>
      <c r="NLD68" s="15"/>
      <c r="NLE68" s="15"/>
      <c r="NLF68" s="15"/>
      <c r="NLG68" s="15"/>
      <c r="NLH68" s="15"/>
      <c r="NLI68" s="15"/>
      <c r="NLJ68" s="15"/>
      <c r="NLK68" s="15"/>
      <c r="NLL68" s="15"/>
      <c r="NLM68" s="15"/>
      <c r="NLN68" s="15"/>
      <c r="NLO68" s="15"/>
      <c r="NLP68" s="15"/>
      <c r="NLQ68" s="15"/>
      <c r="NLR68" s="15"/>
      <c r="NLS68" s="15"/>
      <c r="NLT68" s="15"/>
      <c r="NLU68" s="15"/>
      <c r="NLV68" s="15"/>
      <c r="NLW68" s="15"/>
      <c r="NLX68" s="15"/>
      <c r="NLY68" s="15"/>
      <c r="NLZ68" s="15"/>
      <c r="NMA68" s="15"/>
      <c r="NMB68" s="15"/>
      <c r="NMC68" s="15"/>
      <c r="NMD68" s="15"/>
      <c r="NME68" s="15"/>
      <c r="NMF68" s="15"/>
      <c r="NMG68" s="15"/>
      <c r="NMH68" s="15"/>
      <c r="NMI68" s="15"/>
      <c r="NMJ68" s="15"/>
      <c r="NMK68" s="15"/>
      <c r="NML68" s="15"/>
      <c r="NMM68" s="15"/>
      <c r="NMN68" s="15"/>
      <c r="NMO68" s="15"/>
      <c r="NMP68" s="15"/>
      <c r="NMQ68" s="15"/>
      <c r="NMR68" s="15"/>
      <c r="NMS68" s="15"/>
      <c r="NMT68" s="15"/>
      <c r="NMU68" s="15"/>
      <c r="NMV68" s="15"/>
      <c r="NMW68" s="15"/>
      <c r="NMX68" s="15"/>
      <c r="NMY68" s="15"/>
      <c r="NMZ68" s="15"/>
      <c r="NNA68" s="15"/>
      <c r="NNB68" s="15"/>
      <c r="NNC68" s="15"/>
      <c r="NND68" s="15"/>
      <c r="NNE68" s="15"/>
      <c r="NNF68" s="15"/>
      <c r="NNG68" s="15"/>
      <c r="NNH68" s="15"/>
      <c r="NNI68" s="15"/>
      <c r="NNJ68" s="15"/>
      <c r="NNK68" s="15"/>
      <c r="NNL68" s="15"/>
      <c r="NNM68" s="15"/>
      <c r="NNN68" s="15"/>
      <c r="NNO68" s="15"/>
      <c r="NNP68" s="15"/>
      <c r="NNQ68" s="15"/>
      <c r="NNR68" s="15"/>
      <c r="NNS68" s="15"/>
      <c r="NNT68" s="15"/>
      <c r="NNU68" s="15"/>
      <c r="NNV68" s="15"/>
      <c r="NNW68" s="15"/>
      <c r="NNX68" s="15"/>
      <c r="NNY68" s="15"/>
      <c r="NNZ68" s="15"/>
      <c r="NOA68" s="15"/>
      <c r="NOB68" s="15"/>
      <c r="NOC68" s="15"/>
      <c r="NOD68" s="15"/>
      <c r="NOE68" s="15"/>
      <c r="NOF68" s="15"/>
      <c r="NOG68" s="15"/>
      <c r="NOH68" s="15"/>
      <c r="NOI68" s="15"/>
      <c r="NOJ68" s="15"/>
      <c r="NOK68" s="15"/>
      <c r="NOL68" s="15"/>
      <c r="NOM68" s="15"/>
      <c r="NON68" s="15"/>
      <c r="NOO68" s="15"/>
      <c r="NOP68" s="15"/>
      <c r="NOQ68" s="15"/>
      <c r="NOR68" s="15"/>
      <c r="NOS68" s="15"/>
      <c r="NOT68" s="15"/>
      <c r="NOU68" s="15"/>
      <c r="NOV68" s="15"/>
      <c r="NOW68" s="15"/>
      <c r="NOX68" s="15"/>
      <c r="NOY68" s="15"/>
      <c r="NOZ68" s="15"/>
      <c r="NPA68" s="15"/>
      <c r="NPB68" s="15"/>
      <c r="NPC68" s="15"/>
      <c r="NPD68" s="15"/>
      <c r="NPE68" s="15"/>
      <c r="NPF68" s="15"/>
      <c r="NPG68" s="15"/>
      <c r="NPH68" s="15"/>
      <c r="NPI68" s="15"/>
      <c r="NPJ68" s="15"/>
      <c r="NPK68" s="15"/>
      <c r="NPL68" s="15"/>
      <c r="NPM68" s="15"/>
      <c r="NPN68" s="15"/>
      <c r="NPO68" s="15"/>
      <c r="NPP68" s="15"/>
      <c r="NPQ68" s="15"/>
      <c r="NPR68" s="15"/>
      <c r="NPS68" s="15"/>
      <c r="NPT68" s="15"/>
      <c r="NPU68" s="15"/>
      <c r="NPV68" s="15"/>
      <c r="NPW68" s="15"/>
      <c r="NPX68" s="15"/>
      <c r="NPY68" s="15"/>
      <c r="NPZ68" s="15"/>
      <c r="NQA68" s="15"/>
      <c r="NQB68" s="15"/>
      <c r="NQC68" s="15"/>
      <c r="NQD68" s="15"/>
      <c r="NQE68" s="15"/>
      <c r="NQF68" s="15"/>
      <c r="NQG68" s="15"/>
      <c r="NQH68" s="15"/>
      <c r="NQI68" s="15"/>
      <c r="NQJ68" s="15"/>
      <c r="NQK68" s="15"/>
      <c r="NQL68" s="15"/>
      <c r="NQM68" s="15"/>
      <c r="NQN68" s="15"/>
      <c r="NQO68" s="15"/>
      <c r="NQP68" s="15"/>
      <c r="NQQ68" s="15"/>
      <c r="NQR68" s="15"/>
      <c r="NQS68" s="15"/>
      <c r="NQT68" s="15"/>
      <c r="NQU68" s="15"/>
      <c r="NQV68" s="15"/>
      <c r="NQW68" s="15"/>
      <c r="NQX68" s="15"/>
      <c r="NQY68" s="15"/>
      <c r="NQZ68" s="15"/>
      <c r="NRA68" s="15"/>
      <c r="NRB68" s="15"/>
      <c r="NRC68" s="15"/>
      <c r="NRD68" s="15"/>
      <c r="NRE68" s="15"/>
      <c r="NRF68" s="15"/>
      <c r="NRG68" s="15"/>
      <c r="NRH68" s="15"/>
      <c r="NRI68" s="15"/>
      <c r="NRJ68" s="15"/>
      <c r="NRK68" s="15"/>
      <c r="NRL68" s="15"/>
      <c r="NRM68" s="15"/>
      <c r="NRN68" s="15"/>
      <c r="NRO68" s="15"/>
      <c r="NRP68" s="15"/>
      <c r="NRQ68" s="15"/>
      <c r="NRR68" s="15"/>
      <c r="NRS68" s="15"/>
      <c r="NRT68" s="15"/>
      <c r="NRU68" s="15"/>
      <c r="NRV68" s="15"/>
      <c r="NRW68" s="15"/>
      <c r="NRX68" s="15"/>
      <c r="NRY68" s="15"/>
      <c r="NRZ68" s="15"/>
      <c r="NSA68" s="15"/>
      <c r="NSB68" s="15"/>
      <c r="NSC68" s="15"/>
      <c r="NSD68" s="15"/>
      <c r="NSE68" s="15"/>
      <c r="NSF68" s="15"/>
      <c r="NSG68" s="15"/>
      <c r="NSH68" s="15"/>
      <c r="NSI68" s="15"/>
      <c r="NSJ68" s="15"/>
      <c r="NSK68" s="15"/>
      <c r="NSL68" s="15"/>
      <c r="NSM68" s="15"/>
      <c r="NSN68" s="15"/>
      <c r="NSO68" s="15"/>
      <c r="NSP68" s="15"/>
      <c r="NSQ68" s="15"/>
      <c r="NSR68" s="15"/>
      <c r="NSS68" s="15"/>
      <c r="NST68" s="15"/>
      <c r="NSU68" s="15"/>
      <c r="NSV68" s="15"/>
      <c r="NSW68" s="15"/>
      <c r="NSX68" s="15"/>
      <c r="NSY68" s="15"/>
      <c r="NSZ68" s="15"/>
      <c r="NTA68" s="15"/>
      <c r="NTB68" s="15"/>
      <c r="NTC68" s="15"/>
      <c r="NTD68" s="15"/>
      <c r="NTE68" s="15"/>
      <c r="NTF68" s="15"/>
      <c r="NTG68" s="15"/>
      <c r="NTH68" s="15"/>
      <c r="NTI68" s="15"/>
      <c r="NTJ68" s="15"/>
      <c r="NTK68" s="15"/>
      <c r="NTL68" s="15"/>
      <c r="NTM68" s="15"/>
      <c r="NTN68" s="15"/>
      <c r="NTO68" s="15"/>
      <c r="NTP68" s="15"/>
      <c r="NTQ68" s="15"/>
      <c r="NTR68" s="15"/>
      <c r="NTS68" s="15"/>
      <c r="NTT68" s="15"/>
      <c r="NTU68" s="15"/>
      <c r="NTV68" s="15"/>
      <c r="NTW68" s="15"/>
      <c r="NTX68" s="15"/>
      <c r="NTY68" s="15"/>
      <c r="NTZ68" s="15"/>
      <c r="NUA68" s="15"/>
      <c r="NUB68" s="15"/>
      <c r="NUC68" s="15"/>
      <c r="NUD68" s="15"/>
      <c r="NUE68" s="15"/>
      <c r="NUF68" s="15"/>
      <c r="NUG68" s="15"/>
      <c r="NUH68" s="15"/>
      <c r="NUI68" s="15"/>
      <c r="NUJ68" s="15"/>
      <c r="NUK68" s="15"/>
      <c r="NUL68" s="15"/>
      <c r="NUM68" s="15"/>
      <c r="NUN68" s="15"/>
      <c r="NUO68" s="15"/>
      <c r="NUP68" s="15"/>
      <c r="NUQ68" s="15"/>
      <c r="NUR68" s="15"/>
      <c r="NUS68" s="15"/>
      <c r="NUT68" s="15"/>
      <c r="NUU68" s="15"/>
      <c r="NUV68" s="15"/>
      <c r="NUW68" s="15"/>
      <c r="NUX68" s="15"/>
      <c r="NUY68" s="15"/>
      <c r="NUZ68" s="15"/>
      <c r="NVA68" s="15"/>
      <c r="NVB68" s="15"/>
      <c r="NVC68" s="15"/>
      <c r="NVD68" s="15"/>
      <c r="NVE68" s="15"/>
      <c r="NVF68" s="15"/>
      <c r="NVG68" s="15"/>
      <c r="NVH68" s="15"/>
      <c r="NVI68" s="15"/>
      <c r="NVJ68" s="15"/>
      <c r="NVK68" s="15"/>
      <c r="NVL68" s="15"/>
      <c r="NVM68" s="15"/>
      <c r="NVN68" s="15"/>
      <c r="NVO68" s="15"/>
      <c r="NVP68" s="15"/>
      <c r="NVQ68" s="15"/>
      <c r="NVR68" s="15"/>
      <c r="NVS68" s="15"/>
      <c r="NVT68" s="15"/>
      <c r="NVU68" s="15"/>
      <c r="NVV68" s="15"/>
      <c r="NVW68" s="15"/>
      <c r="NVX68" s="15"/>
      <c r="NVY68" s="15"/>
      <c r="NVZ68" s="15"/>
      <c r="NWA68" s="15"/>
      <c r="NWB68" s="15"/>
      <c r="NWC68" s="15"/>
      <c r="NWD68" s="15"/>
      <c r="NWE68" s="15"/>
      <c r="NWF68" s="15"/>
      <c r="NWG68" s="15"/>
      <c r="NWH68" s="15"/>
      <c r="NWI68" s="15"/>
      <c r="NWJ68" s="15"/>
      <c r="NWK68" s="15"/>
      <c r="NWL68" s="15"/>
      <c r="NWM68" s="15"/>
      <c r="NWN68" s="15"/>
      <c r="NWO68" s="15"/>
      <c r="NWP68" s="15"/>
      <c r="NWQ68" s="15"/>
      <c r="NWR68" s="15"/>
      <c r="NWS68" s="15"/>
      <c r="NWT68" s="15"/>
      <c r="NWU68" s="15"/>
      <c r="NWV68" s="15"/>
      <c r="NWW68" s="15"/>
      <c r="NWX68" s="15"/>
      <c r="NWY68" s="15"/>
      <c r="NWZ68" s="15"/>
      <c r="NXA68" s="15"/>
      <c r="NXB68" s="15"/>
      <c r="NXC68" s="15"/>
      <c r="NXD68" s="15"/>
      <c r="NXE68" s="15"/>
      <c r="NXF68" s="15"/>
      <c r="NXG68" s="15"/>
      <c r="NXH68" s="15"/>
      <c r="NXI68" s="15"/>
      <c r="NXJ68" s="15"/>
      <c r="NXK68" s="15"/>
      <c r="NXL68" s="15"/>
      <c r="NXM68" s="15"/>
      <c r="NXN68" s="15"/>
      <c r="NXO68" s="15"/>
      <c r="NXP68" s="15"/>
      <c r="NXQ68" s="15"/>
      <c r="NXR68" s="15"/>
      <c r="NXS68" s="15"/>
      <c r="NXT68" s="15"/>
      <c r="NXU68" s="15"/>
      <c r="NXV68" s="15"/>
      <c r="NXW68" s="15"/>
      <c r="NXX68" s="15"/>
      <c r="NXY68" s="15"/>
      <c r="NXZ68" s="15"/>
      <c r="NYA68" s="15"/>
      <c r="NYB68" s="15"/>
      <c r="NYC68" s="15"/>
      <c r="NYD68" s="15"/>
      <c r="NYE68" s="15"/>
      <c r="NYF68" s="15"/>
      <c r="NYG68" s="15"/>
      <c r="NYH68" s="15"/>
      <c r="NYI68" s="15"/>
      <c r="NYJ68" s="15"/>
      <c r="NYK68" s="15"/>
      <c r="NYL68" s="15"/>
      <c r="NYM68" s="15"/>
      <c r="NYN68" s="15"/>
      <c r="NYO68" s="15"/>
      <c r="NYP68" s="15"/>
      <c r="NYQ68" s="15"/>
      <c r="NYR68" s="15"/>
      <c r="NYS68" s="15"/>
      <c r="NYT68" s="15"/>
      <c r="NYU68" s="15"/>
      <c r="NYV68" s="15"/>
      <c r="NYW68" s="15"/>
      <c r="NYX68" s="15"/>
      <c r="NYY68" s="15"/>
      <c r="NYZ68" s="15"/>
      <c r="NZA68" s="15"/>
      <c r="NZB68" s="15"/>
      <c r="NZC68" s="15"/>
      <c r="NZD68" s="15"/>
      <c r="NZE68" s="15"/>
      <c r="NZF68" s="15"/>
      <c r="NZG68" s="15"/>
      <c r="NZH68" s="15"/>
      <c r="NZI68" s="15"/>
      <c r="NZJ68" s="15"/>
      <c r="NZK68" s="15"/>
      <c r="NZL68" s="15"/>
      <c r="NZM68" s="15"/>
      <c r="NZN68" s="15"/>
      <c r="NZO68" s="15"/>
      <c r="NZP68" s="15"/>
      <c r="NZQ68" s="15"/>
      <c r="NZR68" s="15"/>
      <c r="NZS68" s="15"/>
      <c r="NZT68" s="15"/>
      <c r="NZU68" s="15"/>
      <c r="NZV68" s="15"/>
      <c r="NZW68" s="15"/>
      <c r="NZX68" s="15"/>
      <c r="NZY68" s="15"/>
      <c r="NZZ68" s="15"/>
      <c r="OAA68" s="15"/>
      <c r="OAB68" s="15"/>
      <c r="OAC68" s="15"/>
      <c r="OAD68" s="15"/>
      <c r="OAE68" s="15"/>
      <c r="OAF68" s="15"/>
      <c r="OAG68" s="15"/>
      <c r="OAH68" s="15"/>
      <c r="OAI68" s="15"/>
      <c r="OAJ68" s="15"/>
      <c r="OAK68" s="15"/>
      <c r="OAL68" s="15"/>
      <c r="OAM68" s="15"/>
      <c r="OAN68" s="15"/>
      <c r="OAO68" s="15"/>
      <c r="OAP68" s="15"/>
      <c r="OAQ68" s="15"/>
      <c r="OAR68" s="15"/>
      <c r="OAS68" s="15"/>
      <c r="OAT68" s="15"/>
      <c r="OAU68" s="15"/>
      <c r="OAV68" s="15"/>
      <c r="OAW68" s="15"/>
      <c r="OAX68" s="15"/>
      <c r="OAY68" s="15"/>
      <c r="OAZ68" s="15"/>
      <c r="OBA68" s="15"/>
      <c r="OBB68" s="15"/>
      <c r="OBC68" s="15"/>
      <c r="OBD68" s="15"/>
      <c r="OBE68" s="15"/>
      <c r="OBF68" s="15"/>
      <c r="OBG68" s="15"/>
      <c r="OBH68" s="15"/>
      <c r="OBI68" s="15"/>
      <c r="OBJ68" s="15"/>
      <c r="OBK68" s="15"/>
      <c r="OBL68" s="15"/>
      <c r="OBM68" s="15"/>
      <c r="OBN68" s="15"/>
      <c r="OBO68" s="15"/>
      <c r="OBP68" s="15"/>
      <c r="OBQ68" s="15"/>
      <c r="OBR68" s="15"/>
      <c r="OBS68" s="15"/>
      <c r="OBT68" s="15"/>
      <c r="OBU68" s="15"/>
      <c r="OBV68" s="15"/>
      <c r="OBW68" s="15"/>
      <c r="OBX68" s="15"/>
      <c r="OBY68" s="15"/>
      <c r="OBZ68" s="15"/>
      <c r="OCA68" s="15"/>
      <c r="OCB68" s="15"/>
      <c r="OCC68" s="15"/>
      <c r="OCD68" s="15"/>
      <c r="OCE68" s="15"/>
      <c r="OCF68" s="15"/>
      <c r="OCG68" s="15"/>
      <c r="OCH68" s="15"/>
      <c r="OCI68" s="15"/>
      <c r="OCJ68" s="15"/>
      <c r="OCK68" s="15"/>
      <c r="OCL68" s="15"/>
      <c r="OCM68" s="15"/>
      <c r="OCN68" s="15"/>
      <c r="OCO68" s="15"/>
      <c r="OCP68" s="15"/>
      <c r="OCQ68" s="15"/>
      <c r="OCR68" s="15"/>
      <c r="OCS68" s="15"/>
      <c r="OCT68" s="15"/>
      <c r="OCU68" s="15"/>
      <c r="OCV68" s="15"/>
      <c r="OCW68" s="15"/>
      <c r="OCX68" s="15"/>
      <c r="OCY68" s="15"/>
      <c r="OCZ68" s="15"/>
      <c r="ODA68" s="15"/>
      <c r="ODB68" s="15"/>
      <c r="ODC68" s="15"/>
      <c r="ODD68" s="15"/>
      <c r="ODE68" s="15"/>
      <c r="ODF68" s="15"/>
      <c r="ODG68" s="15"/>
      <c r="ODH68" s="15"/>
      <c r="ODI68" s="15"/>
      <c r="ODJ68" s="15"/>
      <c r="ODK68" s="15"/>
      <c r="ODL68" s="15"/>
      <c r="ODM68" s="15"/>
      <c r="ODN68" s="15"/>
      <c r="ODO68" s="15"/>
      <c r="ODP68" s="15"/>
      <c r="ODQ68" s="15"/>
      <c r="ODR68" s="15"/>
      <c r="ODS68" s="15"/>
      <c r="ODT68" s="15"/>
      <c r="ODU68" s="15"/>
      <c r="ODV68" s="15"/>
      <c r="ODW68" s="15"/>
      <c r="ODX68" s="15"/>
      <c r="ODY68" s="15"/>
      <c r="ODZ68" s="15"/>
      <c r="OEA68" s="15"/>
      <c r="OEB68" s="15"/>
      <c r="OEC68" s="15"/>
      <c r="OED68" s="15"/>
      <c r="OEE68" s="15"/>
      <c r="OEF68" s="15"/>
      <c r="OEG68" s="15"/>
      <c r="OEH68" s="15"/>
      <c r="OEI68" s="15"/>
      <c r="OEJ68" s="15"/>
      <c r="OEK68" s="15"/>
      <c r="OEL68" s="15"/>
      <c r="OEM68" s="15"/>
      <c r="OEN68" s="15"/>
      <c r="OEO68" s="15"/>
      <c r="OEP68" s="15"/>
      <c r="OEQ68" s="15"/>
      <c r="OER68" s="15"/>
      <c r="OES68" s="15"/>
      <c r="OET68" s="15"/>
      <c r="OEU68" s="15"/>
      <c r="OEV68" s="15"/>
      <c r="OEW68" s="15"/>
      <c r="OEX68" s="15"/>
      <c r="OEY68" s="15"/>
      <c r="OEZ68" s="15"/>
      <c r="OFA68" s="15"/>
      <c r="OFB68" s="15"/>
      <c r="OFC68" s="15"/>
      <c r="OFD68" s="15"/>
      <c r="OFE68" s="15"/>
      <c r="OFF68" s="15"/>
      <c r="OFG68" s="15"/>
      <c r="OFH68" s="15"/>
      <c r="OFI68" s="15"/>
      <c r="OFJ68" s="15"/>
      <c r="OFK68" s="15"/>
      <c r="OFL68" s="15"/>
      <c r="OFM68" s="15"/>
      <c r="OFN68" s="15"/>
      <c r="OFO68" s="15"/>
      <c r="OFP68" s="15"/>
      <c r="OFQ68" s="15"/>
      <c r="OFR68" s="15"/>
      <c r="OFS68" s="15"/>
      <c r="OFT68" s="15"/>
      <c r="OFU68" s="15"/>
      <c r="OFV68" s="15"/>
      <c r="OFW68" s="15"/>
      <c r="OFX68" s="15"/>
      <c r="OFY68" s="15"/>
      <c r="OFZ68" s="15"/>
      <c r="OGA68" s="15"/>
      <c r="OGB68" s="15"/>
      <c r="OGC68" s="15"/>
      <c r="OGD68" s="15"/>
      <c r="OGE68" s="15"/>
      <c r="OGF68" s="15"/>
      <c r="OGG68" s="15"/>
      <c r="OGH68" s="15"/>
      <c r="OGI68" s="15"/>
      <c r="OGJ68" s="15"/>
      <c r="OGK68" s="15"/>
      <c r="OGL68" s="15"/>
      <c r="OGM68" s="15"/>
      <c r="OGN68" s="15"/>
      <c r="OGO68" s="15"/>
      <c r="OGP68" s="15"/>
      <c r="OGQ68" s="15"/>
      <c r="OGR68" s="15"/>
      <c r="OGS68" s="15"/>
      <c r="OGT68" s="15"/>
      <c r="OGU68" s="15"/>
      <c r="OGV68" s="15"/>
      <c r="OGW68" s="15"/>
      <c r="OGX68" s="15"/>
      <c r="OGY68" s="15"/>
      <c r="OGZ68" s="15"/>
      <c r="OHA68" s="15"/>
      <c r="OHB68" s="15"/>
      <c r="OHC68" s="15"/>
      <c r="OHD68" s="15"/>
      <c r="OHE68" s="15"/>
      <c r="OHF68" s="15"/>
      <c r="OHG68" s="15"/>
      <c r="OHH68" s="15"/>
      <c r="OHI68" s="15"/>
      <c r="OHJ68" s="15"/>
      <c r="OHK68" s="15"/>
      <c r="OHL68" s="15"/>
      <c r="OHM68" s="15"/>
      <c r="OHN68" s="15"/>
      <c r="OHO68" s="15"/>
      <c r="OHP68" s="15"/>
      <c r="OHQ68" s="15"/>
      <c r="OHR68" s="15"/>
      <c r="OHS68" s="15"/>
      <c r="OHT68" s="15"/>
      <c r="OHU68" s="15"/>
      <c r="OHV68" s="15"/>
      <c r="OHW68" s="15"/>
      <c r="OHX68" s="15"/>
      <c r="OHY68" s="15"/>
      <c r="OHZ68" s="15"/>
      <c r="OIA68" s="15"/>
      <c r="OIB68" s="15"/>
      <c r="OIC68" s="15"/>
      <c r="OID68" s="15"/>
      <c r="OIE68" s="15"/>
      <c r="OIF68" s="15"/>
      <c r="OIG68" s="15"/>
      <c r="OIH68" s="15"/>
      <c r="OII68" s="15"/>
      <c r="OIJ68" s="15"/>
      <c r="OIK68" s="15"/>
      <c r="OIL68" s="15"/>
      <c r="OIM68" s="15"/>
      <c r="OIN68" s="15"/>
      <c r="OIO68" s="15"/>
      <c r="OIP68" s="15"/>
      <c r="OIQ68" s="15"/>
      <c r="OIR68" s="15"/>
      <c r="OIS68" s="15"/>
      <c r="OIT68" s="15"/>
      <c r="OIU68" s="15"/>
      <c r="OIV68" s="15"/>
      <c r="OIW68" s="15"/>
      <c r="OIX68" s="15"/>
      <c r="OIY68" s="15"/>
      <c r="OIZ68" s="15"/>
      <c r="OJA68" s="15"/>
      <c r="OJB68" s="15"/>
      <c r="OJC68" s="15"/>
      <c r="OJD68" s="15"/>
      <c r="OJE68" s="15"/>
      <c r="OJF68" s="15"/>
      <c r="OJG68" s="15"/>
      <c r="OJH68" s="15"/>
      <c r="OJI68" s="15"/>
      <c r="OJJ68" s="15"/>
      <c r="OJK68" s="15"/>
      <c r="OJL68" s="15"/>
      <c r="OJM68" s="15"/>
      <c r="OJN68" s="15"/>
      <c r="OJO68" s="15"/>
      <c r="OJP68" s="15"/>
      <c r="OJQ68" s="15"/>
      <c r="OJR68" s="15"/>
      <c r="OJS68" s="15"/>
      <c r="OJT68" s="15"/>
      <c r="OJU68" s="15"/>
      <c r="OJV68" s="15"/>
      <c r="OJW68" s="15"/>
      <c r="OJX68" s="15"/>
      <c r="OJY68" s="15"/>
      <c r="OJZ68" s="15"/>
      <c r="OKA68" s="15"/>
      <c r="OKB68" s="15"/>
      <c r="OKC68" s="15"/>
      <c r="OKD68" s="15"/>
      <c r="OKE68" s="15"/>
      <c r="OKF68" s="15"/>
      <c r="OKG68" s="15"/>
      <c r="OKH68" s="15"/>
      <c r="OKI68" s="15"/>
      <c r="OKJ68" s="15"/>
      <c r="OKK68" s="15"/>
      <c r="OKL68" s="15"/>
      <c r="OKM68" s="15"/>
      <c r="OKN68" s="15"/>
      <c r="OKO68" s="15"/>
      <c r="OKP68" s="15"/>
      <c r="OKQ68" s="15"/>
      <c r="OKR68" s="15"/>
      <c r="OKS68" s="15"/>
      <c r="OKT68" s="15"/>
      <c r="OKU68" s="15"/>
      <c r="OKV68" s="15"/>
      <c r="OKW68" s="15"/>
      <c r="OKX68" s="15"/>
      <c r="OKY68" s="15"/>
      <c r="OKZ68" s="15"/>
      <c r="OLA68" s="15"/>
      <c r="OLB68" s="15"/>
      <c r="OLC68" s="15"/>
      <c r="OLD68" s="15"/>
      <c r="OLE68" s="15"/>
      <c r="OLF68" s="15"/>
      <c r="OLG68" s="15"/>
      <c r="OLH68" s="15"/>
      <c r="OLI68" s="15"/>
      <c r="OLJ68" s="15"/>
      <c r="OLK68" s="15"/>
      <c r="OLL68" s="15"/>
      <c r="OLM68" s="15"/>
      <c r="OLN68" s="15"/>
      <c r="OLO68" s="15"/>
      <c r="OLP68" s="15"/>
      <c r="OLQ68" s="15"/>
      <c r="OLR68" s="15"/>
      <c r="OLS68" s="15"/>
      <c r="OLT68" s="15"/>
      <c r="OLU68" s="15"/>
      <c r="OLV68" s="15"/>
      <c r="OLW68" s="15"/>
      <c r="OLX68" s="15"/>
      <c r="OLY68" s="15"/>
      <c r="OLZ68" s="15"/>
      <c r="OMA68" s="15"/>
      <c r="OMB68" s="15"/>
      <c r="OMC68" s="15"/>
      <c r="OMD68" s="15"/>
      <c r="OME68" s="15"/>
      <c r="OMF68" s="15"/>
      <c r="OMG68" s="15"/>
      <c r="OMH68" s="15"/>
      <c r="OMI68" s="15"/>
      <c r="OMJ68" s="15"/>
      <c r="OMK68" s="15"/>
      <c r="OML68" s="15"/>
      <c r="OMM68" s="15"/>
      <c r="OMN68" s="15"/>
      <c r="OMO68" s="15"/>
      <c r="OMP68" s="15"/>
      <c r="OMQ68" s="15"/>
      <c r="OMR68" s="15"/>
      <c r="OMS68" s="15"/>
      <c r="OMT68" s="15"/>
      <c r="OMU68" s="15"/>
      <c r="OMV68" s="15"/>
      <c r="OMW68" s="15"/>
      <c r="OMX68" s="15"/>
      <c r="OMY68" s="15"/>
      <c r="OMZ68" s="15"/>
      <c r="ONA68" s="15"/>
      <c r="ONB68" s="15"/>
      <c r="ONC68" s="15"/>
      <c r="OND68" s="15"/>
      <c r="ONE68" s="15"/>
      <c r="ONF68" s="15"/>
      <c r="ONG68" s="15"/>
      <c r="ONH68" s="15"/>
      <c r="ONI68" s="15"/>
      <c r="ONJ68" s="15"/>
      <c r="ONK68" s="15"/>
      <c r="ONL68" s="15"/>
      <c r="ONM68" s="15"/>
      <c r="ONN68" s="15"/>
      <c r="ONO68" s="15"/>
      <c r="ONP68" s="15"/>
      <c r="ONQ68" s="15"/>
      <c r="ONR68" s="15"/>
      <c r="ONS68" s="15"/>
      <c r="ONT68" s="15"/>
      <c r="ONU68" s="15"/>
      <c r="ONV68" s="15"/>
      <c r="ONW68" s="15"/>
      <c r="ONX68" s="15"/>
      <c r="ONY68" s="15"/>
      <c r="ONZ68" s="15"/>
      <c r="OOA68" s="15"/>
      <c r="OOB68" s="15"/>
      <c r="OOC68" s="15"/>
      <c r="OOD68" s="15"/>
      <c r="OOE68" s="15"/>
      <c r="OOF68" s="15"/>
      <c r="OOG68" s="15"/>
      <c r="OOH68" s="15"/>
      <c r="OOI68" s="15"/>
      <c r="OOJ68" s="15"/>
      <c r="OOK68" s="15"/>
      <c r="OOL68" s="15"/>
      <c r="OOM68" s="15"/>
      <c r="OON68" s="15"/>
      <c r="OOO68" s="15"/>
      <c r="OOP68" s="15"/>
      <c r="OOQ68" s="15"/>
      <c r="OOR68" s="15"/>
      <c r="OOS68" s="15"/>
      <c r="OOT68" s="15"/>
      <c r="OOU68" s="15"/>
      <c r="OOV68" s="15"/>
      <c r="OOW68" s="15"/>
      <c r="OOX68" s="15"/>
      <c r="OOY68" s="15"/>
      <c r="OOZ68" s="15"/>
      <c r="OPA68" s="15"/>
      <c r="OPB68" s="15"/>
      <c r="OPC68" s="15"/>
      <c r="OPD68" s="15"/>
      <c r="OPE68" s="15"/>
      <c r="OPF68" s="15"/>
      <c r="OPG68" s="15"/>
      <c r="OPH68" s="15"/>
      <c r="OPI68" s="15"/>
      <c r="OPJ68" s="15"/>
      <c r="OPK68" s="15"/>
      <c r="OPL68" s="15"/>
      <c r="OPM68" s="15"/>
      <c r="OPN68" s="15"/>
      <c r="OPO68" s="15"/>
      <c r="OPP68" s="15"/>
      <c r="OPQ68" s="15"/>
      <c r="OPR68" s="15"/>
      <c r="OPS68" s="15"/>
      <c r="OPT68" s="15"/>
      <c r="OPU68" s="15"/>
      <c r="OPV68" s="15"/>
      <c r="OPW68" s="15"/>
      <c r="OPX68" s="15"/>
      <c r="OPY68" s="15"/>
      <c r="OPZ68" s="15"/>
      <c r="OQA68" s="15"/>
      <c r="OQB68" s="15"/>
      <c r="OQC68" s="15"/>
      <c r="OQD68" s="15"/>
      <c r="OQE68" s="15"/>
      <c r="OQF68" s="15"/>
      <c r="OQG68" s="15"/>
      <c r="OQH68" s="15"/>
      <c r="OQI68" s="15"/>
      <c r="OQJ68" s="15"/>
      <c r="OQK68" s="15"/>
      <c r="OQL68" s="15"/>
      <c r="OQM68" s="15"/>
      <c r="OQN68" s="15"/>
      <c r="OQO68" s="15"/>
      <c r="OQP68" s="15"/>
      <c r="OQQ68" s="15"/>
      <c r="OQR68" s="15"/>
      <c r="OQS68" s="15"/>
      <c r="OQT68" s="15"/>
      <c r="OQU68" s="15"/>
      <c r="OQV68" s="15"/>
      <c r="OQW68" s="15"/>
      <c r="OQX68" s="15"/>
      <c r="OQY68" s="15"/>
      <c r="OQZ68" s="15"/>
      <c r="ORA68" s="15"/>
      <c r="ORB68" s="15"/>
      <c r="ORC68" s="15"/>
      <c r="ORD68" s="15"/>
      <c r="ORE68" s="15"/>
      <c r="ORF68" s="15"/>
      <c r="ORG68" s="15"/>
      <c r="ORH68" s="15"/>
      <c r="ORI68" s="15"/>
      <c r="ORJ68" s="15"/>
      <c r="ORK68" s="15"/>
      <c r="ORL68" s="15"/>
      <c r="ORM68" s="15"/>
      <c r="ORN68" s="15"/>
      <c r="ORO68" s="15"/>
      <c r="ORP68" s="15"/>
      <c r="ORQ68" s="15"/>
      <c r="ORR68" s="15"/>
      <c r="ORS68" s="15"/>
      <c r="ORT68" s="15"/>
      <c r="ORU68" s="15"/>
      <c r="ORV68" s="15"/>
      <c r="ORW68" s="15"/>
      <c r="ORX68" s="15"/>
      <c r="ORY68" s="15"/>
      <c r="ORZ68" s="15"/>
      <c r="OSA68" s="15"/>
      <c r="OSB68" s="15"/>
      <c r="OSC68" s="15"/>
      <c r="OSD68" s="15"/>
      <c r="OSE68" s="15"/>
      <c r="OSF68" s="15"/>
      <c r="OSG68" s="15"/>
      <c r="OSH68" s="15"/>
      <c r="OSI68" s="15"/>
      <c r="OSJ68" s="15"/>
      <c r="OSK68" s="15"/>
      <c r="OSL68" s="15"/>
      <c r="OSM68" s="15"/>
      <c r="OSN68" s="15"/>
      <c r="OSO68" s="15"/>
      <c r="OSP68" s="15"/>
      <c r="OSQ68" s="15"/>
      <c r="OSR68" s="15"/>
      <c r="OSS68" s="15"/>
      <c r="OST68" s="15"/>
      <c r="OSU68" s="15"/>
      <c r="OSV68" s="15"/>
      <c r="OSW68" s="15"/>
      <c r="OSX68" s="15"/>
      <c r="OSY68" s="15"/>
      <c r="OSZ68" s="15"/>
      <c r="OTA68" s="15"/>
      <c r="OTB68" s="15"/>
      <c r="OTC68" s="15"/>
      <c r="OTD68" s="15"/>
      <c r="OTE68" s="15"/>
      <c r="OTF68" s="15"/>
      <c r="OTG68" s="15"/>
      <c r="OTH68" s="15"/>
      <c r="OTI68" s="15"/>
      <c r="OTJ68" s="15"/>
      <c r="OTK68" s="15"/>
      <c r="OTL68" s="15"/>
      <c r="OTM68" s="15"/>
      <c r="OTN68" s="15"/>
      <c r="OTO68" s="15"/>
      <c r="OTP68" s="15"/>
      <c r="OTQ68" s="15"/>
      <c r="OTR68" s="15"/>
      <c r="OTS68" s="15"/>
      <c r="OTT68" s="15"/>
      <c r="OTU68" s="15"/>
      <c r="OTV68" s="15"/>
      <c r="OTW68" s="15"/>
      <c r="OTX68" s="15"/>
      <c r="OTY68" s="15"/>
      <c r="OTZ68" s="15"/>
      <c r="OUA68" s="15"/>
      <c r="OUB68" s="15"/>
      <c r="OUC68" s="15"/>
      <c r="OUD68" s="15"/>
      <c r="OUE68" s="15"/>
      <c r="OUF68" s="15"/>
      <c r="OUG68" s="15"/>
      <c r="OUH68" s="15"/>
      <c r="OUI68" s="15"/>
      <c r="OUJ68" s="15"/>
      <c r="OUK68" s="15"/>
      <c r="OUL68" s="15"/>
      <c r="OUM68" s="15"/>
      <c r="OUN68" s="15"/>
      <c r="OUO68" s="15"/>
      <c r="OUP68" s="15"/>
      <c r="OUQ68" s="15"/>
      <c r="OUR68" s="15"/>
      <c r="OUS68" s="15"/>
      <c r="OUT68" s="15"/>
      <c r="OUU68" s="15"/>
      <c r="OUV68" s="15"/>
      <c r="OUW68" s="15"/>
      <c r="OUX68" s="15"/>
      <c r="OUY68" s="15"/>
      <c r="OUZ68" s="15"/>
      <c r="OVA68" s="15"/>
      <c r="OVB68" s="15"/>
      <c r="OVC68" s="15"/>
      <c r="OVD68" s="15"/>
      <c r="OVE68" s="15"/>
      <c r="OVF68" s="15"/>
      <c r="OVG68" s="15"/>
      <c r="OVH68" s="15"/>
      <c r="OVI68" s="15"/>
      <c r="OVJ68" s="15"/>
      <c r="OVK68" s="15"/>
      <c r="OVL68" s="15"/>
      <c r="OVM68" s="15"/>
      <c r="OVN68" s="15"/>
      <c r="OVO68" s="15"/>
      <c r="OVP68" s="15"/>
      <c r="OVQ68" s="15"/>
      <c r="OVR68" s="15"/>
      <c r="OVS68" s="15"/>
      <c r="OVT68" s="15"/>
      <c r="OVU68" s="15"/>
      <c r="OVV68" s="15"/>
      <c r="OVW68" s="15"/>
      <c r="OVX68" s="15"/>
      <c r="OVY68" s="15"/>
      <c r="OVZ68" s="15"/>
      <c r="OWA68" s="15"/>
      <c r="OWB68" s="15"/>
      <c r="OWC68" s="15"/>
      <c r="OWD68" s="15"/>
      <c r="OWE68" s="15"/>
      <c r="OWF68" s="15"/>
      <c r="OWG68" s="15"/>
      <c r="OWH68" s="15"/>
      <c r="OWI68" s="15"/>
      <c r="OWJ68" s="15"/>
      <c r="OWK68" s="15"/>
      <c r="OWL68" s="15"/>
      <c r="OWM68" s="15"/>
      <c r="OWN68" s="15"/>
      <c r="OWO68" s="15"/>
      <c r="OWP68" s="15"/>
      <c r="OWQ68" s="15"/>
      <c r="OWR68" s="15"/>
      <c r="OWS68" s="15"/>
      <c r="OWT68" s="15"/>
      <c r="OWU68" s="15"/>
      <c r="OWV68" s="15"/>
      <c r="OWW68" s="15"/>
      <c r="OWX68" s="15"/>
      <c r="OWY68" s="15"/>
      <c r="OWZ68" s="15"/>
      <c r="OXA68" s="15"/>
      <c r="OXB68" s="15"/>
      <c r="OXC68" s="15"/>
      <c r="OXD68" s="15"/>
      <c r="OXE68" s="15"/>
      <c r="OXF68" s="15"/>
      <c r="OXG68" s="15"/>
      <c r="OXH68" s="15"/>
      <c r="OXI68" s="15"/>
      <c r="OXJ68" s="15"/>
      <c r="OXK68" s="15"/>
      <c r="OXL68" s="15"/>
      <c r="OXM68" s="15"/>
      <c r="OXN68" s="15"/>
      <c r="OXO68" s="15"/>
      <c r="OXP68" s="15"/>
      <c r="OXQ68" s="15"/>
      <c r="OXR68" s="15"/>
      <c r="OXS68" s="15"/>
      <c r="OXT68" s="15"/>
      <c r="OXU68" s="15"/>
      <c r="OXV68" s="15"/>
      <c r="OXW68" s="15"/>
      <c r="OXX68" s="15"/>
      <c r="OXY68" s="15"/>
      <c r="OXZ68" s="15"/>
      <c r="OYA68" s="15"/>
      <c r="OYB68" s="15"/>
      <c r="OYC68" s="15"/>
      <c r="OYD68" s="15"/>
      <c r="OYE68" s="15"/>
      <c r="OYF68" s="15"/>
      <c r="OYG68" s="15"/>
      <c r="OYH68" s="15"/>
      <c r="OYI68" s="15"/>
      <c r="OYJ68" s="15"/>
      <c r="OYK68" s="15"/>
      <c r="OYL68" s="15"/>
      <c r="OYM68" s="15"/>
      <c r="OYN68" s="15"/>
      <c r="OYO68" s="15"/>
      <c r="OYP68" s="15"/>
      <c r="OYQ68" s="15"/>
      <c r="OYR68" s="15"/>
      <c r="OYS68" s="15"/>
      <c r="OYT68" s="15"/>
      <c r="OYU68" s="15"/>
      <c r="OYV68" s="15"/>
      <c r="OYW68" s="15"/>
      <c r="OYX68" s="15"/>
      <c r="OYY68" s="15"/>
      <c r="OYZ68" s="15"/>
      <c r="OZA68" s="15"/>
      <c r="OZB68" s="15"/>
      <c r="OZC68" s="15"/>
      <c r="OZD68" s="15"/>
      <c r="OZE68" s="15"/>
      <c r="OZF68" s="15"/>
      <c r="OZG68" s="15"/>
      <c r="OZH68" s="15"/>
      <c r="OZI68" s="15"/>
      <c r="OZJ68" s="15"/>
      <c r="OZK68" s="15"/>
      <c r="OZL68" s="15"/>
      <c r="OZM68" s="15"/>
      <c r="OZN68" s="15"/>
      <c r="OZO68" s="15"/>
      <c r="OZP68" s="15"/>
      <c r="OZQ68" s="15"/>
      <c r="OZR68" s="15"/>
      <c r="OZS68" s="15"/>
      <c r="OZT68" s="15"/>
      <c r="OZU68" s="15"/>
      <c r="OZV68" s="15"/>
      <c r="OZW68" s="15"/>
      <c r="OZX68" s="15"/>
      <c r="OZY68" s="15"/>
      <c r="OZZ68" s="15"/>
      <c r="PAA68" s="15"/>
      <c r="PAB68" s="15"/>
      <c r="PAC68" s="15"/>
      <c r="PAD68" s="15"/>
      <c r="PAE68" s="15"/>
      <c r="PAF68" s="15"/>
      <c r="PAG68" s="15"/>
      <c r="PAH68" s="15"/>
      <c r="PAI68" s="15"/>
      <c r="PAJ68" s="15"/>
      <c r="PAK68" s="15"/>
      <c r="PAL68" s="15"/>
      <c r="PAM68" s="15"/>
      <c r="PAN68" s="15"/>
      <c r="PAO68" s="15"/>
      <c r="PAP68" s="15"/>
      <c r="PAQ68" s="15"/>
      <c r="PAR68" s="15"/>
      <c r="PAS68" s="15"/>
      <c r="PAT68" s="15"/>
      <c r="PAU68" s="15"/>
      <c r="PAV68" s="15"/>
      <c r="PAW68" s="15"/>
      <c r="PAX68" s="15"/>
      <c r="PAY68" s="15"/>
      <c r="PAZ68" s="15"/>
      <c r="PBA68" s="15"/>
      <c r="PBB68" s="15"/>
      <c r="PBC68" s="15"/>
      <c r="PBD68" s="15"/>
      <c r="PBE68" s="15"/>
      <c r="PBF68" s="15"/>
      <c r="PBG68" s="15"/>
      <c r="PBH68" s="15"/>
      <c r="PBI68" s="15"/>
      <c r="PBJ68" s="15"/>
      <c r="PBK68" s="15"/>
      <c r="PBL68" s="15"/>
      <c r="PBM68" s="15"/>
      <c r="PBN68" s="15"/>
      <c r="PBO68" s="15"/>
      <c r="PBP68" s="15"/>
      <c r="PBQ68" s="15"/>
      <c r="PBR68" s="15"/>
      <c r="PBS68" s="15"/>
      <c r="PBT68" s="15"/>
      <c r="PBU68" s="15"/>
      <c r="PBV68" s="15"/>
      <c r="PBW68" s="15"/>
      <c r="PBX68" s="15"/>
      <c r="PBY68" s="15"/>
      <c r="PBZ68" s="15"/>
      <c r="PCA68" s="15"/>
      <c r="PCB68" s="15"/>
      <c r="PCC68" s="15"/>
      <c r="PCD68" s="15"/>
      <c r="PCE68" s="15"/>
      <c r="PCF68" s="15"/>
      <c r="PCG68" s="15"/>
      <c r="PCH68" s="15"/>
      <c r="PCI68" s="15"/>
      <c r="PCJ68" s="15"/>
      <c r="PCK68" s="15"/>
      <c r="PCL68" s="15"/>
      <c r="PCM68" s="15"/>
      <c r="PCN68" s="15"/>
      <c r="PCO68" s="15"/>
      <c r="PCP68" s="15"/>
      <c r="PCQ68" s="15"/>
      <c r="PCR68" s="15"/>
      <c r="PCS68" s="15"/>
      <c r="PCT68" s="15"/>
      <c r="PCU68" s="15"/>
      <c r="PCV68" s="15"/>
      <c r="PCW68" s="15"/>
      <c r="PCX68" s="15"/>
      <c r="PCY68" s="15"/>
      <c r="PCZ68" s="15"/>
      <c r="PDA68" s="15"/>
      <c r="PDB68" s="15"/>
      <c r="PDC68" s="15"/>
      <c r="PDD68" s="15"/>
      <c r="PDE68" s="15"/>
      <c r="PDF68" s="15"/>
      <c r="PDG68" s="15"/>
      <c r="PDH68" s="15"/>
      <c r="PDI68" s="15"/>
      <c r="PDJ68" s="15"/>
      <c r="PDK68" s="15"/>
      <c r="PDL68" s="15"/>
      <c r="PDM68" s="15"/>
      <c r="PDN68" s="15"/>
      <c r="PDO68" s="15"/>
      <c r="PDP68" s="15"/>
      <c r="PDQ68" s="15"/>
      <c r="PDR68" s="15"/>
      <c r="PDS68" s="15"/>
      <c r="PDT68" s="15"/>
      <c r="PDU68" s="15"/>
      <c r="PDV68" s="15"/>
      <c r="PDW68" s="15"/>
      <c r="PDX68" s="15"/>
      <c r="PDY68" s="15"/>
      <c r="PDZ68" s="15"/>
      <c r="PEA68" s="15"/>
      <c r="PEB68" s="15"/>
      <c r="PEC68" s="15"/>
      <c r="PED68" s="15"/>
      <c r="PEE68" s="15"/>
      <c r="PEF68" s="15"/>
      <c r="PEG68" s="15"/>
      <c r="PEH68" s="15"/>
      <c r="PEI68" s="15"/>
      <c r="PEJ68" s="15"/>
      <c r="PEK68" s="15"/>
      <c r="PEL68" s="15"/>
      <c r="PEM68" s="15"/>
      <c r="PEN68" s="15"/>
      <c r="PEO68" s="15"/>
      <c r="PEP68" s="15"/>
      <c r="PEQ68" s="15"/>
      <c r="PER68" s="15"/>
      <c r="PES68" s="15"/>
      <c r="PET68" s="15"/>
      <c r="PEU68" s="15"/>
      <c r="PEV68" s="15"/>
      <c r="PEW68" s="15"/>
      <c r="PEX68" s="15"/>
      <c r="PEY68" s="15"/>
      <c r="PEZ68" s="15"/>
      <c r="PFA68" s="15"/>
      <c r="PFB68" s="15"/>
      <c r="PFC68" s="15"/>
      <c r="PFD68" s="15"/>
      <c r="PFE68" s="15"/>
      <c r="PFF68" s="15"/>
      <c r="PFG68" s="15"/>
      <c r="PFH68" s="15"/>
      <c r="PFI68" s="15"/>
      <c r="PFJ68" s="15"/>
      <c r="PFK68" s="15"/>
      <c r="PFL68" s="15"/>
      <c r="PFM68" s="15"/>
      <c r="PFN68" s="15"/>
      <c r="PFO68" s="15"/>
      <c r="PFP68" s="15"/>
      <c r="PFQ68" s="15"/>
      <c r="PFR68" s="15"/>
      <c r="PFS68" s="15"/>
      <c r="PFT68" s="15"/>
      <c r="PFU68" s="15"/>
      <c r="PFV68" s="15"/>
      <c r="PFW68" s="15"/>
      <c r="PFX68" s="15"/>
      <c r="PFY68" s="15"/>
      <c r="PFZ68" s="15"/>
      <c r="PGA68" s="15"/>
      <c r="PGB68" s="15"/>
      <c r="PGC68" s="15"/>
      <c r="PGD68" s="15"/>
      <c r="PGE68" s="15"/>
      <c r="PGF68" s="15"/>
      <c r="PGG68" s="15"/>
      <c r="PGH68" s="15"/>
      <c r="PGI68" s="15"/>
      <c r="PGJ68" s="15"/>
      <c r="PGK68" s="15"/>
      <c r="PGL68" s="15"/>
      <c r="PGM68" s="15"/>
      <c r="PGN68" s="15"/>
      <c r="PGO68" s="15"/>
      <c r="PGP68" s="15"/>
      <c r="PGQ68" s="15"/>
      <c r="PGR68" s="15"/>
      <c r="PGS68" s="15"/>
      <c r="PGT68" s="15"/>
      <c r="PGU68" s="15"/>
      <c r="PGV68" s="15"/>
      <c r="PGW68" s="15"/>
      <c r="PGX68" s="15"/>
      <c r="PGY68" s="15"/>
      <c r="PGZ68" s="15"/>
      <c r="PHA68" s="15"/>
      <c r="PHB68" s="15"/>
      <c r="PHC68" s="15"/>
      <c r="PHD68" s="15"/>
      <c r="PHE68" s="15"/>
      <c r="PHF68" s="15"/>
      <c r="PHG68" s="15"/>
      <c r="PHH68" s="15"/>
      <c r="PHI68" s="15"/>
      <c r="PHJ68" s="15"/>
      <c r="PHK68" s="15"/>
      <c r="PHL68" s="15"/>
      <c r="PHM68" s="15"/>
      <c r="PHN68" s="15"/>
      <c r="PHO68" s="15"/>
      <c r="PHP68" s="15"/>
      <c r="PHQ68" s="15"/>
      <c r="PHR68" s="15"/>
      <c r="PHS68" s="15"/>
      <c r="PHT68" s="15"/>
      <c r="PHU68" s="15"/>
      <c r="PHV68" s="15"/>
      <c r="PHW68" s="15"/>
      <c r="PHX68" s="15"/>
      <c r="PHY68" s="15"/>
      <c r="PHZ68" s="15"/>
      <c r="PIA68" s="15"/>
      <c r="PIB68" s="15"/>
      <c r="PIC68" s="15"/>
      <c r="PID68" s="15"/>
      <c r="PIE68" s="15"/>
      <c r="PIF68" s="15"/>
      <c r="PIG68" s="15"/>
      <c r="PIH68" s="15"/>
      <c r="PII68" s="15"/>
      <c r="PIJ68" s="15"/>
      <c r="PIK68" s="15"/>
      <c r="PIL68" s="15"/>
      <c r="PIM68" s="15"/>
      <c r="PIN68" s="15"/>
      <c r="PIO68" s="15"/>
      <c r="PIP68" s="15"/>
      <c r="PIQ68" s="15"/>
      <c r="PIR68" s="15"/>
      <c r="PIS68" s="15"/>
      <c r="PIT68" s="15"/>
      <c r="PIU68" s="15"/>
      <c r="PIV68" s="15"/>
      <c r="PIW68" s="15"/>
      <c r="PIX68" s="15"/>
      <c r="PIY68" s="15"/>
      <c r="PIZ68" s="15"/>
      <c r="PJA68" s="15"/>
      <c r="PJB68" s="15"/>
      <c r="PJC68" s="15"/>
      <c r="PJD68" s="15"/>
      <c r="PJE68" s="15"/>
      <c r="PJF68" s="15"/>
      <c r="PJG68" s="15"/>
      <c r="PJH68" s="15"/>
      <c r="PJI68" s="15"/>
      <c r="PJJ68" s="15"/>
      <c r="PJK68" s="15"/>
      <c r="PJL68" s="15"/>
      <c r="PJM68" s="15"/>
      <c r="PJN68" s="15"/>
      <c r="PJO68" s="15"/>
      <c r="PJP68" s="15"/>
      <c r="PJQ68" s="15"/>
      <c r="PJR68" s="15"/>
      <c r="PJS68" s="15"/>
      <c r="PJT68" s="15"/>
      <c r="PJU68" s="15"/>
      <c r="PJV68" s="15"/>
      <c r="PJW68" s="15"/>
      <c r="PJX68" s="15"/>
      <c r="PJY68" s="15"/>
      <c r="PJZ68" s="15"/>
      <c r="PKA68" s="15"/>
      <c r="PKB68" s="15"/>
      <c r="PKC68" s="15"/>
      <c r="PKD68" s="15"/>
      <c r="PKE68" s="15"/>
      <c r="PKF68" s="15"/>
      <c r="PKG68" s="15"/>
      <c r="PKH68" s="15"/>
      <c r="PKI68" s="15"/>
      <c r="PKJ68" s="15"/>
      <c r="PKK68" s="15"/>
      <c r="PKL68" s="15"/>
      <c r="PKM68" s="15"/>
      <c r="PKN68" s="15"/>
      <c r="PKO68" s="15"/>
      <c r="PKP68" s="15"/>
      <c r="PKQ68" s="15"/>
      <c r="PKR68" s="15"/>
      <c r="PKS68" s="15"/>
      <c r="PKT68" s="15"/>
      <c r="PKU68" s="15"/>
      <c r="PKV68" s="15"/>
      <c r="PKW68" s="15"/>
      <c r="PKX68" s="15"/>
      <c r="PKY68" s="15"/>
      <c r="PKZ68" s="15"/>
      <c r="PLA68" s="15"/>
      <c r="PLB68" s="15"/>
      <c r="PLC68" s="15"/>
      <c r="PLD68" s="15"/>
      <c r="PLE68" s="15"/>
      <c r="PLF68" s="15"/>
      <c r="PLG68" s="15"/>
      <c r="PLH68" s="15"/>
      <c r="PLI68" s="15"/>
      <c r="PLJ68" s="15"/>
      <c r="PLK68" s="15"/>
      <c r="PLL68" s="15"/>
      <c r="PLM68" s="15"/>
      <c r="PLN68" s="15"/>
      <c r="PLO68" s="15"/>
      <c r="PLP68" s="15"/>
      <c r="PLQ68" s="15"/>
      <c r="PLR68" s="15"/>
      <c r="PLS68" s="15"/>
      <c r="PLT68" s="15"/>
      <c r="PLU68" s="15"/>
      <c r="PLV68" s="15"/>
      <c r="PLW68" s="15"/>
      <c r="PLX68" s="15"/>
      <c r="PLY68" s="15"/>
      <c r="PLZ68" s="15"/>
      <c r="PMA68" s="15"/>
      <c r="PMB68" s="15"/>
      <c r="PMC68" s="15"/>
      <c r="PMD68" s="15"/>
      <c r="PME68" s="15"/>
      <c r="PMF68" s="15"/>
      <c r="PMG68" s="15"/>
      <c r="PMH68" s="15"/>
      <c r="PMI68" s="15"/>
      <c r="PMJ68" s="15"/>
      <c r="PMK68" s="15"/>
      <c r="PML68" s="15"/>
      <c r="PMM68" s="15"/>
      <c r="PMN68" s="15"/>
      <c r="PMO68" s="15"/>
      <c r="PMP68" s="15"/>
      <c r="PMQ68" s="15"/>
      <c r="PMR68" s="15"/>
      <c r="PMS68" s="15"/>
      <c r="PMT68" s="15"/>
      <c r="PMU68" s="15"/>
      <c r="PMV68" s="15"/>
      <c r="PMW68" s="15"/>
      <c r="PMX68" s="15"/>
      <c r="PMY68" s="15"/>
      <c r="PMZ68" s="15"/>
      <c r="PNA68" s="15"/>
      <c r="PNB68" s="15"/>
      <c r="PNC68" s="15"/>
      <c r="PND68" s="15"/>
      <c r="PNE68" s="15"/>
      <c r="PNF68" s="15"/>
      <c r="PNG68" s="15"/>
      <c r="PNH68" s="15"/>
      <c r="PNI68" s="15"/>
      <c r="PNJ68" s="15"/>
      <c r="PNK68" s="15"/>
      <c r="PNL68" s="15"/>
      <c r="PNM68" s="15"/>
      <c r="PNN68" s="15"/>
      <c r="PNO68" s="15"/>
      <c r="PNP68" s="15"/>
      <c r="PNQ68" s="15"/>
      <c r="PNR68" s="15"/>
      <c r="PNS68" s="15"/>
      <c r="PNT68" s="15"/>
      <c r="PNU68" s="15"/>
      <c r="PNV68" s="15"/>
      <c r="PNW68" s="15"/>
      <c r="PNX68" s="15"/>
      <c r="PNY68" s="15"/>
      <c r="PNZ68" s="15"/>
      <c r="POA68" s="15"/>
      <c r="POB68" s="15"/>
      <c r="POC68" s="15"/>
      <c r="POD68" s="15"/>
      <c r="POE68" s="15"/>
      <c r="POF68" s="15"/>
      <c r="POG68" s="15"/>
      <c r="POH68" s="15"/>
      <c r="POI68" s="15"/>
      <c r="POJ68" s="15"/>
      <c r="POK68" s="15"/>
      <c r="POL68" s="15"/>
      <c r="POM68" s="15"/>
      <c r="PON68" s="15"/>
      <c r="POO68" s="15"/>
      <c r="POP68" s="15"/>
      <c r="POQ68" s="15"/>
      <c r="POR68" s="15"/>
      <c r="POS68" s="15"/>
      <c r="POT68" s="15"/>
      <c r="POU68" s="15"/>
      <c r="POV68" s="15"/>
      <c r="POW68" s="15"/>
      <c r="POX68" s="15"/>
      <c r="POY68" s="15"/>
      <c r="POZ68" s="15"/>
      <c r="PPA68" s="15"/>
      <c r="PPB68" s="15"/>
      <c r="PPC68" s="15"/>
      <c r="PPD68" s="15"/>
      <c r="PPE68" s="15"/>
      <c r="PPF68" s="15"/>
      <c r="PPG68" s="15"/>
      <c r="PPH68" s="15"/>
      <c r="PPI68" s="15"/>
      <c r="PPJ68" s="15"/>
      <c r="PPK68" s="15"/>
      <c r="PPL68" s="15"/>
      <c r="PPM68" s="15"/>
      <c r="PPN68" s="15"/>
      <c r="PPO68" s="15"/>
      <c r="PPP68" s="15"/>
      <c r="PPQ68" s="15"/>
      <c r="PPR68" s="15"/>
      <c r="PPS68" s="15"/>
      <c r="PPT68" s="15"/>
      <c r="PPU68" s="15"/>
      <c r="PPV68" s="15"/>
      <c r="PPW68" s="15"/>
      <c r="PPX68" s="15"/>
      <c r="PPY68" s="15"/>
      <c r="PPZ68" s="15"/>
      <c r="PQA68" s="15"/>
      <c r="PQB68" s="15"/>
      <c r="PQC68" s="15"/>
      <c r="PQD68" s="15"/>
      <c r="PQE68" s="15"/>
      <c r="PQF68" s="15"/>
      <c r="PQG68" s="15"/>
      <c r="PQH68" s="15"/>
      <c r="PQI68" s="15"/>
      <c r="PQJ68" s="15"/>
      <c r="PQK68" s="15"/>
      <c r="PQL68" s="15"/>
      <c r="PQM68" s="15"/>
      <c r="PQN68" s="15"/>
      <c r="PQO68" s="15"/>
      <c r="PQP68" s="15"/>
      <c r="PQQ68" s="15"/>
      <c r="PQR68" s="15"/>
      <c r="PQS68" s="15"/>
      <c r="PQT68" s="15"/>
      <c r="PQU68" s="15"/>
      <c r="PQV68" s="15"/>
      <c r="PQW68" s="15"/>
      <c r="PQX68" s="15"/>
      <c r="PQY68" s="15"/>
      <c r="PQZ68" s="15"/>
      <c r="PRA68" s="15"/>
      <c r="PRB68" s="15"/>
      <c r="PRC68" s="15"/>
      <c r="PRD68" s="15"/>
      <c r="PRE68" s="15"/>
      <c r="PRF68" s="15"/>
      <c r="PRG68" s="15"/>
      <c r="PRH68" s="15"/>
      <c r="PRI68" s="15"/>
      <c r="PRJ68" s="15"/>
      <c r="PRK68" s="15"/>
      <c r="PRL68" s="15"/>
      <c r="PRM68" s="15"/>
      <c r="PRN68" s="15"/>
      <c r="PRO68" s="15"/>
      <c r="PRP68" s="15"/>
      <c r="PRQ68" s="15"/>
      <c r="PRR68" s="15"/>
      <c r="PRS68" s="15"/>
      <c r="PRT68" s="15"/>
      <c r="PRU68" s="15"/>
      <c r="PRV68" s="15"/>
      <c r="PRW68" s="15"/>
      <c r="PRX68" s="15"/>
      <c r="PRY68" s="15"/>
      <c r="PRZ68" s="15"/>
      <c r="PSA68" s="15"/>
      <c r="PSB68" s="15"/>
      <c r="PSC68" s="15"/>
      <c r="PSD68" s="15"/>
      <c r="PSE68" s="15"/>
      <c r="PSF68" s="15"/>
      <c r="PSG68" s="15"/>
      <c r="PSH68" s="15"/>
      <c r="PSI68" s="15"/>
      <c r="PSJ68" s="15"/>
      <c r="PSK68" s="15"/>
      <c r="PSL68" s="15"/>
      <c r="PSM68" s="15"/>
      <c r="PSN68" s="15"/>
      <c r="PSO68" s="15"/>
      <c r="PSP68" s="15"/>
      <c r="PSQ68" s="15"/>
      <c r="PSR68" s="15"/>
      <c r="PSS68" s="15"/>
      <c r="PST68" s="15"/>
      <c r="PSU68" s="15"/>
      <c r="PSV68" s="15"/>
      <c r="PSW68" s="15"/>
      <c r="PSX68" s="15"/>
      <c r="PSY68" s="15"/>
      <c r="PSZ68" s="15"/>
      <c r="PTA68" s="15"/>
      <c r="PTB68" s="15"/>
      <c r="PTC68" s="15"/>
      <c r="PTD68" s="15"/>
      <c r="PTE68" s="15"/>
      <c r="PTF68" s="15"/>
      <c r="PTG68" s="15"/>
      <c r="PTH68" s="15"/>
      <c r="PTI68" s="15"/>
      <c r="PTJ68" s="15"/>
      <c r="PTK68" s="15"/>
      <c r="PTL68" s="15"/>
      <c r="PTM68" s="15"/>
      <c r="PTN68" s="15"/>
      <c r="PTO68" s="15"/>
      <c r="PTP68" s="15"/>
      <c r="PTQ68" s="15"/>
      <c r="PTR68" s="15"/>
      <c r="PTS68" s="15"/>
      <c r="PTT68" s="15"/>
      <c r="PTU68" s="15"/>
      <c r="PTV68" s="15"/>
      <c r="PTW68" s="15"/>
      <c r="PTX68" s="15"/>
      <c r="PTY68" s="15"/>
      <c r="PTZ68" s="15"/>
      <c r="PUA68" s="15"/>
      <c r="PUB68" s="15"/>
      <c r="PUC68" s="15"/>
      <c r="PUD68" s="15"/>
      <c r="PUE68" s="15"/>
      <c r="PUF68" s="15"/>
      <c r="PUG68" s="15"/>
      <c r="PUH68" s="15"/>
      <c r="PUI68" s="15"/>
      <c r="PUJ68" s="15"/>
      <c r="PUK68" s="15"/>
      <c r="PUL68" s="15"/>
      <c r="PUM68" s="15"/>
      <c r="PUN68" s="15"/>
      <c r="PUO68" s="15"/>
      <c r="PUP68" s="15"/>
      <c r="PUQ68" s="15"/>
      <c r="PUR68" s="15"/>
      <c r="PUS68" s="15"/>
      <c r="PUT68" s="15"/>
      <c r="PUU68" s="15"/>
      <c r="PUV68" s="15"/>
      <c r="PUW68" s="15"/>
      <c r="PUX68" s="15"/>
      <c r="PUY68" s="15"/>
      <c r="PUZ68" s="15"/>
      <c r="PVA68" s="15"/>
      <c r="PVB68" s="15"/>
      <c r="PVC68" s="15"/>
      <c r="PVD68" s="15"/>
      <c r="PVE68" s="15"/>
      <c r="PVF68" s="15"/>
      <c r="PVG68" s="15"/>
      <c r="PVH68" s="15"/>
      <c r="PVI68" s="15"/>
      <c r="PVJ68" s="15"/>
      <c r="PVK68" s="15"/>
      <c r="PVL68" s="15"/>
      <c r="PVM68" s="15"/>
      <c r="PVN68" s="15"/>
      <c r="PVO68" s="15"/>
      <c r="PVP68" s="15"/>
      <c r="PVQ68" s="15"/>
      <c r="PVR68" s="15"/>
      <c r="PVS68" s="15"/>
      <c r="PVT68" s="15"/>
      <c r="PVU68" s="15"/>
      <c r="PVV68" s="15"/>
      <c r="PVW68" s="15"/>
      <c r="PVX68" s="15"/>
      <c r="PVY68" s="15"/>
      <c r="PVZ68" s="15"/>
      <c r="PWA68" s="15"/>
      <c r="PWB68" s="15"/>
      <c r="PWC68" s="15"/>
      <c r="PWD68" s="15"/>
      <c r="PWE68" s="15"/>
      <c r="PWF68" s="15"/>
      <c r="PWG68" s="15"/>
      <c r="PWH68" s="15"/>
      <c r="PWI68" s="15"/>
      <c r="PWJ68" s="15"/>
      <c r="PWK68" s="15"/>
      <c r="PWL68" s="15"/>
      <c r="PWM68" s="15"/>
      <c r="PWN68" s="15"/>
      <c r="PWO68" s="15"/>
      <c r="PWP68" s="15"/>
      <c r="PWQ68" s="15"/>
      <c r="PWR68" s="15"/>
      <c r="PWS68" s="15"/>
      <c r="PWT68" s="15"/>
      <c r="PWU68" s="15"/>
      <c r="PWV68" s="15"/>
      <c r="PWW68" s="15"/>
      <c r="PWX68" s="15"/>
      <c r="PWY68" s="15"/>
      <c r="PWZ68" s="15"/>
      <c r="PXA68" s="15"/>
      <c r="PXB68" s="15"/>
      <c r="PXC68" s="15"/>
      <c r="PXD68" s="15"/>
      <c r="PXE68" s="15"/>
      <c r="PXF68" s="15"/>
      <c r="PXG68" s="15"/>
      <c r="PXH68" s="15"/>
      <c r="PXI68" s="15"/>
      <c r="PXJ68" s="15"/>
      <c r="PXK68" s="15"/>
      <c r="PXL68" s="15"/>
      <c r="PXM68" s="15"/>
      <c r="PXN68" s="15"/>
      <c r="PXO68" s="15"/>
      <c r="PXP68" s="15"/>
      <c r="PXQ68" s="15"/>
      <c r="PXR68" s="15"/>
      <c r="PXS68" s="15"/>
      <c r="PXT68" s="15"/>
      <c r="PXU68" s="15"/>
      <c r="PXV68" s="15"/>
      <c r="PXW68" s="15"/>
      <c r="PXX68" s="15"/>
      <c r="PXY68" s="15"/>
      <c r="PXZ68" s="15"/>
      <c r="PYA68" s="15"/>
      <c r="PYB68" s="15"/>
      <c r="PYC68" s="15"/>
      <c r="PYD68" s="15"/>
      <c r="PYE68" s="15"/>
      <c r="PYF68" s="15"/>
      <c r="PYG68" s="15"/>
      <c r="PYH68" s="15"/>
      <c r="PYI68" s="15"/>
      <c r="PYJ68" s="15"/>
      <c r="PYK68" s="15"/>
      <c r="PYL68" s="15"/>
      <c r="PYM68" s="15"/>
      <c r="PYN68" s="15"/>
      <c r="PYO68" s="15"/>
      <c r="PYP68" s="15"/>
      <c r="PYQ68" s="15"/>
      <c r="PYR68" s="15"/>
      <c r="PYS68" s="15"/>
      <c r="PYT68" s="15"/>
      <c r="PYU68" s="15"/>
      <c r="PYV68" s="15"/>
      <c r="PYW68" s="15"/>
      <c r="PYX68" s="15"/>
      <c r="PYY68" s="15"/>
      <c r="PYZ68" s="15"/>
      <c r="PZA68" s="15"/>
      <c r="PZB68" s="15"/>
      <c r="PZC68" s="15"/>
      <c r="PZD68" s="15"/>
      <c r="PZE68" s="15"/>
      <c r="PZF68" s="15"/>
      <c r="PZG68" s="15"/>
      <c r="PZH68" s="15"/>
      <c r="PZI68" s="15"/>
      <c r="PZJ68" s="15"/>
      <c r="PZK68" s="15"/>
      <c r="PZL68" s="15"/>
      <c r="PZM68" s="15"/>
      <c r="PZN68" s="15"/>
      <c r="PZO68" s="15"/>
      <c r="PZP68" s="15"/>
      <c r="PZQ68" s="15"/>
      <c r="PZR68" s="15"/>
      <c r="PZS68" s="15"/>
      <c r="PZT68" s="15"/>
      <c r="PZU68" s="15"/>
      <c r="PZV68" s="15"/>
      <c r="PZW68" s="15"/>
      <c r="PZX68" s="15"/>
      <c r="PZY68" s="15"/>
      <c r="PZZ68" s="15"/>
      <c r="QAA68" s="15"/>
      <c r="QAB68" s="15"/>
      <c r="QAC68" s="15"/>
      <c r="QAD68" s="15"/>
      <c r="QAE68" s="15"/>
      <c r="QAF68" s="15"/>
      <c r="QAG68" s="15"/>
      <c r="QAH68" s="15"/>
      <c r="QAI68" s="15"/>
      <c r="QAJ68" s="15"/>
      <c r="QAK68" s="15"/>
      <c r="QAL68" s="15"/>
      <c r="QAM68" s="15"/>
      <c r="QAN68" s="15"/>
      <c r="QAO68" s="15"/>
      <c r="QAP68" s="15"/>
      <c r="QAQ68" s="15"/>
      <c r="QAR68" s="15"/>
      <c r="QAS68" s="15"/>
      <c r="QAT68" s="15"/>
      <c r="QAU68" s="15"/>
      <c r="QAV68" s="15"/>
      <c r="QAW68" s="15"/>
      <c r="QAX68" s="15"/>
      <c r="QAY68" s="15"/>
      <c r="QAZ68" s="15"/>
      <c r="QBA68" s="15"/>
      <c r="QBB68" s="15"/>
      <c r="QBC68" s="15"/>
      <c r="QBD68" s="15"/>
      <c r="QBE68" s="15"/>
      <c r="QBF68" s="15"/>
      <c r="QBG68" s="15"/>
      <c r="QBH68" s="15"/>
      <c r="QBI68" s="15"/>
      <c r="QBJ68" s="15"/>
      <c r="QBK68" s="15"/>
      <c r="QBL68" s="15"/>
      <c r="QBM68" s="15"/>
      <c r="QBN68" s="15"/>
      <c r="QBO68" s="15"/>
      <c r="QBP68" s="15"/>
      <c r="QBQ68" s="15"/>
      <c r="QBR68" s="15"/>
      <c r="QBS68" s="15"/>
      <c r="QBT68" s="15"/>
      <c r="QBU68" s="15"/>
      <c r="QBV68" s="15"/>
      <c r="QBW68" s="15"/>
      <c r="QBX68" s="15"/>
      <c r="QBY68" s="15"/>
      <c r="QBZ68" s="15"/>
      <c r="QCA68" s="15"/>
      <c r="QCB68" s="15"/>
      <c r="QCC68" s="15"/>
      <c r="QCD68" s="15"/>
      <c r="QCE68" s="15"/>
      <c r="QCF68" s="15"/>
      <c r="QCG68" s="15"/>
      <c r="QCH68" s="15"/>
      <c r="QCI68" s="15"/>
      <c r="QCJ68" s="15"/>
      <c r="QCK68" s="15"/>
      <c r="QCL68" s="15"/>
      <c r="QCM68" s="15"/>
      <c r="QCN68" s="15"/>
      <c r="QCO68" s="15"/>
      <c r="QCP68" s="15"/>
      <c r="QCQ68" s="15"/>
      <c r="QCR68" s="15"/>
      <c r="QCS68" s="15"/>
      <c r="QCT68" s="15"/>
      <c r="QCU68" s="15"/>
      <c r="QCV68" s="15"/>
      <c r="QCW68" s="15"/>
      <c r="QCX68" s="15"/>
      <c r="QCY68" s="15"/>
      <c r="QCZ68" s="15"/>
      <c r="QDA68" s="15"/>
      <c r="QDB68" s="15"/>
      <c r="QDC68" s="15"/>
      <c r="QDD68" s="15"/>
      <c r="QDE68" s="15"/>
      <c r="QDF68" s="15"/>
      <c r="QDG68" s="15"/>
      <c r="QDH68" s="15"/>
      <c r="QDI68" s="15"/>
      <c r="QDJ68" s="15"/>
      <c r="QDK68" s="15"/>
      <c r="QDL68" s="15"/>
      <c r="QDM68" s="15"/>
      <c r="QDN68" s="15"/>
      <c r="QDO68" s="15"/>
      <c r="QDP68" s="15"/>
      <c r="QDQ68" s="15"/>
      <c r="QDR68" s="15"/>
      <c r="QDS68" s="15"/>
      <c r="QDT68" s="15"/>
      <c r="QDU68" s="15"/>
      <c r="QDV68" s="15"/>
      <c r="QDW68" s="15"/>
      <c r="QDX68" s="15"/>
      <c r="QDY68" s="15"/>
      <c r="QDZ68" s="15"/>
      <c r="QEA68" s="15"/>
      <c r="QEB68" s="15"/>
      <c r="QEC68" s="15"/>
      <c r="QED68" s="15"/>
      <c r="QEE68" s="15"/>
      <c r="QEF68" s="15"/>
      <c r="QEG68" s="15"/>
      <c r="QEH68" s="15"/>
      <c r="QEI68" s="15"/>
      <c r="QEJ68" s="15"/>
      <c r="QEK68" s="15"/>
      <c r="QEL68" s="15"/>
      <c r="QEM68" s="15"/>
      <c r="QEN68" s="15"/>
      <c r="QEO68" s="15"/>
      <c r="QEP68" s="15"/>
      <c r="QEQ68" s="15"/>
      <c r="QER68" s="15"/>
      <c r="QES68" s="15"/>
      <c r="QET68" s="15"/>
      <c r="QEU68" s="15"/>
      <c r="QEV68" s="15"/>
      <c r="QEW68" s="15"/>
      <c r="QEX68" s="15"/>
      <c r="QEY68" s="15"/>
      <c r="QEZ68" s="15"/>
      <c r="QFA68" s="15"/>
      <c r="QFB68" s="15"/>
      <c r="QFC68" s="15"/>
      <c r="QFD68" s="15"/>
      <c r="QFE68" s="15"/>
      <c r="QFF68" s="15"/>
      <c r="QFG68" s="15"/>
      <c r="QFH68" s="15"/>
      <c r="QFI68" s="15"/>
      <c r="QFJ68" s="15"/>
      <c r="QFK68" s="15"/>
      <c r="QFL68" s="15"/>
      <c r="QFM68" s="15"/>
      <c r="QFN68" s="15"/>
      <c r="QFO68" s="15"/>
      <c r="QFP68" s="15"/>
      <c r="QFQ68" s="15"/>
      <c r="QFR68" s="15"/>
      <c r="QFS68" s="15"/>
      <c r="QFT68" s="15"/>
      <c r="QFU68" s="15"/>
      <c r="QFV68" s="15"/>
      <c r="QFW68" s="15"/>
      <c r="QFX68" s="15"/>
      <c r="QFY68" s="15"/>
      <c r="QFZ68" s="15"/>
      <c r="QGA68" s="15"/>
      <c r="QGB68" s="15"/>
      <c r="QGC68" s="15"/>
      <c r="QGD68" s="15"/>
      <c r="QGE68" s="15"/>
      <c r="QGF68" s="15"/>
      <c r="QGG68" s="15"/>
      <c r="QGH68" s="15"/>
      <c r="QGI68" s="15"/>
      <c r="QGJ68" s="15"/>
      <c r="QGK68" s="15"/>
      <c r="QGL68" s="15"/>
      <c r="QGM68" s="15"/>
      <c r="QGN68" s="15"/>
      <c r="QGO68" s="15"/>
      <c r="QGP68" s="15"/>
      <c r="QGQ68" s="15"/>
      <c r="QGR68" s="15"/>
      <c r="QGS68" s="15"/>
      <c r="QGT68" s="15"/>
      <c r="QGU68" s="15"/>
      <c r="QGV68" s="15"/>
      <c r="QGW68" s="15"/>
      <c r="QGX68" s="15"/>
      <c r="QGY68" s="15"/>
      <c r="QGZ68" s="15"/>
      <c r="QHA68" s="15"/>
      <c r="QHB68" s="15"/>
      <c r="QHC68" s="15"/>
      <c r="QHD68" s="15"/>
      <c r="QHE68" s="15"/>
      <c r="QHF68" s="15"/>
      <c r="QHG68" s="15"/>
      <c r="QHH68" s="15"/>
      <c r="QHI68" s="15"/>
      <c r="QHJ68" s="15"/>
      <c r="QHK68" s="15"/>
      <c r="QHL68" s="15"/>
      <c r="QHM68" s="15"/>
      <c r="QHN68" s="15"/>
      <c r="QHO68" s="15"/>
      <c r="QHP68" s="15"/>
      <c r="QHQ68" s="15"/>
      <c r="QHR68" s="15"/>
      <c r="QHS68" s="15"/>
      <c r="QHT68" s="15"/>
      <c r="QHU68" s="15"/>
      <c r="QHV68" s="15"/>
      <c r="QHW68" s="15"/>
      <c r="QHX68" s="15"/>
      <c r="QHY68" s="15"/>
      <c r="QHZ68" s="15"/>
      <c r="QIA68" s="15"/>
      <c r="QIB68" s="15"/>
      <c r="QIC68" s="15"/>
      <c r="QID68" s="15"/>
      <c r="QIE68" s="15"/>
      <c r="QIF68" s="15"/>
      <c r="QIG68" s="15"/>
      <c r="QIH68" s="15"/>
      <c r="QII68" s="15"/>
      <c r="QIJ68" s="15"/>
      <c r="QIK68" s="15"/>
      <c r="QIL68" s="15"/>
      <c r="QIM68" s="15"/>
      <c r="QIN68" s="15"/>
      <c r="QIO68" s="15"/>
      <c r="QIP68" s="15"/>
      <c r="QIQ68" s="15"/>
      <c r="QIR68" s="15"/>
      <c r="QIS68" s="15"/>
      <c r="QIT68" s="15"/>
      <c r="QIU68" s="15"/>
      <c r="QIV68" s="15"/>
      <c r="QIW68" s="15"/>
      <c r="QIX68" s="15"/>
      <c r="QIY68" s="15"/>
      <c r="QIZ68" s="15"/>
      <c r="QJA68" s="15"/>
      <c r="QJB68" s="15"/>
      <c r="QJC68" s="15"/>
      <c r="QJD68" s="15"/>
      <c r="QJE68" s="15"/>
      <c r="QJF68" s="15"/>
      <c r="QJG68" s="15"/>
      <c r="QJH68" s="15"/>
      <c r="QJI68" s="15"/>
      <c r="QJJ68" s="15"/>
      <c r="QJK68" s="15"/>
      <c r="QJL68" s="15"/>
      <c r="QJM68" s="15"/>
      <c r="QJN68" s="15"/>
      <c r="QJO68" s="15"/>
      <c r="QJP68" s="15"/>
      <c r="QJQ68" s="15"/>
      <c r="QJR68" s="15"/>
      <c r="QJS68" s="15"/>
      <c r="QJT68" s="15"/>
      <c r="QJU68" s="15"/>
      <c r="QJV68" s="15"/>
      <c r="QJW68" s="15"/>
      <c r="QJX68" s="15"/>
      <c r="QJY68" s="15"/>
      <c r="QJZ68" s="15"/>
      <c r="QKA68" s="15"/>
      <c r="QKB68" s="15"/>
      <c r="QKC68" s="15"/>
      <c r="QKD68" s="15"/>
      <c r="QKE68" s="15"/>
      <c r="QKF68" s="15"/>
      <c r="QKG68" s="15"/>
      <c r="QKH68" s="15"/>
      <c r="QKI68" s="15"/>
      <c r="QKJ68" s="15"/>
      <c r="QKK68" s="15"/>
      <c r="QKL68" s="15"/>
      <c r="QKM68" s="15"/>
      <c r="QKN68" s="15"/>
      <c r="QKO68" s="15"/>
      <c r="QKP68" s="15"/>
      <c r="QKQ68" s="15"/>
      <c r="QKR68" s="15"/>
      <c r="QKS68" s="15"/>
      <c r="QKT68" s="15"/>
      <c r="QKU68" s="15"/>
      <c r="QKV68" s="15"/>
      <c r="QKW68" s="15"/>
      <c r="QKX68" s="15"/>
      <c r="QKY68" s="15"/>
      <c r="QKZ68" s="15"/>
      <c r="QLA68" s="15"/>
      <c r="QLB68" s="15"/>
      <c r="QLC68" s="15"/>
      <c r="QLD68" s="15"/>
      <c r="QLE68" s="15"/>
      <c r="QLF68" s="15"/>
      <c r="QLG68" s="15"/>
      <c r="QLH68" s="15"/>
      <c r="QLI68" s="15"/>
      <c r="QLJ68" s="15"/>
      <c r="QLK68" s="15"/>
      <c r="QLL68" s="15"/>
      <c r="QLM68" s="15"/>
      <c r="QLN68" s="15"/>
      <c r="QLO68" s="15"/>
      <c r="QLP68" s="15"/>
      <c r="QLQ68" s="15"/>
      <c r="QLR68" s="15"/>
      <c r="QLS68" s="15"/>
      <c r="QLT68" s="15"/>
      <c r="QLU68" s="15"/>
      <c r="QLV68" s="15"/>
      <c r="QLW68" s="15"/>
      <c r="QLX68" s="15"/>
      <c r="QLY68" s="15"/>
      <c r="QLZ68" s="15"/>
      <c r="QMA68" s="15"/>
      <c r="QMB68" s="15"/>
      <c r="QMC68" s="15"/>
      <c r="QMD68" s="15"/>
      <c r="QME68" s="15"/>
      <c r="QMF68" s="15"/>
      <c r="QMG68" s="15"/>
      <c r="QMH68" s="15"/>
      <c r="QMI68" s="15"/>
      <c r="QMJ68" s="15"/>
      <c r="QMK68" s="15"/>
      <c r="QML68" s="15"/>
      <c r="QMM68" s="15"/>
      <c r="QMN68" s="15"/>
      <c r="QMO68" s="15"/>
      <c r="QMP68" s="15"/>
      <c r="QMQ68" s="15"/>
      <c r="QMR68" s="15"/>
      <c r="QMS68" s="15"/>
      <c r="QMT68" s="15"/>
      <c r="QMU68" s="15"/>
      <c r="QMV68" s="15"/>
      <c r="QMW68" s="15"/>
      <c r="QMX68" s="15"/>
      <c r="QMY68" s="15"/>
      <c r="QMZ68" s="15"/>
      <c r="QNA68" s="15"/>
      <c r="QNB68" s="15"/>
      <c r="QNC68" s="15"/>
      <c r="QND68" s="15"/>
      <c r="QNE68" s="15"/>
      <c r="QNF68" s="15"/>
      <c r="QNG68" s="15"/>
      <c r="QNH68" s="15"/>
      <c r="QNI68" s="15"/>
      <c r="QNJ68" s="15"/>
      <c r="QNK68" s="15"/>
      <c r="QNL68" s="15"/>
      <c r="QNM68" s="15"/>
      <c r="QNN68" s="15"/>
      <c r="QNO68" s="15"/>
      <c r="QNP68" s="15"/>
      <c r="QNQ68" s="15"/>
      <c r="QNR68" s="15"/>
      <c r="QNS68" s="15"/>
      <c r="QNT68" s="15"/>
      <c r="QNU68" s="15"/>
      <c r="QNV68" s="15"/>
      <c r="QNW68" s="15"/>
      <c r="QNX68" s="15"/>
      <c r="QNY68" s="15"/>
      <c r="QNZ68" s="15"/>
      <c r="QOA68" s="15"/>
      <c r="QOB68" s="15"/>
      <c r="QOC68" s="15"/>
      <c r="QOD68" s="15"/>
      <c r="QOE68" s="15"/>
      <c r="QOF68" s="15"/>
      <c r="QOG68" s="15"/>
      <c r="QOH68" s="15"/>
      <c r="QOI68" s="15"/>
      <c r="QOJ68" s="15"/>
      <c r="QOK68" s="15"/>
      <c r="QOL68" s="15"/>
      <c r="QOM68" s="15"/>
      <c r="QON68" s="15"/>
      <c r="QOO68" s="15"/>
      <c r="QOP68" s="15"/>
      <c r="QOQ68" s="15"/>
      <c r="QOR68" s="15"/>
      <c r="QOS68" s="15"/>
      <c r="QOT68" s="15"/>
      <c r="QOU68" s="15"/>
      <c r="QOV68" s="15"/>
      <c r="QOW68" s="15"/>
      <c r="QOX68" s="15"/>
      <c r="QOY68" s="15"/>
      <c r="QOZ68" s="15"/>
      <c r="QPA68" s="15"/>
      <c r="QPB68" s="15"/>
      <c r="QPC68" s="15"/>
      <c r="QPD68" s="15"/>
      <c r="QPE68" s="15"/>
      <c r="QPF68" s="15"/>
      <c r="QPG68" s="15"/>
      <c r="QPH68" s="15"/>
      <c r="QPI68" s="15"/>
      <c r="QPJ68" s="15"/>
      <c r="QPK68" s="15"/>
      <c r="QPL68" s="15"/>
      <c r="QPM68" s="15"/>
      <c r="QPN68" s="15"/>
      <c r="QPO68" s="15"/>
      <c r="QPP68" s="15"/>
      <c r="QPQ68" s="15"/>
      <c r="QPR68" s="15"/>
      <c r="QPS68" s="15"/>
      <c r="QPT68" s="15"/>
      <c r="QPU68" s="15"/>
      <c r="QPV68" s="15"/>
      <c r="QPW68" s="15"/>
      <c r="QPX68" s="15"/>
      <c r="QPY68" s="15"/>
      <c r="QPZ68" s="15"/>
      <c r="QQA68" s="15"/>
      <c r="QQB68" s="15"/>
      <c r="QQC68" s="15"/>
      <c r="QQD68" s="15"/>
      <c r="QQE68" s="15"/>
      <c r="QQF68" s="15"/>
      <c r="QQG68" s="15"/>
      <c r="QQH68" s="15"/>
      <c r="QQI68" s="15"/>
      <c r="QQJ68" s="15"/>
      <c r="QQK68" s="15"/>
      <c r="QQL68" s="15"/>
      <c r="QQM68" s="15"/>
      <c r="QQN68" s="15"/>
      <c r="QQO68" s="15"/>
      <c r="QQP68" s="15"/>
      <c r="QQQ68" s="15"/>
      <c r="QQR68" s="15"/>
      <c r="QQS68" s="15"/>
      <c r="QQT68" s="15"/>
      <c r="QQU68" s="15"/>
      <c r="QQV68" s="15"/>
      <c r="QQW68" s="15"/>
      <c r="QQX68" s="15"/>
      <c r="QQY68" s="15"/>
      <c r="QQZ68" s="15"/>
      <c r="QRA68" s="15"/>
      <c r="QRB68" s="15"/>
      <c r="QRC68" s="15"/>
      <c r="QRD68" s="15"/>
      <c r="QRE68" s="15"/>
      <c r="QRF68" s="15"/>
      <c r="QRG68" s="15"/>
      <c r="QRH68" s="15"/>
      <c r="QRI68" s="15"/>
      <c r="QRJ68" s="15"/>
      <c r="QRK68" s="15"/>
      <c r="QRL68" s="15"/>
      <c r="QRM68" s="15"/>
      <c r="QRN68" s="15"/>
      <c r="QRO68" s="15"/>
      <c r="QRP68" s="15"/>
      <c r="QRQ68" s="15"/>
      <c r="QRR68" s="15"/>
      <c r="QRS68" s="15"/>
      <c r="QRT68" s="15"/>
      <c r="QRU68" s="15"/>
      <c r="QRV68" s="15"/>
      <c r="QRW68" s="15"/>
      <c r="QRX68" s="15"/>
      <c r="QRY68" s="15"/>
      <c r="QRZ68" s="15"/>
      <c r="QSA68" s="15"/>
      <c r="QSB68" s="15"/>
      <c r="QSC68" s="15"/>
      <c r="QSD68" s="15"/>
      <c r="QSE68" s="15"/>
      <c r="QSF68" s="15"/>
      <c r="QSG68" s="15"/>
      <c r="QSH68" s="15"/>
      <c r="QSI68" s="15"/>
      <c r="QSJ68" s="15"/>
      <c r="QSK68" s="15"/>
      <c r="QSL68" s="15"/>
      <c r="QSM68" s="15"/>
      <c r="QSN68" s="15"/>
      <c r="QSO68" s="15"/>
      <c r="QSP68" s="15"/>
      <c r="QSQ68" s="15"/>
      <c r="QSR68" s="15"/>
      <c r="QSS68" s="15"/>
      <c r="QST68" s="15"/>
      <c r="QSU68" s="15"/>
      <c r="QSV68" s="15"/>
      <c r="QSW68" s="15"/>
      <c r="QSX68" s="15"/>
      <c r="QSY68" s="15"/>
      <c r="QSZ68" s="15"/>
      <c r="QTA68" s="15"/>
      <c r="QTB68" s="15"/>
      <c r="QTC68" s="15"/>
      <c r="QTD68" s="15"/>
      <c r="QTE68" s="15"/>
      <c r="QTF68" s="15"/>
      <c r="QTG68" s="15"/>
      <c r="QTH68" s="15"/>
      <c r="QTI68" s="15"/>
      <c r="QTJ68" s="15"/>
      <c r="QTK68" s="15"/>
      <c r="QTL68" s="15"/>
      <c r="QTM68" s="15"/>
      <c r="QTN68" s="15"/>
      <c r="QTO68" s="15"/>
      <c r="QTP68" s="15"/>
      <c r="QTQ68" s="15"/>
      <c r="QTR68" s="15"/>
      <c r="QTS68" s="15"/>
      <c r="QTT68" s="15"/>
      <c r="QTU68" s="15"/>
      <c r="QTV68" s="15"/>
      <c r="QTW68" s="15"/>
      <c r="QTX68" s="15"/>
      <c r="QTY68" s="15"/>
      <c r="QTZ68" s="15"/>
      <c r="QUA68" s="15"/>
      <c r="QUB68" s="15"/>
      <c r="QUC68" s="15"/>
      <c r="QUD68" s="15"/>
      <c r="QUE68" s="15"/>
      <c r="QUF68" s="15"/>
      <c r="QUG68" s="15"/>
      <c r="QUH68" s="15"/>
      <c r="QUI68" s="15"/>
      <c r="QUJ68" s="15"/>
      <c r="QUK68" s="15"/>
      <c r="QUL68" s="15"/>
      <c r="QUM68" s="15"/>
      <c r="QUN68" s="15"/>
      <c r="QUO68" s="15"/>
      <c r="QUP68" s="15"/>
      <c r="QUQ68" s="15"/>
      <c r="QUR68" s="15"/>
      <c r="QUS68" s="15"/>
      <c r="QUT68" s="15"/>
      <c r="QUU68" s="15"/>
      <c r="QUV68" s="15"/>
      <c r="QUW68" s="15"/>
      <c r="QUX68" s="15"/>
      <c r="QUY68" s="15"/>
      <c r="QUZ68" s="15"/>
      <c r="QVA68" s="15"/>
      <c r="QVB68" s="15"/>
      <c r="QVC68" s="15"/>
      <c r="QVD68" s="15"/>
      <c r="QVE68" s="15"/>
      <c r="QVF68" s="15"/>
      <c r="QVG68" s="15"/>
      <c r="QVH68" s="15"/>
      <c r="QVI68" s="15"/>
      <c r="QVJ68" s="15"/>
      <c r="QVK68" s="15"/>
      <c r="QVL68" s="15"/>
      <c r="QVM68" s="15"/>
      <c r="QVN68" s="15"/>
      <c r="QVO68" s="15"/>
      <c r="QVP68" s="15"/>
      <c r="QVQ68" s="15"/>
      <c r="QVR68" s="15"/>
      <c r="QVS68" s="15"/>
      <c r="QVT68" s="15"/>
      <c r="QVU68" s="15"/>
      <c r="QVV68" s="15"/>
      <c r="QVW68" s="15"/>
      <c r="QVX68" s="15"/>
      <c r="QVY68" s="15"/>
      <c r="QVZ68" s="15"/>
      <c r="QWA68" s="15"/>
      <c r="QWB68" s="15"/>
      <c r="QWC68" s="15"/>
      <c r="QWD68" s="15"/>
      <c r="QWE68" s="15"/>
      <c r="QWF68" s="15"/>
      <c r="QWG68" s="15"/>
      <c r="QWH68" s="15"/>
      <c r="QWI68" s="15"/>
      <c r="QWJ68" s="15"/>
      <c r="QWK68" s="15"/>
      <c r="QWL68" s="15"/>
      <c r="QWM68" s="15"/>
      <c r="QWN68" s="15"/>
      <c r="QWO68" s="15"/>
      <c r="QWP68" s="15"/>
      <c r="QWQ68" s="15"/>
      <c r="QWR68" s="15"/>
      <c r="QWS68" s="15"/>
      <c r="QWT68" s="15"/>
      <c r="QWU68" s="15"/>
      <c r="QWV68" s="15"/>
      <c r="QWW68" s="15"/>
      <c r="QWX68" s="15"/>
      <c r="QWY68" s="15"/>
      <c r="QWZ68" s="15"/>
      <c r="QXA68" s="15"/>
      <c r="QXB68" s="15"/>
      <c r="QXC68" s="15"/>
      <c r="QXD68" s="15"/>
      <c r="QXE68" s="15"/>
      <c r="QXF68" s="15"/>
      <c r="QXG68" s="15"/>
      <c r="QXH68" s="15"/>
      <c r="QXI68" s="15"/>
      <c r="QXJ68" s="15"/>
      <c r="QXK68" s="15"/>
      <c r="QXL68" s="15"/>
      <c r="QXM68" s="15"/>
      <c r="QXN68" s="15"/>
      <c r="QXO68" s="15"/>
      <c r="QXP68" s="15"/>
      <c r="QXQ68" s="15"/>
      <c r="QXR68" s="15"/>
      <c r="QXS68" s="15"/>
      <c r="QXT68" s="15"/>
      <c r="QXU68" s="15"/>
      <c r="QXV68" s="15"/>
      <c r="QXW68" s="15"/>
      <c r="QXX68" s="15"/>
      <c r="QXY68" s="15"/>
      <c r="QXZ68" s="15"/>
      <c r="QYA68" s="15"/>
      <c r="QYB68" s="15"/>
      <c r="QYC68" s="15"/>
      <c r="QYD68" s="15"/>
      <c r="QYE68" s="15"/>
      <c r="QYF68" s="15"/>
      <c r="QYG68" s="15"/>
      <c r="QYH68" s="15"/>
      <c r="QYI68" s="15"/>
      <c r="QYJ68" s="15"/>
      <c r="QYK68" s="15"/>
      <c r="QYL68" s="15"/>
      <c r="QYM68" s="15"/>
      <c r="QYN68" s="15"/>
      <c r="QYO68" s="15"/>
      <c r="QYP68" s="15"/>
      <c r="QYQ68" s="15"/>
      <c r="QYR68" s="15"/>
      <c r="QYS68" s="15"/>
      <c r="QYT68" s="15"/>
      <c r="QYU68" s="15"/>
      <c r="QYV68" s="15"/>
      <c r="QYW68" s="15"/>
      <c r="QYX68" s="15"/>
      <c r="QYY68" s="15"/>
      <c r="QYZ68" s="15"/>
      <c r="QZA68" s="15"/>
      <c r="QZB68" s="15"/>
      <c r="QZC68" s="15"/>
      <c r="QZD68" s="15"/>
      <c r="QZE68" s="15"/>
      <c r="QZF68" s="15"/>
      <c r="QZG68" s="15"/>
      <c r="QZH68" s="15"/>
      <c r="QZI68" s="15"/>
      <c r="QZJ68" s="15"/>
      <c r="QZK68" s="15"/>
      <c r="QZL68" s="15"/>
      <c r="QZM68" s="15"/>
      <c r="QZN68" s="15"/>
      <c r="QZO68" s="15"/>
      <c r="QZP68" s="15"/>
      <c r="QZQ68" s="15"/>
      <c r="QZR68" s="15"/>
      <c r="QZS68" s="15"/>
      <c r="QZT68" s="15"/>
      <c r="QZU68" s="15"/>
      <c r="QZV68" s="15"/>
      <c r="QZW68" s="15"/>
      <c r="QZX68" s="15"/>
      <c r="QZY68" s="15"/>
      <c r="QZZ68" s="15"/>
      <c r="RAA68" s="15"/>
      <c r="RAB68" s="15"/>
      <c r="RAC68" s="15"/>
      <c r="RAD68" s="15"/>
      <c r="RAE68" s="15"/>
      <c r="RAF68" s="15"/>
      <c r="RAG68" s="15"/>
      <c r="RAH68" s="15"/>
      <c r="RAI68" s="15"/>
      <c r="RAJ68" s="15"/>
      <c r="RAK68" s="15"/>
      <c r="RAL68" s="15"/>
      <c r="RAM68" s="15"/>
      <c r="RAN68" s="15"/>
      <c r="RAO68" s="15"/>
      <c r="RAP68" s="15"/>
      <c r="RAQ68" s="15"/>
      <c r="RAR68" s="15"/>
      <c r="RAS68" s="15"/>
      <c r="RAT68" s="15"/>
      <c r="RAU68" s="15"/>
      <c r="RAV68" s="15"/>
      <c r="RAW68" s="15"/>
      <c r="RAX68" s="15"/>
      <c r="RAY68" s="15"/>
      <c r="RAZ68" s="15"/>
      <c r="RBA68" s="15"/>
      <c r="RBB68" s="15"/>
      <c r="RBC68" s="15"/>
      <c r="RBD68" s="15"/>
      <c r="RBE68" s="15"/>
      <c r="RBF68" s="15"/>
      <c r="RBG68" s="15"/>
      <c r="RBH68" s="15"/>
      <c r="RBI68" s="15"/>
      <c r="RBJ68" s="15"/>
      <c r="RBK68" s="15"/>
      <c r="RBL68" s="15"/>
      <c r="RBM68" s="15"/>
      <c r="RBN68" s="15"/>
      <c r="RBO68" s="15"/>
      <c r="RBP68" s="15"/>
      <c r="RBQ68" s="15"/>
      <c r="RBR68" s="15"/>
      <c r="RBS68" s="15"/>
      <c r="RBT68" s="15"/>
      <c r="RBU68" s="15"/>
      <c r="RBV68" s="15"/>
      <c r="RBW68" s="15"/>
      <c r="RBX68" s="15"/>
      <c r="RBY68" s="15"/>
      <c r="RBZ68" s="15"/>
      <c r="RCA68" s="15"/>
      <c r="RCB68" s="15"/>
      <c r="RCC68" s="15"/>
      <c r="RCD68" s="15"/>
      <c r="RCE68" s="15"/>
      <c r="RCF68" s="15"/>
      <c r="RCG68" s="15"/>
      <c r="RCH68" s="15"/>
      <c r="RCI68" s="15"/>
      <c r="RCJ68" s="15"/>
      <c r="RCK68" s="15"/>
      <c r="RCL68" s="15"/>
      <c r="RCM68" s="15"/>
      <c r="RCN68" s="15"/>
      <c r="RCO68" s="15"/>
      <c r="RCP68" s="15"/>
      <c r="RCQ68" s="15"/>
      <c r="RCR68" s="15"/>
      <c r="RCS68" s="15"/>
      <c r="RCT68" s="15"/>
      <c r="RCU68" s="15"/>
      <c r="RCV68" s="15"/>
      <c r="RCW68" s="15"/>
      <c r="RCX68" s="15"/>
      <c r="RCY68" s="15"/>
      <c r="RCZ68" s="15"/>
      <c r="RDA68" s="15"/>
      <c r="RDB68" s="15"/>
      <c r="RDC68" s="15"/>
      <c r="RDD68" s="15"/>
      <c r="RDE68" s="15"/>
      <c r="RDF68" s="15"/>
      <c r="RDG68" s="15"/>
      <c r="RDH68" s="15"/>
      <c r="RDI68" s="15"/>
      <c r="RDJ68" s="15"/>
      <c r="RDK68" s="15"/>
      <c r="RDL68" s="15"/>
      <c r="RDM68" s="15"/>
      <c r="RDN68" s="15"/>
      <c r="RDO68" s="15"/>
      <c r="RDP68" s="15"/>
      <c r="RDQ68" s="15"/>
      <c r="RDR68" s="15"/>
      <c r="RDS68" s="15"/>
      <c r="RDT68" s="15"/>
      <c r="RDU68" s="15"/>
      <c r="RDV68" s="15"/>
      <c r="RDW68" s="15"/>
      <c r="RDX68" s="15"/>
      <c r="RDY68" s="15"/>
      <c r="RDZ68" s="15"/>
      <c r="REA68" s="15"/>
      <c r="REB68" s="15"/>
      <c r="REC68" s="15"/>
      <c r="RED68" s="15"/>
      <c r="REE68" s="15"/>
      <c r="REF68" s="15"/>
      <c r="REG68" s="15"/>
      <c r="REH68" s="15"/>
      <c r="REI68" s="15"/>
      <c r="REJ68" s="15"/>
      <c r="REK68" s="15"/>
      <c r="REL68" s="15"/>
      <c r="REM68" s="15"/>
      <c r="REN68" s="15"/>
      <c r="REO68" s="15"/>
      <c r="REP68" s="15"/>
      <c r="REQ68" s="15"/>
      <c r="RER68" s="15"/>
      <c r="RES68" s="15"/>
      <c r="RET68" s="15"/>
      <c r="REU68" s="15"/>
      <c r="REV68" s="15"/>
      <c r="REW68" s="15"/>
      <c r="REX68" s="15"/>
      <c r="REY68" s="15"/>
      <c r="REZ68" s="15"/>
      <c r="RFA68" s="15"/>
      <c r="RFB68" s="15"/>
      <c r="RFC68" s="15"/>
      <c r="RFD68" s="15"/>
      <c r="RFE68" s="15"/>
      <c r="RFF68" s="15"/>
      <c r="RFG68" s="15"/>
      <c r="RFH68" s="15"/>
      <c r="RFI68" s="15"/>
      <c r="RFJ68" s="15"/>
      <c r="RFK68" s="15"/>
      <c r="RFL68" s="15"/>
      <c r="RFM68" s="15"/>
      <c r="RFN68" s="15"/>
      <c r="RFO68" s="15"/>
      <c r="RFP68" s="15"/>
      <c r="RFQ68" s="15"/>
      <c r="RFR68" s="15"/>
      <c r="RFS68" s="15"/>
      <c r="RFT68" s="15"/>
      <c r="RFU68" s="15"/>
      <c r="RFV68" s="15"/>
      <c r="RFW68" s="15"/>
      <c r="RFX68" s="15"/>
      <c r="RFY68" s="15"/>
      <c r="RFZ68" s="15"/>
      <c r="RGA68" s="15"/>
      <c r="RGB68" s="15"/>
      <c r="RGC68" s="15"/>
      <c r="RGD68" s="15"/>
      <c r="RGE68" s="15"/>
      <c r="RGF68" s="15"/>
      <c r="RGG68" s="15"/>
      <c r="RGH68" s="15"/>
      <c r="RGI68" s="15"/>
      <c r="RGJ68" s="15"/>
      <c r="RGK68" s="15"/>
      <c r="RGL68" s="15"/>
      <c r="RGM68" s="15"/>
      <c r="RGN68" s="15"/>
      <c r="RGO68" s="15"/>
      <c r="RGP68" s="15"/>
      <c r="RGQ68" s="15"/>
      <c r="RGR68" s="15"/>
      <c r="RGS68" s="15"/>
      <c r="RGT68" s="15"/>
      <c r="RGU68" s="15"/>
      <c r="RGV68" s="15"/>
      <c r="RGW68" s="15"/>
      <c r="RGX68" s="15"/>
      <c r="RGY68" s="15"/>
      <c r="RGZ68" s="15"/>
      <c r="RHA68" s="15"/>
      <c r="RHB68" s="15"/>
      <c r="RHC68" s="15"/>
      <c r="RHD68" s="15"/>
      <c r="RHE68" s="15"/>
      <c r="RHF68" s="15"/>
      <c r="RHG68" s="15"/>
      <c r="RHH68" s="15"/>
      <c r="RHI68" s="15"/>
      <c r="RHJ68" s="15"/>
      <c r="RHK68" s="15"/>
      <c r="RHL68" s="15"/>
      <c r="RHM68" s="15"/>
      <c r="RHN68" s="15"/>
      <c r="RHO68" s="15"/>
      <c r="RHP68" s="15"/>
      <c r="RHQ68" s="15"/>
      <c r="RHR68" s="15"/>
      <c r="RHS68" s="15"/>
      <c r="RHT68" s="15"/>
      <c r="RHU68" s="15"/>
      <c r="RHV68" s="15"/>
      <c r="RHW68" s="15"/>
      <c r="RHX68" s="15"/>
      <c r="RHY68" s="15"/>
      <c r="RHZ68" s="15"/>
      <c r="RIA68" s="15"/>
      <c r="RIB68" s="15"/>
      <c r="RIC68" s="15"/>
      <c r="RID68" s="15"/>
      <c r="RIE68" s="15"/>
      <c r="RIF68" s="15"/>
      <c r="RIG68" s="15"/>
      <c r="RIH68" s="15"/>
      <c r="RII68" s="15"/>
      <c r="RIJ68" s="15"/>
      <c r="RIK68" s="15"/>
      <c r="RIL68" s="15"/>
      <c r="RIM68" s="15"/>
      <c r="RIN68" s="15"/>
      <c r="RIO68" s="15"/>
      <c r="RIP68" s="15"/>
      <c r="RIQ68" s="15"/>
      <c r="RIR68" s="15"/>
      <c r="RIS68" s="15"/>
      <c r="RIT68" s="15"/>
      <c r="RIU68" s="15"/>
      <c r="RIV68" s="15"/>
      <c r="RIW68" s="15"/>
      <c r="RIX68" s="15"/>
      <c r="RIY68" s="15"/>
      <c r="RIZ68" s="15"/>
      <c r="RJA68" s="15"/>
      <c r="RJB68" s="15"/>
      <c r="RJC68" s="15"/>
      <c r="RJD68" s="15"/>
      <c r="RJE68" s="15"/>
      <c r="RJF68" s="15"/>
      <c r="RJG68" s="15"/>
      <c r="RJH68" s="15"/>
      <c r="RJI68" s="15"/>
      <c r="RJJ68" s="15"/>
      <c r="RJK68" s="15"/>
      <c r="RJL68" s="15"/>
      <c r="RJM68" s="15"/>
      <c r="RJN68" s="15"/>
      <c r="RJO68" s="15"/>
      <c r="RJP68" s="15"/>
      <c r="RJQ68" s="15"/>
      <c r="RJR68" s="15"/>
      <c r="RJS68" s="15"/>
      <c r="RJT68" s="15"/>
      <c r="RJU68" s="15"/>
      <c r="RJV68" s="15"/>
      <c r="RJW68" s="15"/>
      <c r="RJX68" s="15"/>
      <c r="RJY68" s="15"/>
      <c r="RJZ68" s="15"/>
      <c r="RKA68" s="15"/>
      <c r="RKB68" s="15"/>
      <c r="RKC68" s="15"/>
      <c r="RKD68" s="15"/>
      <c r="RKE68" s="15"/>
      <c r="RKF68" s="15"/>
      <c r="RKG68" s="15"/>
      <c r="RKH68" s="15"/>
      <c r="RKI68" s="15"/>
      <c r="RKJ68" s="15"/>
      <c r="RKK68" s="15"/>
      <c r="RKL68" s="15"/>
      <c r="RKM68" s="15"/>
      <c r="RKN68" s="15"/>
      <c r="RKO68" s="15"/>
      <c r="RKP68" s="15"/>
      <c r="RKQ68" s="15"/>
      <c r="RKR68" s="15"/>
      <c r="RKS68" s="15"/>
      <c r="RKT68" s="15"/>
      <c r="RKU68" s="15"/>
      <c r="RKV68" s="15"/>
      <c r="RKW68" s="15"/>
      <c r="RKX68" s="15"/>
      <c r="RKY68" s="15"/>
      <c r="RKZ68" s="15"/>
      <c r="RLA68" s="15"/>
      <c r="RLB68" s="15"/>
      <c r="RLC68" s="15"/>
      <c r="RLD68" s="15"/>
      <c r="RLE68" s="15"/>
      <c r="RLF68" s="15"/>
      <c r="RLG68" s="15"/>
      <c r="RLH68" s="15"/>
      <c r="RLI68" s="15"/>
      <c r="RLJ68" s="15"/>
      <c r="RLK68" s="15"/>
      <c r="RLL68" s="15"/>
      <c r="RLM68" s="15"/>
      <c r="RLN68" s="15"/>
      <c r="RLO68" s="15"/>
      <c r="RLP68" s="15"/>
      <c r="RLQ68" s="15"/>
      <c r="RLR68" s="15"/>
      <c r="RLS68" s="15"/>
      <c r="RLT68" s="15"/>
      <c r="RLU68" s="15"/>
      <c r="RLV68" s="15"/>
      <c r="RLW68" s="15"/>
      <c r="RLX68" s="15"/>
      <c r="RLY68" s="15"/>
      <c r="RLZ68" s="15"/>
      <c r="RMA68" s="15"/>
      <c r="RMB68" s="15"/>
      <c r="RMC68" s="15"/>
      <c r="RMD68" s="15"/>
      <c r="RME68" s="15"/>
      <c r="RMF68" s="15"/>
      <c r="RMG68" s="15"/>
      <c r="RMH68" s="15"/>
      <c r="RMI68" s="15"/>
      <c r="RMJ68" s="15"/>
      <c r="RMK68" s="15"/>
      <c r="RML68" s="15"/>
      <c r="RMM68" s="15"/>
      <c r="RMN68" s="15"/>
      <c r="RMO68" s="15"/>
      <c r="RMP68" s="15"/>
      <c r="RMQ68" s="15"/>
      <c r="RMR68" s="15"/>
      <c r="RMS68" s="15"/>
      <c r="RMT68" s="15"/>
      <c r="RMU68" s="15"/>
      <c r="RMV68" s="15"/>
      <c r="RMW68" s="15"/>
      <c r="RMX68" s="15"/>
      <c r="RMY68" s="15"/>
      <c r="RMZ68" s="15"/>
      <c r="RNA68" s="15"/>
      <c r="RNB68" s="15"/>
      <c r="RNC68" s="15"/>
      <c r="RND68" s="15"/>
      <c r="RNE68" s="15"/>
      <c r="RNF68" s="15"/>
      <c r="RNG68" s="15"/>
      <c r="RNH68" s="15"/>
      <c r="RNI68" s="15"/>
      <c r="RNJ68" s="15"/>
      <c r="RNK68" s="15"/>
      <c r="RNL68" s="15"/>
      <c r="RNM68" s="15"/>
      <c r="RNN68" s="15"/>
      <c r="RNO68" s="15"/>
      <c r="RNP68" s="15"/>
      <c r="RNQ68" s="15"/>
      <c r="RNR68" s="15"/>
      <c r="RNS68" s="15"/>
      <c r="RNT68" s="15"/>
      <c r="RNU68" s="15"/>
      <c r="RNV68" s="15"/>
      <c r="RNW68" s="15"/>
      <c r="RNX68" s="15"/>
      <c r="RNY68" s="15"/>
      <c r="RNZ68" s="15"/>
      <c r="ROA68" s="15"/>
      <c r="ROB68" s="15"/>
      <c r="ROC68" s="15"/>
      <c r="ROD68" s="15"/>
      <c r="ROE68" s="15"/>
      <c r="ROF68" s="15"/>
      <c r="ROG68" s="15"/>
      <c r="ROH68" s="15"/>
      <c r="ROI68" s="15"/>
      <c r="ROJ68" s="15"/>
      <c r="ROK68" s="15"/>
      <c r="ROL68" s="15"/>
      <c r="ROM68" s="15"/>
      <c r="RON68" s="15"/>
      <c r="ROO68" s="15"/>
      <c r="ROP68" s="15"/>
      <c r="ROQ68" s="15"/>
      <c r="ROR68" s="15"/>
      <c r="ROS68" s="15"/>
      <c r="ROT68" s="15"/>
      <c r="ROU68" s="15"/>
      <c r="ROV68" s="15"/>
      <c r="ROW68" s="15"/>
      <c r="ROX68" s="15"/>
      <c r="ROY68" s="15"/>
      <c r="ROZ68" s="15"/>
      <c r="RPA68" s="15"/>
      <c r="RPB68" s="15"/>
      <c r="RPC68" s="15"/>
      <c r="RPD68" s="15"/>
      <c r="RPE68" s="15"/>
      <c r="RPF68" s="15"/>
      <c r="RPG68" s="15"/>
      <c r="RPH68" s="15"/>
      <c r="RPI68" s="15"/>
      <c r="RPJ68" s="15"/>
      <c r="RPK68" s="15"/>
      <c r="RPL68" s="15"/>
      <c r="RPM68" s="15"/>
      <c r="RPN68" s="15"/>
      <c r="RPO68" s="15"/>
      <c r="RPP68" s="15"/>
      <c r="RPQ68" s="15"/>
      <c r="RPR68" s="15"/>
      <c r="RPS68" s="15"/>
      <c r="RPT68" s="15"/>
      <c r="RPU68" s="15"/>
      <c r="RPV68" s="15"/>
      <c r="RPW68" s="15"/>
      <c r="RPX68" s="15"/>
      <c r="RPY68" s="15"/>
      <c r="RPZ68" s="15"/>
      <c r="RQA68" s="15"/>
      <c r="RQB68" s="15"/>
      <c r="RQC68" s="15"/>
      <c r="RQD68" s="15"/>
      <c r="RQE68" s="15"/>
      <c r="RQF68" s="15"/>
      <c r="RQG68" s="15"/>
      <c r="RQH68" s="15"/>
      <c r="RQI68" s="15"/>
      <c r="RQJ68" s="15"/>
      <c r="RQK68" s="15"/>
      <c r="RQL68" s="15"/>
      <c r="RQM68" s="15"/>
      <c r="RQN68" s="15"/>
      <c r="RQO68" s="15"/>
      <c r="RQP68" s="15"/>
      <c r="RQQ68" s="15"/>
      <c r="RQR68" s="15"/>
      <c r="RQS68" s="15"/>
      <c r="RQT68" s="15"/>
      <c r="RQU68" s="15"/>
      <c r="RQV68" s="15"/>
      <c r="RQW68" s="15"/>
      <c r="RQX68" s="15"/>
      <c r="RQY68" s="15"/>
      <c r="RQZ68" s="15"/>
      <c r="RRA68" s="15"/>
      <c r="RRB68" s="15"/>
      <c r="RRC68" s="15"/>
      <c r="RRD68" s="15"/>
      <c r="RRE68" s="15"/>
      <c r="RRF68" s="15"/>
      <c r="RRG68" s="15"/>
      <c r="RRH68" s="15"/>
      <c r="RRI68" s="15"/>
      <c r="RRJ68" s="15"/>
      <c r="RRK68" s="15"/>
      <c r="RRL68" s="15"/>
      <c r="RRM68" s="15"/>
      <c r="RRN68" s="15"/>
      <c r="RRO68" s="15"/>
      <c r="RRP68" s="15"/>
      <c r="RRQ68" s="15"/>
      <c r="RRR68" s="15"/>
      <c r="RRS68" s="15"/>
      <c r="RRT68" s="15"/>
      <c r="RRU68" s="15"/>
      <c r="RRV68" s="15"/>
      <c r="RRW68" s="15"/>
      <c r="RRX68" s="15"/>
      <c r="RRY68" s="15"/>
      <c r="RRZ68" s="15"/>
      <c r="RSA68" s="15"/>
      <c r="RSB68" s="15"/>
      <c r="RSC68" s="15"/>
      <c r="RSD68" s="15"/>
      <c r="RSE68" s="15"/>
      <c r="RSF68" s="15"/>
      <c r="RSG68" s="15"/>
      <c r="RSH68" s="15"/>
      <c r="RSI68" s="15"/>
      <c r="RSJ68" s="15"/>
      <c r="RSK68" s="15"/>
      <c r="RSL68" s="15"/>
      <c r="RSM68" s="15"/>
      <c r="RSN68" s="15"/>
      <c r="RSO68" s="15"/>
      <c r="RSP68" s="15"/>
      <c r="RSQ68" s="15"/>
      <c r="RSR68" s="15"/>
      <c r="RSS68" s="15"/>
      <c r="RST68" s="15"/>
      <c r="RSU68" s="15"/>
      <c r="RSV68" s="15"/>
      <c r="RSW68" s="15"/>
      <c r="RSX68" s="15"/>
      <c r="RSY68" s="15"/>
      <c r="RSZ68" s="15"/>
      <c r="RTA68" s="15"/>
      <c r="RTB68" s="15"/>
      <c r="RTC68" s="15"/>
      <c r="RTD68" s="15"/>
      <c r="RTE68" s="15"/>
      <c r="RTF68" s="15"/>
      <c r="RTG68" s="15"/>
      <c r="RTH68" s="15"/>
      <c r="RTI68" s="15"/>
      <c r="RTJ68" s="15"/>
      <c r="RTK68" s="15"/>
      <c r="RTL68" s="15"/>
      <c r="RTM68" s="15"/>
      <c r="RTN68" s="15"/>
      <c r="RTO68" s="15"/>
      <c r="RTP68" s="15"/>
      <c r="RTQ68" s="15"/>
      <c r="RTR68" s="15"/>
      <c r="RTS68" s="15"/>
      <c r="RTT68" s="15"/>
      <c r="RTU68" s="15"/>
      <c r="RTV68" s="15"/>
      <c r="RTW68" s="15"/>
      <c r="RTX68" s="15"/>
      <c r="RTY68" s="15"/>
      <c r="RTZ68" s="15"/>
      <c r="RUA68" s="15"/>
      <c r="RUB68" s="15"/>
      <c r="RUC68" s="15"/>
      <c r="RUD68" s="15"/>
      <c r="RUE68" s="15"/>
      <c r="RUF68" s="15"/>
      <c r="RUG68" s="15"/>
      <c r="RUH68" s="15"/>
      <c r="RUI68" s="15"/>
      <c r="RUJ68" s="15"/>
      <c r="RUK68" s="15"/>
      <c r="RUL68" s="15"/>
      <c r="RUM68" s="15"/>
      <c r="RUN68" s="15"/>
      <c r="RUO68" s="15"/>
      <c r="RUP68" s="15"/>
      <c r="RUQ68" s="15"/>
      <c r="RUR68" s="15"/>
      <c r="RUS68" s="15"/>
      <c r="RUT68" s="15"/>
      <c r="RUU68" s="15"/>
      <c r="RUV68" s="15"/>
      <c r="RUW68" s="15"/>
      <c r="RUX68" s="15"/>
      <c r="RUY68" s="15"/>
      <c r="RUZ68" s="15"/>
      <c r="RVA68" s="15"/>
      <c r="RVB68" s="15"/>
      <c r="RVC68" s="15"/>
      <c r="RVD68" s="15"/>
      <c r="RVE68" s="15"/>
      <c r="RVF68" s="15"/>
      <c r="RVG68" s="15"/>
      <c r="RVH68" s="15"/>
      <c r="RVI68" s="15"/>
      <c r="RVJ68" s="15"/>
      <c r="RVK68" s="15"/>
      <c r="RVL68" s="15"/>
      <c r="RVM68" s="15"/>
      <c r="RVN68" s="15"/>
      <c r="RVO68" s="15"/>
      <c r="RVP68" s="15"/>
      <c r="RVQ68" s="15"/>
      <c r="RVR68" s="15"/>
      <c r="RVS68" s="15"/>
      <c r="RVT68" s="15"/>
      <c r="RVU68" s="15"/>
      <c r="RVV68" s="15"/>
      <c r="RVW68" s="15"/>
      <c r="RVX68" s="15"/>
      <c r="RVY68" s="15"/>
      <c r="RVZ68" s="15"/>
      <c r="RWA68" s="15"/>
      <c r="RWB68" s="15"/>
      <c r="RWC68" s="15"/>
      <c r="RWD68" s="15"/>
      <c r="RWE68" s="15"/>
      <c r="RWF68" s="15"/>
      <c r="RWG68" s="15"/>
      <c r="RWH68" s="15"/>
      <c r="RWI68" s="15"/>
      <c r="RWJ68" s="15"/>
      <c r="RWK68" s="15"/>
      <c r="RWL68" s="15"/>
      <c r="RWM68" s="15"/>
      <c r="RWN68" s="15"/>
      <c r="RWO68" s="15"/>
      <c r="RWP68" s="15"/>
      <c r="RWQ68" s="15"/>
      <c r="RWR68" s="15"/>
      <c r="RWS68" s="15"/>
      <c r="RWT68" s="15"/>
      <c r="RWU68" s="15"/>
      <c r="RWV68" s="15"/>
      <c r="RWW68" s="15"/>
      <c r="RWX68" s="15"/>
      <c r="RWY68" s="15"/>
      <c r="RWZ68" s="15"/>
      <c r="RXA68" s="15"/>
      <c r="RXB68" s="15"/>
      <c r="RXC68" s="15"/>
      <c r="RXD68" s="15"/>
      <c r="RXE68" s="15"/>
      <c r="RXF68" s="15"/>
      <c r="RXG68" s="15"/>
      <c r="RXH68" s="15"/>
      <c r="RXI68" s="15"/>
      <c r="RXJ68" s="15"/>
      <c r="RXK68" s="15"/>
      <c r="RXL68" s="15"/>
      <c r="RXM68" s="15"/>
      <c r="RXN68" s="15"/>
      <c r="RXO68" s="15"/>
      <c r="RXP68" s="15"/>
      <c r="RXQ68" s="15"/>
      <c r="RXR68" s="15"/>
      <c r="RXS68" s="15"/>
      <c r="RXT68" s="15"/>
      <c r="RXU68" s="15"/>
      <c r="RXV68" s="15"/>
      <c r="RXW68" s="15"/>
      <c r="RXX68" s="15"/>
      <c r="RXY68" s="15"/>
      <c r="RXZ68" s="15"/>
      <c r="RYA68" s="15"/>
      <c r="RYB68" s="15"/>
      <c r="RYC68" s="15"/>
      <c r="RYD68" s="15"/>
      <c r="RYE68" s="15"/>
      <c r="RYF68" s="15"/>
      <c r="RYG68" s="15"/>
      <c r="RYH68" s="15"/>
      <c r="RYI68" s="15"/>
      <c r="RYJ68" s="15"/>
      <c r="RYK68" s="15"/>
      <c r="RYL68" s="15"/>
      <c r="RYM68" s="15"/>
      <c r="RYN68" s="15"/>
      <c r="RYO68" s="15"/>
      <c r="RYP68" s="15"/>
      <c r="RYQ68" s="15"/>
      <c r="RYR68" s="15"/>
      <c r="RYS68" s="15"/>
      <c r="RYT68" s="15"/>
      <c r="RYU68" s="15"/>
      <c r="RYV68" s="15"/>
      <c r="RYW68" s="15"/>
      <c r="RYX68" s="15"/>
      <c r="RYY68" s="15"/>
      <c r="RYZ68" s="15"/>
      <c r="RZA68" s="15"/>
      <c r="RZB68" s="15"/>
      <c r="RZC68" s="15"/>
      <c r="RZD68" s="15"/>
      <c r="RZE68" s="15"/>
      <c r="RZF68" s="15"/>
      <c r="RZG68" s="15"/>
      <c r="RZH68" s="15"/>
      <c r="RZI68" s="15"/>
      <c r="RZJ68" s="15"/>
      <c r="RZK68" s="15"/>
      <c r="RZL68" s="15"/>
      <c r="RZM68" s="15"/>
      <c r="RZN68" s="15"/>
      <c r="RZO68" s="15"/>
      <c r="RZP68" s="15"/>
      <c r="RZQ68" s="15"/>
      <c r="RZR68" s="15"/>
      <c r="RZS68" s="15"/>
      <c r="RZT68" s="15"/>
      <c r="RZU68" s="15"/>
      <c r="RZV68" s="15"/>
      <c r="RZW68" s="15"/>
      <c r="RZX68" s="15"/>
      <c r="RZY68" s="15"/>
      <c r="RZZ68" s="15"/>
      <c r="SAA68" s="15"/>
      <c r="SAB68" s="15"/>
      <c r="SAC68" s="15"/>
      <c r="SAD68" s="15"/>
      <c r="SAE68" s="15"/>
      <c r="SAF68" s="15"/>
      <c r="SAG68" s="15"/>
      <c r="SAH68" s="15"/>
      <c r="SAI68" s="15"/>
      <c r="SAJ68" s="15"/>
      <c r="SAK68" s="15"/>
      <c r="SAL68" s="15"/>
      <c r="SAM68" s="15"/>
      <c r="SAN68" s="15"/>
      <c r="SAO68" s="15"/>
      <c r="SAP68" s="15"/>
      <c r="SAQ68" s="15"/>
      <c r="SAR68" s="15"/>
      <c r="SAS68" s="15"/>
      <c r="SAT68" s="15"/>
      <c r="SAU68" s="15"/>
      <c r="SAV68" s="15"/>
      <c r="SAW68" s="15"/>
      <c r="SAX68" s="15"/>
      <c r="SAY68" s="15"/>
      <c r="SAZ68" s="15"/>
      <c r="SBA68" s="15"/>
      <c r="SBB68" s="15"/>
      <c r="SBC68" s="15"/>
      <c r="SBD68" s="15"/>
      <c r="SBE68" s="15"/>
      <c r="SBF68" s="15"/>
      <c r="SBG68" s="15"/>
      <c r="SBH68" s="15"/>
      <c r="SBI68" s="15"/>
      <c r="SBJ68" s="15"/>
      <c r="SBK68" s="15"/>
      <c r="SBL68" s="15"/>
      <c r="SBM68" s="15"/>
      <c r="SBN68" s="15"/>
      <c r="SBO68" s="15"/>
      <c r="SBP68" s="15"/>
      <c r="SBQ68" s="15"/>
      <c r="SBR68" s="15"/>
      <c r="SBS68" s="15"/>
      <c r="SBT68" s="15"/>
      <c r="SBU68" s="15"/>
      <c r="SBV68" s="15"/>
      <c r="SBW68" s="15"/>
      <c r="SBX68" s="15"/>
      <c r="SBY68" s="15"/>
      <c r="SBZ68" s="15"/>
      <c r="SCA68" s="15"/>
      <c r="SCB68" s="15"/>
      <c r="SCC68" s="15"/>
      <c r="SCD68" s="15"/>
      <c r="SCE68" s="15"/>
      <c r="SCF68" s="15"/>
      <c r="SCG68" s="15"/>
      <c r="SCH68" s="15"/>
      <c r="SCI68" s="15"/>
      <c r="SCJ68" s="15"/>
      <c r="SCK68" s="15"/>
      <c r="SCL68" s="15"/>
      <c r="SCM68" s="15"/>
      <c r="SCN68" s="15"/>
      <c r="SCO68" s="15"/>
      <c r="SCP68" s="15"/>
      <c r="SCQ68" s="15"/>
      <c r="SCR68" s="15"/>
      <c r="SCS68" s="15"/>
      <c r="SCT68" s="15"/>
      <c r="SCU68" s="15"/>
      <c r="SCV68" s="15"/>
      <c r="SCW68" s="15"/>
      <c r="SCX68" s="15"/>
      <c r="SCY68" s="15"/>
      <c r="SCZ68" s="15"/>
      <c r="SDA68" s="15"/>
      <c r="SDB68" s="15"/>
      <c r="SDC68" s="15"/>
      <c r="SDD68" s="15"/>
      <c r="SDE68" s="15"/>
      <c r="SDF68" s="15"/>
      <c r="SDG68" s="15"/>
      <c r="SDH68" s="15"/>
      <c r="SDI68" s="15"/>
      <c r="SDJ68" s="15"/>
      <c r="SDK68" s="15"/>
      <c r="SDL68" s="15"/>
      <c r="SDM68" s="15"/>
      <c r="SDN68" s="15"/>
      <c r="SDO68" s="15"/>
      <c r="SDP68" s="15"/>
      <c r="SDQ68" s="15"/>
      <c r="SDR68" s="15"/>
      <c r="SDS68" s="15"/>
      <c r="SDT68" s="15"/>
      <c r="SDU68" s="15"/>
      <c r="SDV68" s="15"/>
      <c r="SDW68" s="15"/>
      <c r="SDX68" s="15"/>
      <c r="SDY68" s="15"/>
      <c r="SDZ68" s="15"/>
      <c r="SEA68" s="15"/>
      <c r="SEB68" s="15"/>
      <c r="SEC68" s="15"/>
      <c r="SED68" s="15"/>
      <c r="SEE68" s="15"/>
      <c r="SEF68" s="15"/>
      <c r="SEG68" s="15"/>
      <c r="SEH68" s="15"/>
      <c r="SEI68" s="15"/>
      <c r="SEJ68" s="15"/>
      <c r="SEK68" s="15"/>
      <c r="SEL68" s="15"/>
      <c r="SEM68" s="15"/>
      <c r="SEN68" s="15"/>
      <c r="SEO68" s="15"/>
      <c r="SEP68" s="15"/>
      <c r="SEQ68" s="15"/>
      <c r="SER68" s="15"/>
      <c r="SES68" s="15"/>
      <c r="SET68" s="15"/>
      <c r="SEU68" s="15"/>
      <c r="SEV68" s="15"/>
      <c r="SEW68" s="15"/>
      <c r="SEX68" s="15"/>
      <c r="SEY68" s="15"/>
      <c r="SEZ68" s="15"/>
      <c r="SFA68" s="15"/>
      <c r="SFB68" s="15"/>
      <c r="SFC68" s="15"/>
      <c r="SFD68" s="15"/>
      <c r="SFE68" s="15"/>
      <c r="SFF68" s="15"/>
      <c r="SFG68" s="15"/>
      <c r="SFH68" s="15"/>
      <c r="SFI68" s="15"/>
      <c r="SFJ68" s="15"/>
      <c r="SFK68" s="15"/>
      <c r="SFL68" s="15"/>
      <c r="SFM68" s="15"/>
      <c r="SFN68" s="15"/>
      <c r="SFO68" s="15"/>
      <c r="SFP68" s="15"/>
      <c r="SFQ68" s="15"/>
      <c r="SFR68" s="15"/>
      <c r="SFS68" s="15"/>
      <c r="SFT68" s="15"/>
      <c r="SFU68" s="15"/>
      <c r="SFV68" s="15"/>
      <c r="SFW68" s="15"/>
      <c r="SFX68" s="15"/>
      <c r="SFY68" s="15"/>
      <c r="SFZ68" s="15"/>
      <c r="SGA68" s="15"/>
      <c r="SGB68" s="15"/>
      <c r="SGC68" s="15"/>
      <c r="SGD68" s="15"/>
      <c r="SGE68" s="15"/>
      <c r="SGF68" s="15"/>
      <c r="SGG68" s="15"/>
      <c r="SGH68" s="15"/>
      <c r="SGI68" s="15"/>
      <c r="SGJ68" s="15"/>
      <c r="SGK68" s="15"/>
      <c r="SGL68" s="15"/>
      <c r="SGM68" s="15"/>
      <c r="SGN68" s="15"/>
      <c r="SGO68" s="15"/>
      <c r="SGP68" s="15"/>
      <c r="SGQ68" s="15"/>
      <c r="SGR68" s="15"/>
      <c r="SGS68" s="15"/>
      <c r="SGT68" s="15"/>
      <c r="SGU68" s="15"/>
      <c r="SGV68" s="15"/>
      <c r="SGW68" s="15"/>
      <c r="SGX68" s="15"/>
      <c r="SGY68" s="15"/>
      <c r="SGZ68" s="15"/>
      <c r="SHA68" s="15"/>
      <c r="SHB68" s="15"/>
      <c r="SHC68" s="15"/>
      <c r="SHD68" s="15"/>
      <c r="SHE68" s="15"/>
      <c r="SHF68" s="15"/>
      <c r="SHG68" s="15"/>
      <c r="SHH68" s="15"/>
      <c r="SHI68" s="15"/>
      <c r="SHJ68" s="15"/>
      <c r="SHK68" s="15"/>
      <c r="SHL68" s="15"/>
      <c r="SHM68" s="15"/>
      <c r="SHN68" s="15"/>
      <c r="SHO68" s="15"/>
      <c r="SHP68" s="15"/>
      <c r="SHQ68" s="15"/>
      <c r="SHR68" s="15"/>
      <c r="SHS68" s="15"/>
      <c r="SHT68" s="15"/>
      <c r="SHU68" s="15"/>
      <c r="SHV68" s="15"/>
      <c r="SHW68" s="15"/>
      <c r="SHX68" s="15"/>
      <c r="SHY68" s="15"/>
      <c r="SHZ68" s="15"/>
      <c r="SIA68" s="15"/>
      <c r="SIB68" s="15"/>
      <c r="SIC68" s="15"/>
      <c r="SID68" s="15"/>
      <c r="SIE68" s="15"/>
      <c r="SIF68" s="15"/>
      <c r="SIG68" s="15"/>
      <c r="SIH68" s="15"/>
      <c r="SII68" s="15"/>
      <c r="SIJ68" s="15"/>
      <c r="SIK68" s="15"/>
      <c r="SIL68" s="15"/>
      <c r="SIM68" s="15"/>
      <c r="SIN68" s="15"/>
      <c r="SIO68" s="15"/>
      <c r="SIP68" s="15"/>
      <c r="SIQ68" s="15"/>
      <c r="SIR68" s="15"/>
      <c r="SIS68" s="15"/>
      <c r="SIT68" s="15"/>
      <c r="SIU68" s="15"/>
      <c r="SIV68" s="15"/>
      <c r="SIW68" s="15"/>
      <c r="SIX68" s="15"/>
      <c r="SIY68" s="15"/>
      <c r="SIZ68" s="15"/>
      <c r="SJA68" s="15"/>
      <c r="SJB68" s="15"/>
      <c r="SJC68" s="15"/>
      <c r="SJD68" s="15"/>
      <c r="SJE68" s="15"/>
      <c r="SJF68" s="15"/>
      <c r="SJG68" s="15"/>
      <c r="SJH68" s="15"/>
      <c r="SJI68" s="15"/>
      <c r="SJJ68" s="15"/>
      <c r="SJK68" s="15"/>
      <c r="SJL68" s="15"/>
      <c r="SJM68" s="15"/>
      <c r="SJN68" s="15"/>
      <c r="SJO68" s="15"/>
      <c r="SJP68" s="15"/>
      <c r="SJQ68" s="15"/>
      <c r="SJR68" s="15"/>
      <c r="SJS68" s="15"/>
      <c r="SJT68" s="15"/>
      <c r="SJU68" s="15"/>
      <c r="SJV68" s="15"/>
      <c r="SJW68" s="15"/>
      <c r="SJX68" s="15"/>
      <c r="SJY68" s="15"/>
      <c r="SJZ68" s="15"/>
      <c r="SKA68" s="15"/>
      <c r="SKB68" s="15"/>
      <c r="SKC68" s="15"/>
      <c r="SKD68" s="15"/>
      <c r="SKE68" s="15"/>
      <c r="SKF68" s="15"/>
      <c r="SKG68" s="15"/>
      <c r="SKH68" s="15"/>
      <c r="SKI68" s="15"/>
      <c r="SKJ68" s="15"/>
      <c r="SKK68" s="15"/>
      <c r="SKL68" s="15"/>
      <c r="SKM68" s="15"/>
      <c r="SKN68" s="15"/>
      <c r="SKO68" s="15"/>
      <c r="SKP68" s="15"/>
      <c r="SKQ68" s="15"/>
      <c r="SKR68" s="15"/>
      <c r="SKS68" s="15"/>
      <c r="SKT68" s="15"/>
      <c r="SKU68" s="15"/>
      <c r="SKV68" s="15"/>
      <c r="SKW68" s="15"/>
      <c r="SKX68" s="15"/>
      <c r="SKY68" s="15"/>
      <c r="SKZ68" s="15"/>
      <c r="SLA68" s="15"/>
      <c r="SLB68" s="15"/>
      <c r="SLC68" s="15"/>
      <c r="SLD68" s="15"/>
      <c r="SLE68" s="15"/>
      <c r="SLF68" s="15"/>
      <c r="SLG68" s="15"/>
      <c r="SLH68" s="15"/>
      <c r="SLI68" s="15"/>
      <c r="SLJ68" s="15"/>
      <c r="SLK68" s="15"/>
      <c r="SLL68" s="15"/>
      <c r="SLM68" s="15"/>
      <c r="SLN68" s="15"/>
      <c r="SLO68" s="15"/>
      <c r="SLP68" s="15"/>
      <c r="SLQ68" s="15"/>
      <c r="SLR68" s="15"/>
      <c r="SLS68" s="15"/>
      <c r="SLT68" s="15"/>
      <c r="SLU68" s="15"/>
      <c r="SLV68" s="15"/>
      <c r="SLW68" s="15"/>
      <c r="SLX68" s="15"/>
      <c r="SLY68" s="15"/>
      <c r="SLZ68" s="15"/>
      <c r="SMA68" s="15"/>
      <c r="SMB68" s="15"/>
      <c r="SMC68" s="15"/>
      <c r="SMD68" s="15"/>
      <c r="SME68" s="15"/>
      <c r="SMF68" s="15"/>
      <c r="SMG68" s="15"/>
      <c r="SMH68" s="15"/>
      <c r="SMI68" s="15"/>
      <c r="SMJ68" s="15"/>
      <c r="SMK68" s="15"/>
      <c r="SML68" s="15"/>
      <c r="SMM68" s="15"/>
      <c r="SMN68" s="15"/>
      <c r="SMO68" s="15"/>
      <c r="SMP68" s="15"/>
      <c r="SMQ68" s="15"/>
      <c r="SMR68" s="15"/>
      <c r="SMS68" s="15"/>
      <c r="SMT68" s="15"/>
      <c r="SMU68" s="15"/>
      <c r="SMV68" s="15"/>
      <c r="SMW68" s="15"/>
      <c r="SMX68" s="15"/>
      <c r="SMY68" s="15"/>
      <c r="SMZ68" s="15"/>
      <c r="SNA68" s="15"/>
      <c r="SNB68" s="15"/>
      <c r="SNC68" s="15"/>
      <c r="SND68" s="15"/>
      <c r="SNE68" s="15"/>
      <c r="SNF68" s="15"/>
      <c r="SNG68" s="15"/>
      <c r="SNH68" s="15"/>
      <c r="SNI68" s="15"/>
      <c r="SNJ68" s="15"/>
      <c r="SNK68" s="15"/>
      <c r="SNL68" s="15"/>
      <c r="SNM68" s="15"/>
      <c r="SNN68" s="15"/>
      <c r="SNO68" s="15"/>
      <c r="SNP68" s="15"/>
      <c r="SNQ68" s="15"/>
      <c r="SNR68" s="15"/>
      <c r="SNS68" s="15"/>
      <c r="SNT68" s="15"/>
      <c r="SNU68" s="15"/>
      <c r="SNV68" s="15"/>
      <c r="SNW68" s="15"/>
      <c r="SNX68" s="15"/>
      <c r="SNY68" s="15"/>
      <c r="SNZ68" s="15"/>
      <c r="SOA68" s="15"/>
      <c r="SOB68" s="15"/>
      <c r="SOC68" s="15"/>
      <c r="SOD68" s="15"/>
      <c r="SOE68" s="15"/>
      <c r="SOF68" s="15"/>
      <c r="SOG68" s="15"/>
      <c r="SOH68" s="15"/>
      <c r="SOI68" s="15"/>
      <c r="SOJ68" s="15"/>
      <c r="SOK68" s="15"/>
      <c r="SOL68" s="15"/>
      <c r="SOM68" s="15"/>
      <c r="SON68" s="15"/>
      <c r="SOO68" s="15"/>
      <c r="SOP68" s="15"/>
      <c r="SOQ68" s="15"/>
      <c r="SOR68" s="15"/>
      <c r="SOS68" s="15"/>
      <c r="SOT68" s="15"/>
      <c r="SOU68" s="15"/>
      <c r="SOV68" s="15"/>
      <c r="SOW68" s="15"/>
      <c r="SOX68" s="15"/>
      <c r="SOY68" s="15"/>
      <c r="SOZ68" s="15"/>
      <c r="SPA68" s="15"/>
      <c r="SPB68" s="15"/>
      <c r="SPC68" s="15"/>
      <c r="SPD68" s="15"/>
      <c r="SPE68" s="15"/>
      <c r="SPF68" s="15"/>
      <c r="SPG68" s="15"/>
      <c r="SPH68" s="15"/>
      <c r="SPI68" s="15"/>
      <c r="SPJ68" s="15"/>
      <c r="SPK68" s="15"/>
      <c r="SPL68" s="15"/>
      <c r="SPM68" s="15"/>
      <c r="SPN68" s="15"/>
      <c r="SPO68" s="15"/>
      <c r="SPP68" s="15"/>
      <c r="SPQ68" s="15"/>
      <c r="SPR68" s="15"/>
      <c r="SPS68" s="15"/>
      <c r="SPT68" s="15"/>
      <c r="SPU68" s="15"/>
      <c r="SPV68" s="15"/>
      <c r="SPW68" s="15"/>
      <c r="SPX68" s="15"/>
      <c r="SPY68" s="15"/>
      <c r="SPZ68" s="15"/>
      <c r="SQA68" s="15"/>
      <c r="SQB68" s="15"/>
      <c r="SQC68" s="15"/>
      <c r="SQD68" s="15"/>
      <c r="SQE68" s="15"/>
      <c r="SQF68" s="15"/>
      <c r="SQG68" s="15"/>
      <c r="SQH68" s="15"/>
      <c r="SQI68" s="15"/>
      <c r="SQJ68" s="15"/>
      <c r="SQK68" s="15"/>
      <c r="SQL68" s="15"/>
      <c r="SQM68" s="15"/>
      <c r="SQN68" s="15"/>
      <c r="SQO68" s="15"/>
      <c r="SQP68" s="15"/>
      <c r="SQQ68" s="15"/>
      <c r="SQR68" s="15"/>
      <c r="SQS68" s="15"/>
      <c r="SQT68" s="15"/>
      <c r="SQU68" s="15"/>
      <c r="SQV68" s="15"/>
      <c r="SQW68" s="15"/>
      <c r="SQX68" s="15"/>
      <c r="SQY68" s="15"/>
      <c r="SQZ68" s="15"/>
      <c r="SRA68" s="15"/>
      <c r="SRB68" s="15"/>
      <c r="SRC68" s="15"/>
      <c r="SRD68" s="15"/>
      <c r="SRE68" s="15"/>
      <c r="SRF68" s="15"/>
      <c r="SRG68" s="15"/>
      <c r="SRH68" s="15"/>
      <c r="SRI68" s="15"/>
      <c r="SRJ68" s="15"/>
      <c r="SRK68" s="15"/>
      <c r="SRL68" s="15"/>
      <c r="SRM68" s="15"/>
      <c r="SRN68" s="15"/>
      <c r="SRO68" s="15"/>
      <c r="SRP68" s="15"/>
      <c r="SRQ68" s="15"/>
      <c r="SRR68" s="15"/>
      <c r="SRS68" s="15"/>
      <c r="SRT68" s="15"/>
      <c r="SRU68" s="15"/>
      <c r="SRV68" s="15"/>
      <c r="SRW68" s="15"/>
      <c r="SRX68" s="15"/>
      <c r="SRY68" s="15"/>
      <c r="SRZ68" s="15"/>
      <c r="SSA68" s="15"/>
      <c r="SSB68" s="15"/>
      <c r="SSC68" s="15"/>
      <c r="SSD68" s="15"/>
      <c r="SSE68" s="15"/>
      <c r="SSF68" s="15"/>
      <c r="SSG68" s="15"/>
      <c r="SSH68" s="15"/>
      <c r="SSI68" s="15"/>
      <c r="SSJ68" s="15"/>
      <c r="SSK68" s="15"/>
      <c r="SSL68" s="15"/>
      <c r="SSM68" s="15"/>
      <c r="SSN68" s="15"/>
      <c r="SSO68" s="15"/>
      <c r="SSP68" s="15"/>
      <c r="SSQ68" s="15"/>
      <c r="SSR68" s="15"/>
      <c r="SSS68" s="15"/>
      <c r="SST68" s="15"/>
      <c r="SSU68" s="15"/>
      <c r="SSV68" s="15"/>
      <c r="SSW68" s="15"/>
      <c r="SSX68" s="15"/>
      <c r="SSY68" s="15"/>
      <c r="SSZ68" s="15"/>
      <c r="STA68" s="15"/>
      <c r="STB68" s="15"/>
      <c r="STC68" s="15"/>
      <c r="STD68" s="15"/>
      <c r="STE68" s="15"/>
      <c r="STF68" s="15"/>
      <c r="STG68" s="15"/>
      <c r="STH68" s="15"/>
      <c r="STI68" s="15"/>
      <c r="STJ68" s="15"/>
      <c r="STK68" s="15"/>
      <c r="STL68" s="15"/>
      <c r="STM68" s="15"/>
      <c r="STN68" s="15"/>
      <c r="STO68" s="15"/>
      <c r="STP68" s="15"/>
      <c r="STQ68" s="15"/>
      <c r="STR68" s="15"/>
      <c r="STS68" s="15"/>
      <c r="STT68" s="15"/>
      <c r="STU68" s="15"/>
      <c r="STV68" s="15"/>
      <c r="STW68" s="15"/>
      <c r="STX68" s="15"/>
      <c r="STY68" s="15"/>
      <c r="STZ68" s="15"/>
      <c r="SUA68" s="15"/>
      <c r="SUB68" s="15"/>
      <c r="SUC68" s="15"/>
      <c r="SUD68" s="15"/>
      <c r="SUE68" s="15"/>
      <c r="SUF68" s="15"/>
      <c r="SUG68" s="15"/>
      <c r="SUH68" s="15"/>
      <c r="SUI68" s="15"/>
      <c r="SUJ68" s="15"/>
      <c r="SUK68" s="15"/>
      <c r="SUL68" s="15"/>
      <c r="SUM68" s="15"/>
      <c r="SUN68" s="15"/>
      <c r="SUO68" s="15"/>
      <c r="SUP68" s="15"/>
      <c r="SUQ68" s="15"/>
      <c r="SUR68" s="15"/>
      <c r="SUS68" s="15"/>
      <c r="SUT68" s="15"/>
      <c r="SUU68" s="15"/>
      <c r="SUV68" s="15"/>
      <c r="SUW68" s="15"/>
      <c r="SUX68" s="15"/>
      <c r="SUY68" s="15"/>
      <c r="SUZ68" s="15"/>
      <c r="SVA68" s="15"/>
      <c r="SVB68" s="15"/>
      <c r="SVC68" s="15"/>
      <c r="SVD68" s="15"/>
      <c r="SVE68" s="15"/>
      <c r="SVF68" s="15"/>
      <c r="SVG68" s="15"/>
      <c r="SVH68" s="15"/>
      <c r="SVI68" s="15"/>
      <c r="SVJ68" s="15"/>
      <c r="SVK68" s="15"/>
      <c r="SVL68" s="15"/>
      <c r="SVM68" s="15"/>
      <c r="SVN68" s="15"/>
      <c r="SVO68" s="15"/>
      <c r="SVP68" s="15"/>
      <c r="SVQ68" s="15"/>
      <c r="SVR68" s="15"/>
      <c r="SVS68" s="15"/>
      <c r="SVT68" s="15"/>
      <c r="SVU68" s="15"/>
      <c r="SVV68" s="15"/>
      <c r="SVW68" s="15"/>
      <c r="SVX68" s="15"/>
      <c r="SVY68" s="15"/>
      <c r="SVZ68" s="15"/>
      <c r="SWA68" s="15"/>
      <c r="SWB68" s="15"/>
      <c r="SWC68" s="15"/>
      <c r="SWD68" s="15"/>
      <c r="SWE68" s="15"/>
      <c r="SWF68" s="15"/>
      <c r="SWG68" s="15"/>
      <c r="SWH68" s="15"/>
      <c r="SWI68" s="15"/>
      <c r="SWJ68" s="15"/>
      <c r="SWK68" s="15"/>
      <c r="SWL68" s="15"/>
      <c r="SWM68" s="15"/>
      <c r="SWN68" s="15"/>
      <c r="SWO68" s="15"/>
      <c r="SWP68" s="15"/>
      <c r="SWQ68" s="15"/>
      <c r="SWR68" s="15"/>
      <c r="SWS68" s="15"/>
      <c r="SWT68" s="15"/>
      <c r="SWU68" s="15"/>
      <c r="SWV68" s="15"/>
      <c r="SWW68" s="15"/>
      <c r="SWX68" s="15"/>
      <c r="SWY68" s="15"/>
      <c r="SWZ68" s="15"/>
      <c r="SXA68" s="15"/>
      <c r="SXB68" s="15"/>
      <c r="SXC68" s="15"/>
      <c r="SXD68" s="15"/>
      <c r="SXE68" s="15"/>
      <c r="SXF68" s="15"/>
      <c r="SXG68" s="15"/>
      <c r="SXH68" s="15"/>
      <c r="SXI68" s="15"/>
      <c r="SXJ68" s="15"/>
      <c r="SXK68" s="15"/>
      <c r="SXL68" s="15"/>
      <c r="SXM68" s="15"/>
      <c r="SXN68" s="15"/>
      <c r="SXO68" s="15"/>
      <c r="SXP68" s="15"/>
      <c r="SXQ68" s="15"/>
      <c r="SXR68" s="15"/>
      <c r="SXS68" s="15"/>
      <c r="SXT68" s="15"/>
      <c r="SXU68" s="15"/>
      <c r="SXV68" s="15"/>
      <c r="SXW68" s="15"/>
      <c r="SXX68" s="15"/>
      <c r="SXY68" s="15"/>
      <c r="SXZ68" s="15"/>
      <c r="SYA68" s="15"/>
      <c r="SYB68" s="15"/>
      <c r="SYC68" s="15"/>
      <c r="SYD68" s="15"/>
      <c r="SYE68" s="15"/>
      <c r="SYF68" s="15"/>
      <c r="SYG68" s="15"/>
      <c r="SYH68" s="15"/>
      <c r="SYI68" s="15"/>
      <c r="SYJ68" s="15"/>
      <c r="SYK68" s="15"/>
      <c r="SYL68" s="15"/>
      <c r="SYM68" s="15"/>
      <c r="SYN68" s="15"/>
      <c r="SYO68" s="15"/>
      <c r="SYP68" s="15"/>
      <c r="SYQ68" s="15"/>
      <c r="SYR68" s="15"/>
      <c r="SYS68" s="15"/>
      <c r="SYT68" s="15"/>
      <c r="SYU68" s="15"/>
      <c r="SYV68" s="15"/>
      <c r="SYW68" s="15"/>
      <c r="SYX68" s="15"/>
      <c r="SYY68" s="15"/>
      <c r="SYZ68" s="15"/>
      <c r="SZA68" s="15"/>
      <c r="SZB68" s="15"/>
      <c r="SZC68" s="15"/>
      <c r="SZD68" s="15"/>
      <c r="SZE68" s="15"/>
      <c r="SZF68" s="15"/>
      <c r="SZG68" s="15"/>
      <c r="SZH68" s="15"/>
      <c r="SZI68" s="15"/>
      <c r="SZJ68" s="15"/>
      <c r="SZK68" s="15"/>
      <c r="SZL68" s="15"/>
      <c r="SZM68" s="15"/>
      <c r="SZN68" s="15"/>
      <c r="SZO68" s="15"/>
      <c r="SZP68" s="15"/>
      <c r="SZQ68" s="15"/>
      <c r="SZR68" s="15"/>
      <c r="SZS68" s="15"/>
      <c r="SZT68" s="15"/>
      <c r="SZU68" s="15"/>
      <c r="SZV68" s="15"/>
      <c r="SZW68" s="15"/>
      <c r="SZX68" s="15"/>
      <c r="SZY68" s="15"/>
      <c r="SZZ68" s="15"/>
      <c r="TAA68" s="15"/>
      <c r="TAB68" s="15"/>
      <c r="TAC68" s="15"/>
      <c r="TAD68" s="15"/>
      <c r="TAE68" s="15"/>
      <c r="TAF68" s="15"/>
      <c r="TAG68" s="15"/>
      <c r="TAH68" s="15"/>
      <c r="TAI68" s="15"/>
      <c r="TAJ68" s="15"/>
      <c r="TAK68" s="15"/>
      <c r="TAL68" s="15"/>
      <c r="TAM68" s="15"/>
      <c r="TAN68" s="15"/>
      <c r="TAO68" s="15"/>
      <c r="TAP68" s="15"/>
      <c r="TAQ68" s="15"/>
      <c r="TAR68" s="15"/>
      <c r="TAS68" s="15"/>
      <c r="TAT68" s="15"/>
      <c r="TAU68" s="15"/>
      <c r="TAV68" s="15"/>
      <c r="TAW68" s="15"/>
      <c r="TAX68" s="15"/>
      <c r="TAY68" s="15"/>
      <c r="TAZ68" s="15"/>
      <c r="TBA68" s="15"/>
      <c r="TBB68" s="15"/>
      <c r="TBC68" s="15"/>
      <c r="TBD68" s="15"/>
      <c r="TBE68" s="15"/>
      <c r="TBF68" s="15"/>
      <c r="TBG68" s="15"/>
      <c r="TBH68" s="15"/>
      <c r="TBI68" s="15"/>
      <c r="TBJ68" s="15"/>
      <c r="TBK68" s="15"/>
      <c r="TBL68" s="15"/>
      <c r="TBM68" s="15"/>
      <c r="TBN68" s="15"/>
      <c r="TBO68" s="15"/>
      <c r="TBP68" s="15"/>
      <c r="TBQ68" s="15"/>
      <c r="TBR68" s="15"/>
      <c r="TBS68" s="15"/>
      <c r="TBT68" s="15"/>
      <c r="TBU68" s="15"/>
      <c r="TBV68" s="15"/>
      <c r="TBW68" s="15"/>
      <c r="TBX68" s="15"/>
      <c r="TBY68" s="15"/>
      <c r="TBZ68" s="15"/>
      <c r="TCA68" s="15"/>
      <c r="TCB68" s="15"/>
      <c r="TCC68" s="15"/>
      <c r="TCD68" s="15"/>
      <c r="TCE68" s="15"/>
      <c r="TCF68" s="15"/>
      <c r="TCG68" s="15"/>
      <c r="TCH68" s="15"/>
      <c r="TCI68" s="15"/>
      <c r="TCJ68" s="15"/>
      <c r="TCK68" s="15"/>
      <c r="TCL68" s="15"/>
      <c r="TCM68" s="15"/>
      <c r="TCN68" s="15"/>
      <c r="TCO68" s="15"/>
      <c r="TCP68" s="15"/>
      <c r="TCQ68" s="15"/>
      <c r="TCR68" s="15"/>
      <c r="TCS68" s="15"/>
      <c r="TCT68" s="15"/>
      <c r="TCU68" s="15"/>
      <c r="TCV68" s="15"/>
      <c r="TCW68" s="15"/>
      <c r="TCX68" s="15"/>
      <c r="TCY68" s="15"/>
      <c r="TCZ68" s="15"/>
      <c r="TDA68" s="15"/>
      <c r="TDB68" s="15"/>
      <c r="TDC68" s="15"/>
      <c r="TDD68" s="15"/>
      <c r="TDE68" s="15"/>
      <c r="TDF68" s="15"/>
      <c r="TDG68" s="15"/>
      <c r="TDH68" s="15"/>
      <c r="TDI68" s="15"/>
      <c r="TDJ68" s="15"/>
      <c r="TDK68" s="15"/>
      <c r="TDL68" s="15"/>
      <c r="TDM68" s="15"/>
      <c r="TDN68" s="15"/>
      <c r="TDO68" s="15"/>
      <c r="TDP68" s="15"/>
      <c r="TDQ68" s="15"/>
      <c r="TDR68" s="15"/>
      <c r="TDS68" s="15"/>
      <c r="TDT68" s="15"/>
      <c r="TDU68" s="15"/>
      <c r="TDV68" s="15"/>
      <c r="TDW68" s="15"/>
      <c r="TDX68" s="15"/>
      <c r="TDY68" s="15"/>
      <c r="TDZ68" s="15"/>
      <c r="TEA68" s="15"/>
      <c r="TEB68" s="15"/>
      <c r="TEC68" s="15"/>
      <c r="TED68" s="15"/>
      <c r="TEE68" s="15"/>
      <c r="TEF68" s="15"/>
      <c r="TEG68" s="15"/>
      <c r="TEH68" s="15"/>
      <c r="TEI68" s="15"/>
      <c r="TEJ68" s="15"/>
      <c r="TEK68" s="15"/>
      <c r="TEL68" s="15"/>
      <c r="TEM68" s="15"/>
      <c r="TEN68" s="15"/>
      <c r="TEO68" s="15"/>
      <c r="TEP68" s="15"/>
      <c r="TEQ68" s="15"/>
      <c r="TER68" s="15"/>
      <c r="TES68" s="15"/>
      <c r="TET68" s="15"/>
      <c r="TEU68" s="15"/>
      <c r="TEV68" s="15"/>
      <c r="TEW68" s="15"/>
      <c r="TEX68" s="15"/>
      <c r="TEY68" s="15"/>
      <c r="TEZ68" s="15"/>
      <c r="TFA68" s="15"/>
      <c r="TFB68" s="15"/>
      <c r="TFC68" s="15"/>
      <c r="TFD68" s="15"/>
      <c r="TFE68" s="15"/>
      <c r="TFF68" s="15"/>
      <c r="TFG68" s="15"/>
      <c r="TFH68" s="15"/>
      <c r="TFI68" s="15"/>
      <c r="TFJ68" s="15"/>
      <c r="TFK68" s="15"/>
      <c r="TFL68" s="15"/>
      <c r="TFM68" s="15"/>
      <c r="TFN68" s="15"/>
      <c r="TFO68" s="15"/>
      <c r="TFP68" s="15"/>
      <c r="TFQ68" s="15"/>
      <c r="TFR68" s="15"/>
      <c r="TFS68" s="15"/>
      <c r="TFT68" s="15"/>
      <c r="TFU68" s="15"/>
      <c r="TFV68" s="15"/>
      <c r="TFW68" s="15"/>
      <c r="TFX68" s="15"/>
      <c r="TFY68" s="15"/>
      <c r="TFZ68" s="15"/>
      <c r="TGA68" s="15"/>
      <c r="TGB68" s="15"/>
      <c r="TGC68" s="15"/>
      <c r="TGD68" s="15"/>
      <c r="TGE68" s="15"/>
      <c r="TGF68" s="15"/>
      <c r="TGG68" s="15"/>
      <c r="TGH68" s="15"/>
      <c r="TGI68" s="15"/>
      <c r="TGJ68" s="15"/>
      <c r="TGK68" s="15"/>
      <c r="TGL68" s="15"/>
      <c r="TGM68" s="15"/>
      <c r="TGN68" s="15"/>
      <c r="TGO68" s="15"/>
      <c r="TGP68" s="15"/>
      <c r="TGQ68" s="15"/>
      <c r="TGR68" s="15"/>
      <c r="TGS68" s="15"/>
      <c r="TGT68" s="15"/>
      <c r="TGU68" s="15"/>
      <c r="TGV68" s="15"/>
      <c r="TGW68" s="15"/>
      <c r="TGX68" s="15"/>
      <c r="TGY68" s="15"/>
      <c r="TGZ68" s="15"/>
      <c r="THA68" s="15"/>
      <c r="THB68" s="15"/>
      <c r="THC68" s="15"/>
      <c r="THD68" s="15"/>
      <c r="THE68" s="15"/>
      <c r="THF68" s="15"/>
      <c r="THG68" s="15"/>
      <c r="THH68" s="15"/>
      <c r="THI68" s="15"/>
      <c r="THJ68" s="15"/>
      <c r="THK68" s="15"/>
      <c r="THL68" s="15"/>
      <c r="THM68" s="15"/>
      <c r="THN68" s="15"/>
      <c r="THO68" s="15"/>
      <c r="THP68" s="15"/>
      <c r="THQ68" s="15"/>
      <c r="THR68" s="15"/>
      <c r="THS68" s="15"/>
      <c r="THT68" s="15"/>
      <c r="THU68" s="15"/>
      <c r="THV68" s="15"/>
      <c r="THW68" s="15"/>
      <c r="THX68" s="15"/>
      <c r="THY68" s="15"/>
      <c r="THZ68" s="15"/>
      <c r="TIA68" s="15"/>
      <c r="TIB68" s="15"/>
      <c r="TIC68" s="15"/>
      <c r="TID68" s="15"/>
      <c r="TIE68" s="15"/>
      <c r="TIF68" s="15"/>
      <c r="TIG68" s="15"/>
      <c r="TIH68" s="15"/>
      <c r="TII68" s="15"/>
      <c r="TIJ68" s="15"/>
      <c r="TIK68" s="15"/>
      <c r="TIL68" s="15"/>
      <c r="TIM68" s="15"/>
      <c r="TIN68" s="15"/>
      <c r="TIO68" s="15"/>
      <c r="TIP68" s="15"/>
      <c r="TIQ68" s="15"/>
      <c r="TIR68" s="15"/>
      <c r="TIS68" s="15"/>
      <c r="TIT68" s="15"/>
      <c r="TIU68" s="15"/>
      <c r="TIV68" s="15"/>
      <c r="TIW68" s="15"/>
      <c r="TIX68" s="15"/>
      <c r="TIY68" s="15"/>
      <c r="TIZ68" s="15"/>
      <c r="TJA68" s="15"/>
      <c r="TJB68" s="15"/>
      <c r="TJC68" s="15"/>
      <c r="TJD68" s="15"/>
      <c r="TJE68" s="15"/>
      <c r="TJF68" s="15"/>
      <c r="TJG68" s="15"/>
      <c r="TJH68" s="15"/>
      <c r="TJI68" s="15"/>
      <c r="TJJ68" s="15"/>
      <c r="TJK68" s="15"/>
      <c r="TJL68" s="15"/>
      <c r="TJM68" s="15"/>
      <c r="TJN68" s="15"/>
      <c r="TJO68" s="15"/>
      <c r="TJP68" s="15"/>
      <c r="TJQ68" s="15"/>
      <c r="TJR68" s="15"/>
      <c r="TJS68" s="15"/>
      <c r="TJT68" s="15"/>
      <c r="TJU68" s="15"/>
      <c r="TJV68" s="15"/>
      <c r="TJW68" s="15"/>
      <c r="TJX68" s="15"/>
      <c r="TJY68" s="15"/>
      <c r="TJZ68" s="15"/>
      <c r="TKA68" s="15"/>
      <c r="TKB68" s="15"/>
      <c r="TKC68" s="15"/>
      <c r="TKD68" s="15"/>
      <c r="TKE68" s="15"/>
      <c r="TKF68" s="15"/>
      <c r="TKG68" s="15"/>
      <c r="TKH68" s="15"/>
      <c r="TKI68" s="15"/>
      <c r="TKJ68" s="15"/>
      <c r="TKK68" s="15"/>
      <c r="TKL68" s="15"/>
      <c r="TKM68" s="15"/>
      <c r="TKN68" s="15"/>
      <c r="TKO68" s="15"/>
      <c r="TKP68" s="15"/>
      <c r="TKQ68" s="15"/>
      <c r="TKR68" s="15"/>
      <c r="TKS68" s="15"/>
      <c r="TKT68" s="15"/>
      <c r="TKU68" s="15"/>
      <c r="TKV68" s="15"/>
      <c r="TKW68" s="15"/>
      <c r="TKX68" s="15"/>
      <c r="TKY68" s="15"/>
      <c r="TKZ68" s="15"/>
      <c r="TLA68" s="15"/>
      <c r="TLB68" s="15"/>
      <c r="TLC68" s="15"/>
      <c r="TLD68" s="15"/>
      <c r="TLE68" s="15"/>
      <c r="TLF68" s="15"/>
      <c r="TLG68" s="15"/>
      <c r="TLH68" s="15"/>
      <c r="TLI68" s="15"/>
      <c r="TLJ68" s="15"/>
      <c r="TLK68" s="15"/>
      <c r="TLL68" s="15"/>
      <c r="TLM68" s="15"/>
      <c r="TLN68" s="15"/>
      <c r="TLO68" s="15"/>
      <c r="TLP68" s="15"/>
      <c r="TLQ68" s="15"/>
      <c r="TLR68" s="15"/>
      <c r="TLS68" s="15"/>
      <c r="TLT68" s="15"/>
      <c r="TLU68" s="15"/>
      <c r="TLV68" s="15"/>
      <c r="TLW68" s="15"/>
      <c r="TLX68" s="15"/>
      <c r="TLY68" s="15"/>
      <c r="TLZ68" s="15"/>
      <c r="TMA68" s="15"/>
      <c r="TMB68" s="15"/>
      <c r="TMC68" s="15"/>
      <c r="TMD68" s="15"/>
      <c r="TME68" s="15"/>
      <c r="TMF68" s="15"/>
      <c r="TMG68" s="15"/>
      <c r="TMH68" s="15"/>
      <c r="TMI68" s="15"/>
      <c r="TMJ68" s="15"/>
      <c r="TMK68" s="15"/>
      <c r="TML68" s="15"/>
      <c r="TMM68" s="15"/>
      <c r="TMN68" s="15"/>
      <c r="TMO68" s="15"/>
      <c r="TMP68" s="15"/>
      <c r="TMQ68" s="15"/>
      <c r="TMR68" s="15"/>
      <c r="TMS68" s="15"/>
      <c r="TMT68" s="15"/>
      <c r="TMU68" s="15"/>
      <c r="TMV68" s="15"/>
      <c r="TMW68" s="15"/>
      <c r="TMX68" s="15"/>
      <c r="TMY68" s="15"/>
      <c r="TMZ68" s="15"/>
      <c r="TNA68" s="15"/>
      <c r="TNB68" s="15"/>
      <c r="TNC68" s="15"/>
      <c r="TND68" s="15"/>
      <c r="TNE68" s="15"/>
      <c r="TNF68" s="15"/>
      <c r="TNG68" s="15"/>
      <c r="TNH68" s="15"/>
      <c r="TNI68" s="15"/>
      <c r="TNJ68" s="15"/>
      <c r="TNK68" s="15"/>
      <c r="TNL68" s="15"/>
      <c r="TNM68" s="15"/>
      <c r="TNN68" s="15"/>
      <c r="TNO68" s="15"/>
      <c r="TNP68" s="15"/>
      <c r="TNQ68" s="15"/>
      <c r="TNR68" s="15"/>
      <c r="TNS68" s="15"/>
      <c r="TNT68" s="15"/>
      <c r="TNU68" s="15"/>
      <c r="TNV68" s="15"/>
      <c r="TNW68" s="15"/>
      <c r="TNX68" s="15"/>
      <c r="TNY68" s="15"/>
      <c r="TNZ68" s="15"/>
      <c r="TOA68" s="15"/>
      <c r="TOB68" s="15"/>
      <c r="TOC68" s="15"/>
      <c r="TOD68" s="15"/>
      <c r="TOE68" s="15"/>
      <c r="TOF68" s="15"/>
      <c r="TOG68" s="15"/>
      <c r="TOH68" s="15"/>
      <c r="TOI68" s="15"/>
      <c r="TOJ68" s="15"/>
      <c r="TOK68" s="15"/>
      <c r="TOL68" s="15"/>
      <c r="TOM68" s="15"/>
      <c r="TON68" s="15"/>
      <c r="TOO68" s="15"/>
      <c r="TOP68" s="15"/>
      <c r="TOQ68" s="15"/>
      <c r="TOR68" s="15"/>
      <c r="TOS68" s="15"/>
      <c r="TOT68" s="15"/>
      <c r="TOU68" s="15"/>
      <c r="TOV68" s="15"/>
      <c r="TOW68" s="15"/>
      <c r="TOX68" s="15"/>
      <c r="TOY68" s="15"/>
      <c r="TOZ68" s="15"/>
      <c r="TPA68" s="15"/>
      <c r="TPB68" s="15"/>
      <c r="TPC68" s="15"/>
      <c r="TPD68" s="15"/>
      <c r="TPE68" s="15"/>
      <c r="TPF68" s="15"/>
      <c r="TPG68" s="15"/>
      <c r="TPH68" s="15"/>
      <c r="TPI68" s="15"/>
      <c r="TPJ68" s="15"/>
      <c r="TPK68" s="15"/>
      <c r="TPL68" s="15"/>
      <c r="TPM68" s="15"/>
      <c r="TPN68" s="15"/>
      <c r="TPO68" s="15"/>
      <c r="TPP68" s="15"/>
      <c r="TPQ68" s="15"/>
      <c r="TPR68" s="15"/>
      <c r="TPS68" s="15"/>
      <c r="TPT68" s="15"/>
      <c r="TPU68" s="15"/>
      <c r="TPV68" s="15"/>
      <c r="TPW68" s="15"/>
      <c r="TPX68" s="15"/>
      <c r="TPY68" s="15"/>
      <c r="TPZ68" s="15"/>
      <c r="TQA68" s="15"/>
      <c r="TQB68" s="15"/>
      <c r="TQC68" s="15"/>
      <c r="TQD68" s="15"/>
      <c r="TQE68" s="15"/>
      <c r="TQF68" s="15"/>
      <c r="TQG68" s="15"/>
      <c r="TQH68" s="15"/>
      <c r="TQI68" s="15"/>
      <c r="TQJ68" s="15"/>
      <c r="TQK68" s="15"/>
      <c r="TQL68" s="15"/>
      <c r="TQM68" s="15"/>
      <c r="TQN68" s="15"/>
      <c r="TQO68" s="15"/>
      <c r="TQP68" s="15"/>
      <c r="TQQ68" s="15"/>
      <c r="TQR68" s="15"/>
      <c r="TQS68" s="15"/>
      <c r="TQT68" s="15"/>
      <c r="TQU68" s="15"/>
      <c r="TQV68" s="15"/>
      <c r="TQW68" s="15"/>
      <c r="TQX68" s="15"/>
      <c r="TQY68" s="15"/>
      <c r="TQZ68" s="15"/>
      <c r="TRA68" s="15"/>
      <c r="TRB68" s="15"/>
      <c r="TRC68" s="15"/>
      <c r="TRD68" s="15"/>
      <c r="TRE68" s="15"/>
      <c r="TRF68" s="15"/>
      <c r="TRG68" s="15"/>
      <c r="TRH68" s="15"/>
      <c r="TRI68" s="15"/>
      <c r="TRJ68" s="15"/>
      <c r="TRK68" s="15"/>
      <c r="TRL68" s="15"/>
      <c r="TRM68" s="15"/>
      <c r="TRN68" s="15"/>
      <c r="TRO68" s="15"/>
      <c r="TRP68" s="15"/>
      <c r="TRQ68" s="15"/>
      <c r="TRR68" s="15"/>
      <c r="TRS68" s="15"/>
      <c r="TRT68" s="15"/>
      <c r="TRU68" s="15"/>
      <c r="TRV68" s="15"/>
      <c r="TRW68" s="15"/>
      <c r="TRX68" s="15"/>
      <c r="TRY68" s="15"/>
      <c r="TRZ68" s="15"/>
      <c r="TSA68" s="15"/>
      <c r="TSB68" s="15"/>
      <c r="TSC68" s="15"/>
      <c r="TSD68" s="15"/>
      <c r="TSE68" s="15"/>
      <c r="TSF68" s="15"/>
      <c r="TSG68" s="15"/>
      <c r="TSH68" s="15"/>
      <c r="TSI68" s="15"/>
      <c r="TSJ68" s="15"/>
      <c r="TSK68" s="15"/>
      <c r="TSL68" s="15"/>
      <c r="TSM68" s="15"/>
      <c r="TSN68" s="15"/>
      <c r="TSO68" s="15"/>
      <c r="TSP68" s="15"/>
      <c r="TSQ68" s="15"/>
      <c r="TSR68" s="15"/>
      <c r="TSS68" s="15"/>
      <c r="TST68" s="15"/>
      <c r="TSU68" s="15"/>
      <c r="TSV68" s="15"/>
      <c r="TSW68" s="15"/>
      <c r="TSX68" s="15"/>
      <c r="TSY68" s="15"/>
      <c r="TSZ68" s="15"/>
      <c r="TTA68" s="15"/>
      <c r="TTB68" s="15"/>
      <c r="TTC68" s="15"/>
      <c r="TTD68" s="15"/>
      <c r="TTE68" s="15"/>
      <c r="TTF68" s="15"/>
      <c r="TTG68" s="15"/>
      <c r="TTH68" s="15"/>
      <c r="TTI68" s="15"/>
      <c r="TTJ68" s="15"/>
      <c r="TTK68" s="15"/>
      <c r="TTL68" s="15"/>
      <c r="TTM68" s="15"/>
      <c r="TTN68" s="15"/>
      <c r="TTO68" s="15"/>
      <c r="TTP68" s="15"/>
      <c r="TTQ68" s="15"/>
      <c r="TTR68" s="15"/>
      <c r="TTS68" s="15"/>
      <c r="TTT68" s="15"/>
      <c r="TTU68" s="15"/>
      <c r="TTV68" s="15"/>
      <c r="TTW68" s="15"/>
      <c r="TTX68" s="15"/>
      <c r="TTY68" s="15"/>
      <c r="TTZ68" s="15"/>
      <c r="TUA68" s="15"/>
      <c r="TUB68" s="15"/>
      <c r="TUC68" s="15"/>
      <c r="TUD68" s="15"/>
      <c r="TUE68" s="15"/>
      <c r="TUF68" s="15"/>
      <c r="TUG68" s="15"/>
      <c r="TUH68" s="15"/>
      <c r="TUI68" s="15"/>
      <c r="TUJ68" s="15"/>
      <c r="TUK68" s="15"/>
      <c r="TUL68" s="15"/>
      <c r="TUM68" s="15"/>
      <c r="TUN68" s="15"/>
      <c r="TUO68" s="15"/>
      <c r="TUP68" s="15"/>
      <c r="TUQ68" s="15"/>
      <c r="TUR68" s="15"/>
      <c r="TUS68" s="15"/>
      <c r="TUT68" s="15"/>
      <c r="TUU68" s="15"/>
      <c r="TUV68" s="15"/>
      <c r="TUW68" s="15"/>
      <c r="TUX68" s="15"/>
      <c r="TUY68" s="15"/>
      <c r="TUZ68" s="15"/>
      <c r="TVA68" s="15"/>
      <c r="TVB68" s="15"/>
      <c r="TVC68" s="15"/>
      <c r="TVD68" s="15"/>
      <c r="TVE68" s="15"/>
      <c r="TVF68" s="15"/>
      <c r="TVG68" s="15"/>
      <c r="TVH68" s="15"/>
      <c r="TVI68" s="15"/>
      <c r="TVJ68" s="15"/>
      <c r="TVK68" s="15"/>
      <c r="TVL68" s="15"/>
      <c r="TVM68" s="15"/>
      <c r="TVN68" s="15"/>
      <c r="TVO68" s="15"/>
      <c r="TVP68" s="15"/>
      <c r="TVQ68" s="15"/>
      <c r="TVR68" s="15"/>
      <c r="TVS68" s="15"/>
      <c r="TVT68" s="15"/>
      <c r="TVU68" s="15"/>
      <c r="TVV68" s="15"/>
      <c r="TVW68" s="15"/>
      <c r="TVX68" s="15"/>
      <c r="TVY68" s="15"/>
      <c r="TVZ68" s="15"/>
      <c r="TWA68" s="15"/>
      <c r="TWB68" s="15"/>
      <c r="TWC68" s="15"/>
      <c r="TWD68" s="15"/>
      <c r="TWE68" s="15"/>
      <c r="TWF68" s="15"/>
      <c r="TWG68" s="15"/>
      <c r="TWH68" s="15"/>
      <c r="TWI68" s="15"/>
      <c r="TWJ68" s="15"/>
      <c r="TWK68" s="15"/>
      <c r="TWL68" s="15"/>
      <c r="TWM68" s="15"/>
      <c r="TWN68" s="15"/>
      <c r="TWO68" s="15"/>
      <c r="TWP68" s="15"/>
      <c r="TWQ68" s="15"/>
      <c r="TWR68" s="15"/>
      <c r="TWS68" s="15"/>
      <c r="TWT68" s="15"/>
      <c r="TWU68" s="15"/>
      <c r="TWV68" s="15"/>
      <c r="TWW68" s="15"/>
      <c r="TWX68" s="15"/>
      <c r="TWY68" s="15"/>
      <c r="TWZ68" s="15"/>
      <c r="TXA68" s="15"/>
      <c r="TXB68" s="15"/>
      <c r="TXC68" s="15"/>
      <c r="TXD68" s="15"/>
      <c r="TXE68" s="15"/>
      <c r="TXF68" s="15"/>
      <c r="TXG68" s="15"/>
      <c r="TXH68" s="15"/>
      <c r="TXI68" s="15"/>
      <c r="TXJ68" s="15"/>
      <c r="TXK68" s="15"/>
      <c r="TXL68" s="15"/>
      <c r="TXM68" s="15"/>
      <c r="TXN68" s="15"/>
      <c r="TXO68" s="15"/>
      <c r="TXP68" s="15"/>
      <c r="TXQ68" s="15"/>
      <c r="TXR68" s="15"/>
      <c r="TXS68" s="15"/>
      <c r="TXT68" s="15"/>
      <c r="TXU68" s="15"/>
      <c r="TXV68" s="15"/>
      <c r="TXW68" s="15"/>
      <c r="TXX68" s="15"/>
      <c r="TXY68" s="15"/>
      <c r="TXZ68" s="15"/>
      <c r="TYA68" s="15"/>
      <c r="TYB68" s="15"/>
      <c r="TYC68" s="15"/>
      <c r="TYD68" s="15"/>
      <c r="TYE68" s="15"/>
      <c r="TYF68" s="15"/>
      <c r="TYG68" s="15"/>
      <c r="TYH68" s="15"/>
      <c r="TYI68" s="15"/>
      <c r="TYJ68" s="15"/>
      <c r="TYK68" s="15"/>
      <c r="TYL68" s="15"/>
      <c r="TYM68" s="15"/>
      <c r="TYN68" s="15"/>
      <c r="TYO68" s="15"/>
      <c r="TYP68" s="15"/>
      <c r="TYQ68" s="15"/>
      <c r="TYR68" s="15"/>
      <c r="TYS68" s="15"/>
      <c r="TYT68" s="15"/>
      <c r="TYU68" s="15"/>
      <c r="TYV68" s="15"/>
      <c r="TYW68" s="15"/>
      <c r="TYX68" s="15"/>
      <c r="TYY68" s="15"/>
      <c r="TYZ68" s="15"/>
      <c r="TZA68" s="15"/>
      <c r="TZB68" s="15"/>
      <c r="TZC68" s="15"/>
      <c r="TZD68" s="15"/>
      <c r="TZE68" s="15"/>
      <c r="TZF68" s="15"/>
      <c r="TZG68" s="15"/>
      <c r="TZH68" s="15"/>
      <c r="TZI68" s="15"/>
      <c r="TZJ68" s="15"/>
      <c r="TZK68" s="15"/>
      <c r="TZL68" s="15"/>
      <c r="TZM68" s="15"/>
      <c r="TZN68" s="15"/>
      <c r="TZO68" s="15"/>
      <c r="TZP68" s="15"/>
      <c r="TZQ68" s="15"/>
      <c r="TZR68" s="15"/>
      <c r="TZS68" s="15"/>
      <c r="TZT68" s="15"/>
      <c r="TZU68" s="15"/>
      <c r="TZV68" s="15"/>
      <c r="TZW68" s="15"/>
      <c r="TZX68" s="15"/>
      <c r="TZY68" s="15"/>
      <c r="TZZ68" s="15"/>
      <c r="UAA68" s="15"/>
      <c r="UAB68" s="15"/>
      <c r="UAC68" s="15"/>
      <c r="UAD68" s="15"/>
      <c r="UAE68" s="15"/>
      <c r="UAF68" s="15"/>
      <c r="UAG68" s="15"/>
      <c r="UAH68" s="15"/>
      <c r="UAI68" s="15"/>
      <c r="UAJ68" s="15"/>
      <c r="UAK68" s="15"/>
      <c r="UAL68" s="15"/>
      <c r="UAM68" s="15"/>
      <c r="UAN68" s="15"/>
      <c r="UAO68" s="15"/>
      <c r="UAP68" s="15"/>
      <c r="UAQ68" s="15"/>
      <c r="UAR68" s="15"/>
      <c r="UAS68" s="15"/>
      <c r="UAT68" s="15"/>
      <c r="UAU68" s="15"/>
      <c r="UAV68" s="15"/>
      <c r="UAW68" s="15"/>
      <c r="UAX68" s="15"/>
      <c r="UAY68" s="15"/>
      <c r="UAZ68" s="15"/>
      <c r="UBA68" s="15"/>
      <c r="UBB68" s="15"/>
      <c r="UBC68" s="15"/>
      <c r="UBD68" s="15"/>
      <c r="UBE68" s="15"/>
      <c r="UBF68" s="15"/>
      <c r="UBG68" s="15"/>
      <c r="UBH68" s="15"/>
      <c r="UBI68" s="15"/>
      <c r="UBJ68" s="15"/>
      <c r="UBK68" s="15"/>
      <c r="UBL68" s="15"/>
      <c r="UBM68" s="15"/>
      <c r="UBN68" s="15"/>
      <c r="UBO68" s="15"/>
      <c r="UBP68" s="15"/>
      <c r="UBQ68" s="15"/>
      <c r="UBR68" s="15"/>
      <c r="UBS68" s="15"/>
      <c r="UBT68" s="15"/>
      <c r="UBU68" s="15"/>
      <c r="UBV68" s="15"/>
      <c r="UBW68" s="15"/>
      <c r="UBX68" s="15"/>
      <c r="UBY68" s="15"/>
      <c r="UBZ68" s="15"/>
      <c r="UCA68" s="15"/>
      <c r="UCB68" s="15"/>
      <c r="UCC68" s="15"/>
      <c r="UCD68" s="15"/>
      <c r="UCE68" s="15"/>
      <c r="UCF68" s="15"/>
      <c r="UCG68" s="15"/>
      <c r="UCH68" s="15"/>
      <c r="UCI68" s="15"/>
      <c r="UCJ68" s="15"/>
      <c r="UCK68" s="15"/>
      <c r="UCL68" s="15"/>
      <c r="UCM68" s="15"/>
      <c r="UCN68" s="15"/>
      <c r="UCO68" s="15"/>
      <c r="UCP68" s="15"/>
      <c r="UCQ68" s="15"/>
      <c r="UCR68" s="15"/>
      <c r="UCS68" s="15"/>
      <c r="UCT68" s="15"/>
      <c r="UCU68" s="15"/>
      <c r="UCV68" s="15"/>
      <c r="UCW68" s="15"/>
      <c r="UCX68" s="15"/>
      <c r="UCY68" s="15"/>
      <c r="UCZ68" s="15"/>
      <c r="UDA68" s="15"/>
      <c r="UDB68" s="15"/>
      <c r="UDC68" s="15"/>
      <c r="UDD68" s="15"/>
      <c r="UDE68" s="15"/>
      <c r="UDF68" s="15"/>
      <c r="UDG68" s="15"/>
      <c r="UDH68" s="15"/>
      <c r="UDI68" s="15"/>
      <c r="UDJ68" s="15"/>
      <c r="UDK68" s="15"/>
      <c r="UDL68" s="15"/>
      <c r="UDM68" s="15"/>
      <c r="UDN68" s="15"/>
      <c r="UDO68" s="15"/>
      <c r="UDP68" s="15"/>
      <c r="UDQ68" s="15"/>
      <c r="UDR68" s="15"/>
      <c r="UDS68" s="15"/>
      <c r="UDT68" s="15"/>
      <c r="UDU68" s="15"/>
      <c r="UDV68" s="15"/>
      <c r="UDW68" s="15"/>
      <c r="UDX68" s="15"/>
      <c r="UDY68" s="15"/>
      <c r="UDZ68" s="15"/>
      <c r="UEA68" s="15"/>
      <c r="UEB68" s="15"/>
      <c r="UEC68" s="15"/>
      <c r="UED68" s="15"/>
      <c r="UEE68" s="15"/>
      <c r="UEF68" s="15"/>
      <c r="UEG68" s="15"/>
      <c r="UEH68" s="15"/>
      <c r="UEI68" s="15"/>
      <c r="UEJ68" s="15"/>
      <c r="UEK68" s="15"/>
      <c r="UEL68" s="15"/>
      <c r="UEM68" s="15"/>
      <c r="UEN68" s="15"/>
      <c r="UEO68" s="15"/>
      <c r="UEP68" s="15"/>
      <c r="UEQ68" s="15"/>
      <c r="UER68" s="15"/>
      <c r="UES68" s="15"/>
      <c r="UET68" s="15"/>
      <c r="UEU68" s="15"/>
      <c r="UEV68" s="15"/>
      <c r="UEW68" s="15"/>
      <c r="UEX68" s="15"/>
      <c r="UEY68" s="15"/>
      <c r="UEZ68" s="15"/>
      <c r="UFA68" s="15"/>
      <c r="UFB68" s="15"/>
      <c r="UFC68" s="15"/>
      <c r="UFD68" s="15"/>
      <c r="UFE68" s="15"/>
      <c r="UFF68" s="15"/>
      <c r="UFG68" s="15"/>
      <c r="UFH68" s="15"/>
      <c r="UFI68" s="15"/>
      <c r="UFJ68" s="15"/>
      <c r="UFK68" s="15"/>
      <c r="UFL68" s="15"/>
      <c r="UFM68" s="15"/>
      <c r="UFN68" s="15"/>
      <c r="UFO68" s="15"/>
      <c r="UFP68" s="15"/>
      <c r="UFQ68" s="15"/>
      <c r="UFR68" s="15"/>
      <c r="UFS68" s="15"/>
      <c r="UFT68" s="15"/>
      <c r="UFU68" s="15"/>
      <c r="UFV68" s="15"/>
      <c r="UFW68" s="15"/>
      <c r="UFX68" s="15"/>
      <c r="UFY68" s="15"/>
      <c r="UFZ68" s="15"/>
      <c r="UGA68" s="15"/>
      <c r="UGB68" s="15"/>
      <c r="UGC68" s="15"/>
      <c r="UGD68" s="15"/>
      <c r="UGE68" s="15"/>
      <c r="UGF68" s="15"/>
      <c r="UGG68" s="15"/>
      <c r="UGH68" s="15"/>
      <c r="UGI68" s="15"/>
      <c r="UGJ68" s="15"/>
      <c r="UGK68" s="15"/>
      <c r="UGL68" s="15"/>
      <c r="UGM68" s="15"/>
      <c r="UGN68" s="15"/>
      <c r="UGO68" s="15"/>
      <c r="UGP68" s="15"/>
      <c r="UGQ68" s="15"/>
      <c r="UGR68" s="15"/>
      <c r="UGS68" s="15"/>
      <c r="UGT68" s="15"/>
      <c r="UGU68" s="15"/>
      <c r="UGV68" s="15"/>
      <c r="UGW68" s="15"/>
      <c r="UGX68" s="15"/>
      <c r="UGY68" s="15"/>
      <c r="UGZ68" s="15"/>
      <c r="UHA68" s="15"/>
      <c r="UHB68" s="15"/>
      <c r="UHC68" s="15"/>
      <c r="UHD68" s="15"/>
      <c r="UHE68" s="15"/>
      <c r="UHF68" s="15"/>
      <c r="UHG68" s="15"/>
      <c r="UHH68" s="15"/>
      <c r="UHI68" s="15"/>
      <c r="UHJ68" s="15"/>
      <c r="UHK68" s="15"/>
      <c r="UHL68" s="15"/>
      <c r="UHM68" s="15"/>
      <c r="UHN68" s="15"/>
      <c r="UHO68" s="15"/>
      <c r="UHP68" s="15"/>
      <c r="UHQ68" s="15"/>
      <c r="UHR68" s="15"/>
      <c r="UHS68" s="15"/>
      <c r="UHT68" s="15"/>
      <c r="UHU68" s="15"/>
      <c r="UHV68" s="15"/>
      <c r="UHW68" s="15"/>
      <c r="UHX68" s="15"/>
      <c r="UHY68" s="15"/>
      <c r="UHZ68" s="15"/>
      <c r="UIA68" s="15"/>
      <c r="UIB68" s="15"/>
      <c r="UIC68" s="15"/>
      <c r="UID68" s="15"/>
      <c r="UIE68" s="15"/>
      <c r="UIF68" s="15"/>
      <c r="UIG68" s="15"/>
      <c r="UIH68" s="15"/>
      <c r="UII68" s="15"/>
      <c r="UIJ68" s="15"/>
      <c r="UIK68" s="15"/>
      <c r="UIL68" s="15"/>
      <c r="UIM68" s="15"/>
      <c r="UIN68" s="15"/>
      <c r="UIO68" s="15"/>
      <c r="UIP68" s="15"/>
      <c r="UIQ68" s="15"/>
      <c r="UIR68" s="15"/>
      <c r="UIS68" s="15"/>
      <c r="UIT68" s="15"/>
      <c r="UIU68" s="15"/>
      <c r="UIV68" s="15"/>
      <c r="UIW68" s="15"/>
      <c r="UIX68" s="15"/>
      <c r="UIY68" s="15"/>
      <c r="UIZ68" s="15"/>
      <c r="UJA68" s="15"/>
      <c r="UJB68" s="15"/>
      <c r="UJC68" s="15"/>
      <c r="UJD68" s="15"/>
      <c r="UJE68" s="15"/>
      <c r="UJF68" s="15"/>
      <c r="UJG68" s="15"/>
      <c r="UJH68" s="15"/>
      <c r="UJI68" s="15"/>
      <c r="UJJ68" s="15"/>
      <c r="UJK68" s="15"/>
      <c r="UJL68" s="15"/>
      <c r="UJM68" s="15"/>
      <c r="UJN68" s="15"/>
      <c r="UJO68" s="15"/>
      <c r="UJP68" s="15"/>
      <c r="UJQ68" s="15"/>
      <c r="UJR68" s="15"/>
      <c r="UJS68" s="15"/>
      <c r="UJT68" s="15"/>
      <c r="UJU68" s="15"/>
      <c r="UJV68" s="15"/>
      <c r="UJW68" s="15"/>
      <c r="UJX68" s="15"/>
      <c r="UJY68" s="15"/>
      <c r="UJZ68" s="15"/>
      <c r="UKA68" s="15"/>
      <c r="UKB68" s="15"/>
      <c r="UKC68" s="15"/>
      <c r="UKD68" s="15"/>
      <c r="UKE68" s="15"/>
      <c r="UKF68" s="15"/>
      <c r="UKG68" s="15"/>
      <c r="UKH68" s="15"/>
      <c r="UKI68" s="15"/>
      <c r="UKJ68" s="15"/>
      <c r="UKK68" s="15"/>
      <c r="UKL68" s="15"/>
      <c r="UKM68" s="15"/>
      <c r="UKN68" s="15"/>
      <c r="UKO68" s="15"/>
      <c r="UKP68" s="15"/>
      <c r="UKQ68" s="15"/>
      <c r="UKR68" s="15"/>
      <c r="UKS68" s="15"/>
      <c r="UKT68" s="15"/>
      <c r="UKU68" s="15"/>
      <c r="UKV68" s="15"/>
      <c r="UKW68" s="15"/>
      <c r="UKX68" s="15"/>
      <c r="UKY68" s="15"/>
      <c r="UKZ68" s="15"/>
      <c r="ULA68" s="15"/>
      <c r="ULB68" s="15"/>
      <c r="ULC68" s="15"/>
      <c r="ULD68" s="15"/>
      <c r="ULE68" s="15"/>
      <c r="ULF68" s="15"/>
      <c r="ULG68" s="15"/>
      <c r="ULH68" s="15"/>
      <c r="ULI68" s="15"/>
      <c r="ULJ68" s="15"/>
      <c r="ULK68" s="15"/>
      <c r="ULL68" s="15"/>
      <c r="ULM68" s="15"/>
      <c r="ULN68" s="15"/>
      <c r="ULO68" s="15"/>
      <c r="ULP68" s="15"/>
      <c r="ULQ68" s="15"/>
      <c r="ULR68" s="15"/>
      <c r="ULS68" s="15"/>
      <c r="ULT68" s="15"/>
      <c r="ULU68" s="15"/>
      <c r="ULV68" s="15"/>
      <c r="ULW68" s="15"/>
      <c r="ULX68" s="15"/>
      <c r="ULY68" s="15"/>
      <c r="ULZ68" s="15"/>
      <c r="UMA68" s="15"/>
      <c r="UMB68" s="15"/>
      <c r="UMC68" s="15"/>
      <c r="UMD68" s="15"/>
      <c r="UME68" s="15"/>
      <c r="UMF68" s="15"/>
      <c r="UMG68" s="15"/>
      <c r="UMH68" s="15"/>
      <c r="UMI68" s="15"/>
      <c r="UMJ68" s="15"/>
      <c r="UMK68" s="15"/>
      <c r="UML68" s="15"/>
      <c r="UMM68" s="15"/>
      <c r="UMN68" s="15"/>
      <c r="UMO68" s="15"/>
      <c r="UMP68" s="15"/>
      <c r="UMQ68" s="15"/>
      <c r="UMR68" s="15"/>
      <c r="UMS68" s="15"/>
      <c r="UMT68" s="15"/>
      <c r="UMU68" s="15"/>
      <c r="UMV68" s="15"/>
      <c r="UMW68" s="15"/>
      <c r="UMX68" s="15"/>
      <c r="UMY68" s="15"/>
      <c r="UMZ68" s="15"/>
      <c r="UNA68" s="15"/>
      <c r="UNB68" s="15"/>
      <c r="UNC68" s="15"/>
      <c r="UND68" s="15"/>
      <c r="UNE68" s="15"/>
      <c r="UNF68" s="15"/>
      <c r="UNG68" s="15"/>
      <c r="UNH68" s="15"/>
      <c r="UNI68" s="15"/>
      <c r="UNJ68" s="15"/>
      <c r="UNK68" s="15"/>
      <c r="UNL68" s="15"/>
      <c r="UNM68" s="15"/>
      <c r="UNN68" s="15"/>
      <c r="UNO68" s="15"/>
      <c r="UNP68" s="15"/>
      <c r="UNQ68" s="15"/>
      <c r="UNR68" s="15"/>
      <c r="UNS68" s="15"/>
      <c r="UNT68" s="15"/>
      <c r="UNU68" s="15"/>
      <c r="UNV68" s="15"/>
      <c r="UNW68" s="15"/>
      <c r="UNX68" s="15"/>
      <c r="UNY68" s="15"/>
      <c r="UNZ68" s="15"/>
      <c r="UOA68" s="15"/>
      <c r="UOB68" s="15"/>
      <c r="UOC68" s="15"/>
      <c r="UOD68" s="15"/>
      <c r="UOE68" s="15"/>
      <c r="UOF68" s="15"/>
      <c r="UOG68" s="15"/>
      <c r="UOH68" s="15"/>
      <c r="UOI68" s="15"/>
      <c r="UOJ68" s="15"/>
      <c r="UOK68" s="15"/>
      <c r="UOL68" s="15"/>
      <c r="UOM68" s="15"/>
      <c r="UON68" s="15"/>
      <c r="UOO68" s="15"/>
      <c r="UOP68" s="15"/>
      <c r="UOQ68" s="15"/>
      <c r="UOR68" s="15"/>
      <c r="UOS68" s="15"/>
      <c r="UOT68" s="15"/>
      <c r="UOU68" s="15"/>
      <c r="UOV68" s="15"/>
      <c r="UOW68" s="15"/>
      <c r="UOX68" s="15"/>
      <c r="UOY68" s="15"/>
      <c r="UOZ68" s="15"/>
      <c r="UPA68" s="15"/>
      <c r="UPB68" s="15"/>
      <c r="UPC68" s="15"/>
      <c r="UPD68" s="15"/>
      <c r="UPE68" s="15"/>
      <c r="UPF68" s="15"/>
      <c r="UPG68" s="15"/>
      <c r="UPH68" s="15"/>
      <c r="UPI68" s="15"/>
      <c r="UPJ68" s="15"/>
      <c r="UPK68" s="15"/>
      <c r="UPL68" s="15"/>
      <c r="UPM68" s="15"/>
      <c r="UPN68" s="15"/>
      <c r="UPO68" s="15"/>
      <c r="UPP68" s="15"/>
      <c r="UPQ68" s="15"/>
      <c r="UPR68" s="15"/>
      <c r="UPS68" s="15"/>
      <c r="UPT68" s="15"/>
      <c r="UPU68" s="15"/>
      <c r="UPV68" s="15"/>
      <c r="UPW68" s="15"/>
      <c r="UPX68" s="15"/>
      <c r="UPY68" s="15"/>
      <c r="UPZ68" s="15"/>
      <c r="UQA68" s="15"/>
      <c r="UQB68" s="15"/>
      <c r="UQC68" s="15"/>
      <c r="UQD68" s="15"/>
      <c r="UQE68" s="15"/>
      <c r="UQF68" s="15"/>
      <c r="UQG68" s="15"/>
      <c r="UQH68" s="15"/>
      <c r="UQI68" s="15"/>
      <c r="UQJ68" s="15"/>
      <c r="UQK68" s="15"/>
      <c r="UQL68" s="15"/>
      <c r="UQM68" s="15"/>
      <c r="UQN68" s="15"/>
      <c r="UQO68" s="15"/>
      <c r="UQP68" s="15"/>
      <c r="UQQ68" s="15"/>
      <c r="UQR68" s="15"/>
      <c r="UQS68" s="15"/>
      <c r="UQT68" s="15"/>
      <c r="UQU68" s="15"/>
      <c r="UQV68" s="15"/>
      <c r="UQW68" s="15"/>
      <c r="UQX68" s="15"/>
      <c r="UQY68" s="15"/>
      <c r="UQZ68" s="15"/>
      <c r="URA68" s="15"/>
      <c r="URB68" s="15"/>
      <c r="URC68" s="15"/>
      <c r="URD68" s="15"/>
      <c r="URE68" s="15"/>
      <c r="URF68" s="15"/>
      <c r="URG68" s="15"/>
      <c r="URH68" s="15"/>
      <c r="URI68" s="15"/>
      <c r="URJ68" s="15"/>
      <c r="URK68" s="15"/>
      <c r="URL68" s="15"/>
      <c r="URM68" s="15"/>
      <c r="URN68" s="15"/>
      <c r="URO68" s="15"/>
      <c r="URP68" s="15"/>
      <c r="URQ68" s="15"/>
      <c r="URR68" s="15"/>
      <c r="URS68" s="15"/>
      <c r="URT68" s="15"/>
      <c r="URU68" s="15"/>
      <c r="URV68" s="15"/>
      <c r="URW68" s="15"/>
      <c r="URX68" s="15"/>
      <c r="URY68" s="15"/>
      <c r="URZ68" s="15"/>
      <c r="USA68" s="15"/>
      <c r="USB68" s="15"/>
      <c r="USC68" s="15"/>
      <c r="USD68" s="15"/>
      <c r="USE68" s="15"/>
      <c r="USF68" s="15"/>
      <c r="USG68" s="15"/>
      <c r="USH68" s="15"/>
      <c r="USI68" s="15"/>
      <c r="USJ68" s="15"/>
      <c r="USK68" s="15"/>
      <c r="USL68" s="15"/>
      <c r="USM68" s="15"/>
      <c r="USN68" s="15"/>
      <c r="USO68" s="15"/>
      <c r="USP68" s="15"/>
      <c r="USQ68" s="15"/>
      <c r="USR68" s="15"/>
      <c r="USS68" s="15"/>
      <c r="UST68" s="15"/>
      <c r="USU68" s="15"/>
      <c r="USV68" s="15"/>
      <c r="USW68" s="15"/>
      <c r="USX68" s="15"/>
      <c r="USY68" s="15"/>
      <c r="USZ68" s="15"/>
      <c r="UTA68" s="15"/>
      <c r="UTB68" s="15"/>
      <c r="UTC68" s="15"/>
      <c r="UTD68" s="15"/>
      <c r="UTE68" s="15"/>
      <c r="UTF68" s="15"/>
      <c r="UTG68" s="15"/>
      <c r="UTH68" s="15"/>
      <c r="UTI68" s="15"/>
      <c r="UTJ68" s="15"/>
      <c r="UTK68" s="15"/>
      <c r="UTL68" s="15"/>
      <c r="UTM68" s="15"/>
      <c r="UTN68" s="15"/>
      <c r="UTO68" s="15"/>
      <c r="UTP68" s="15"/>
      <c r="UTQ68" s="15"/>
      <c r="UTR68" s="15"/>
      <c r="UTS68" s="15"/>
      <c r="UTT68" s="15"/>
      <c r="UTU68" s="15"/>
      <c r="UTV68" s="15"/>
      <c r="UTW68" s="15"/>
      <c r="UTX68" s="15"/>
      <c r="UTY68" s="15"/>
      <c r="UTZ68" s="15"/>
      <c r="UUA68" s="15"/>
      <c r="UUB68" s="15"/>
      <c r="UUC68" s="15"/>
      <c r="UUD68" s="15"/>
      <c r="UUE68" s="15"/>
      <c r="UUF68" s="15"/>
      <c r="UUG68" s="15"/>
      <c r="UUH68" s="15"/>
      <c r="UUI68" s="15"/>
      <c r="UUJ68" s="15"/>
      <c r="UUK68" s="15"/>
      <c r="UUL68" s="15"/>
      <c r="UUM68" s="15"/>
      <c r="UUN68" s="15"/>
      <c r="UUO68" s="15"/>
      <c r="UUP68" s="15"/>
      <c r="UUQ68" s="15"/>
      <c r="UUR68" s="15"/>
      <c r="UUS68" s="15"/>
      <c r="UUT68" s="15"/>
      <c r="UUU68" s="15"/>
      <c r="UUV68" s="15"/>
      <c r="UUW68" s="15"/>
      <c r="UUX68" s="15"/>
      <c r="UUY68" s="15"/>
      <c r="UUZ68" s="15"/>
      <c r="UVA68" s="15"/>
      <c r="UVB68" s="15"/>
      <c r="UVC68" s="15"/>
      <c r="UVD68" s="15"/>
      <c r="UVE68" s="15"/>
      <c r="UVF68" s="15"/>
      <c r="UVG68" s="15"/>
      <c r="UVH68" s="15"/>
      <c r="UVI68" s="15"/>
      <c r="UVJ68" s="15"/>
      <c r="UVK68" s="15"/>
      <c r="UVL68" s="15"/>
      <c r="UVM68" s="15"/>
      <c r="UVN68" s="15"/>
      <c r="UVO68" s="15"/>
      <c r="UVP68" s="15"/>
      <c r="UVQ68" s="15"/>
      <c r="UVR68" s="15"/>
      <c r="UVS68" s="15"/>
      <c r="UVT68" s="15"/>
      <c r="UVU68" s="15"/>
      <c r="UVV68" s="15"/>
      <c r="UVW68" s="15"/>
      <c r="UVX68" s="15"/>
      <c r="UVY68" s="15"/>
      <c r="UVZ68" s="15"/>
      <c r="UWA68" s="15"/>
      <c r="UWB68" s="15"/>
      <c r="UWC68" s="15"/>
      <c r="UWD68" s="15"/>
      <c r="UWE68" s="15"/>
      <c r="UWF68" s="15"/>
      <c r="UWG68" s="15"/>
      <c r="UWH68" s="15"/>
      <c r="UWI68" s="15"/>
      <c r="UWJ68" s="15"/>
      <c r="UWK68" s="15"/>
      <c r="UWL68" s="15"/>
      <c r="UWM68" s="15"/>
      <c r="UWN68" s="15"/>
      <c r="UWO68" s="15"/>
      <c r="UWP68" s="15"/>
      <c r="UWQ68" s="15"/>
      <c r="UWR68" s="15"/>
      <c r="UWS68" s="15"/>
      <c r="UWT68" s="15"/>
      <c r="UWU68" s="15"/>
      <c r="UWV68" s="15"/>
      <c r="UWW68" s="15"/>
      <c r="UWX68" s="15"/>
      <c r="UWY68" s="15"/>
      <c r="UWZ68" s="15"/>
      <c r="UXA68" s="15"/>
      <c r="UXB68" s="15"/>
      <c r="UXC68" s="15"/>
      <c r="UXD68" s="15"/>
      <c r="UXE68" s="15"/>
      <c r="UXF68" s="15"/>
      <c r="UXG68" s="15"/>
      <c r="UXH68" s="15"/>
      <c r="UXI68" s="15"/>
      <c r="UXJ68" s="15"/>
      <c r="UXK68" s="15"/>
      <c r="UXL68" s="15"/>
      <c r="UXM68" s="15"/>
      <c r="UXN68" s="15"/>
      <c r="UXO68" s="15"/>
      <c r="UXP68" s="15"/>
      <c r="UXQ68" s="15"/>
      <c r="UXR68" s="15"/>
      <c r="UXS68" s="15"/>
      <c r="UXT68" s="15"/>
      <c r="UXU68" s="15"/>
      <c r="UXV68" s="15"/>
      <c r="UXW68" s="15"/>
      <c r="UXX68" s="15"/>
      <c r="UXY68" s="15"/>
      <c r="UXZ68" s="15"/>
      <c r="UYA68" s="15"/>
      <c r="UYB68" s="15"/>
      <c r="UYC68" s="15"/>
      <c r="UYD68" s="15"/>
      <c r="UYE68" s="15"/>
      <c r="UYF68" s="15"/>
      <c r="UYG68" s="15"/>
      <c r="UYH68" s="15"/>
      <c r="UYI68" s="15"/>
      <c r="UYJ68" s="15"/>
      <c r="UYK68" s="15"/>
      <c r="UYL68" s="15"/>
      <c r="UYM68" s="15"/>
      <c r="UYN68" s="15"/>
      <c r="UYO68" s="15"/>
      <c r="UYP68" s="15"/>
      <c r="UYQ68" s="15"/>
      <c r="UYR68" s="15"/>
      <c r="UYS68" s="15"/>
      <c r="UYT68" s="15"/>
      <c r="UYU68" s="15"/>
      <c r="UYV68" s="15"/>
      <c r="UYW68" s="15"/>
      <c r="UYX68" s="15"/>
      <c r="UYY68" s="15"/>
      <c r="UYZ68" s="15"/>
      <c r="UZA68" s="15"/>
      <c r="UZB68" s="15"/>
      <c r="UZC68" s="15"/>
      <c r="UZD68" s="15"/>
      <c r="UZE68" s="15"/>
      <c r="UZF68" s="15"/>
      <c r="UZG68" s="15"/>
      <c r="UZH68" s="15"/>
      <c r="UZI68" s="15"/>
      <c r="UZJ68" s="15"/>
      <c r="UZK68" s="15"/>
      <c r="UZL68" s="15"/>
      <c r="UZM68" s="15"/>
      <c r="UZN68" s="15"/>
      <c r="UZO68" s="15"/>
      <c r="UZP68" s="15"/>
      <c r="UZQ68" s="15"/>
      <c r="UZR68" s="15"/>
      <c r="UZS68" s="15"/>
      <c r="UZT68" s="15"/>
      <c r="UZU68" s="15"/>
      <c r="UZV68" s="15"/>
      <c r="UZW68" s="15"/>
      <c r="UZX68" s="15"/>
      <c r="UZY68" s="15"/>
      <c r="UZZ68" s="15"/>
      <c r="VAA68" s="15"/>
      <c r="VAB68" s="15"/>
      <c r="VAC68" s="15"/>
      <c r="VAD68" s="15"/>
      <c r="VAE68" s="15"/>
      <c r="VAF68" s="15"/>
      <c r="VAG68" s="15"/>
      <c r="VAH68" s="15"/>
      <c r="VAI68" s="15"/>
      <c r="VAJ68" s="15"/>
      <c r="VAK68" s="15"/>
      <c r="VAL68" s="15"/>
      <c r="VAM68" s="15"/>
      <c r="VAN68" s="15"/>
      <c r="VAO68" s="15"/>
      <c r="VAP68" s="15"/>
      <c r="VAQ68" s="15"/>
      <c r="VAR68" s="15"/>
      <c r="VAS68" s="15"/>
      <c r="VAT68" s="15"/>
      <c r="VAU68" s="15"/>
      <c r="VAV68" s="15"/>
      <c r="VAW68" s="15"/>
      <c r="VAX68" s="15"/>
      <c r="VAY68" s="15"/>
      <c r="VAZ68" s="15"/>
      <c r="VBA68" s="15"/>
      <c r="VBB68" s="15"/>
      <c r="VBC68" s="15"/>
      <c r="VBD68" s="15"/>
      <c r="VBE68" s="15"/>
      <c r="VBF68" s="15"/>
      <c r="VBG68" s="15"/>
      <c r="VBH68" s="15"/>
      <c r="VBI68" s="15"/>
      <c r="VBJ68" s="15"/>
      <c r="VBK68" s="15"/>
      <c r="VBL68" s="15"/>
      <c r="VBM68" s="15"/>
      <c r="VBN68" s="15"/>
      <c r="VBO68" s="15"/>
      <c r="VBP68" s="15"/>
      <c r="VBQ68" s="15"/>
      <c r="VBR68" s="15"/>
      <c r="VBS68" s="15"/>
      <c r="VBT68" s="15"/>
      <c r="VBU68" s="15"/>
      <c r="VBV68" s="15"/>
      <c r="VBW68" s="15"/>
      <c r="VBX68" s="15"/>
      <c r="VBY68" s="15"/>
      <c r="VBZ68" s="15"/>
      <c r="VCA68" s="15"/>
      <c r="VCB68" s="15"/>
      <c r="VCC68" s="15"/>
      <c r="VCD68" s="15"/>
      <c r="VCE68" s="15"/>
      <c r="VCF68" s="15"/>
      <c r="VCG68" s="15"/>
      <c r="VCH68" s="15"/>
      <c r="VCI68" s="15"/>
      <c r="VCJ68" s="15"/>
      <c r="VCK68" s="15"/>
      <c r="VCL68" s="15"/>
      <c r="VCM68" s="15"/>
      <c r="VCN68" s="15"/>
      <c r="VCO68" s="15"/>
      <c r="VCP68" s="15"/>
      <c r="VCQ68" s="15"/>
      <c r="VCR68" s="15"/>
      <c r="VCS68" s="15"/>
      <c r="VCT68" s="15"/>
      <c r="VCU68" s="15"/>
      <c r="VCV68" s="15"/>
      <c r="VCW68" s="15"/>
      <c r="VCX68" s="15"/>
      <c r="VCY68" s="15"/>
      <c r="VCZ68" s="15"/>
      <c r="VDA68" s="15"/>
      <c r="VDB68" s="15"/>
      <c r="VDC68" s="15"/>
      <c r="VDD68" s="15"/>
      <c r="VDE68" s="15"/>
      <c r="VDF68" s="15"/>
      <c r="VDG68" s="15"/>
      <c r="VDH68" s="15"/>
      <c r="VDI68" s="15"/>
      <c r="VDJ68" s="15"/>
      <c r="VDK68" s="15"/>
      <c r="VDL68" s="15"/>
      <c r="VDM68" s="15"/>
      <c r="VDN68" s="15"/>
      <c r="VDO68" s="15"/>
      <c r="VDP68" s="15"/>
      <c r="VDQ68" s="15"/>
      <c r="VDR68" s="15"/>
      <c r="VDS68" s="15"/>
      <c r="VDT68" s="15"/>
      <c r="VDU68" s="15"/>
      <c r="VDV68" s="15"/>
      <c r="VDW68" s="15"/>
      <c r="VDX68" s="15"/>
      <c r="VDY68" s="15"/>
      <c r="VDZ68" s="15"/>
      <c r="VEA68" s="15"/>
      <c r="VEB68" s="15"/>
      <c r="VEC68" s="15"/>
      <c r="VED68" s="15"/>
      <c r="VEE68" s="15"/>
      <c r="VEF68" s="15"/>
      <c r="VEG68" s="15"/>
      <c r="VEH68" s="15"/>
      <c r="VEI68" s="15"/>
      <c r="VEJ68" s="15"/>
      <c r="VEK68" s="15"/>
      <c r="VEL68" s="15"/>
      <c r="VEM68" s="15"/>
      <c r="VEN68" s="15"/>
      <c r="VEO68" s="15"/>
      <c r="VEP68" s="15"/>
      <c r="VEQ68" s="15"/>
      <c r="VER68" s="15"/>
      <c r="VES68" s="15"/>
      <c r="VET68" s="15"/>
      <c r="VEU68" s="15"/>
      <c r="VEV68" s="15"/>
      <c r="VEW68" s="15"/>
      <c r="VEX68" s="15"/>
      <c r="VEY68" s="15"/>
      <c r="VEZ68" s="15"/>
      <c r="VFA68" s="15"/>
      <c r="VFB68" s="15"/>
      <c r="VFC68" s="15"/>
      <c r="VFD68" s="15"/>
      <c r="VFE68" s="15"/>
      <c r="VFF68" s="15"/>
      <c r="VFG68" s="15"/>
      <c r="VFH68" s="15"/>
      <c r="VFI68" s="15"/>
      <c r="VFJ68" s="15"/>
      <c r="VFK68" s="15"/>
      <c r="VFL68" s="15"/>
      <c r="VFM68" s="15"/>
      <c r="VFN68" s="15"/>
      <c r="VFO68" s="15"/>
      <c r="VFP68" s="15"/>
      <c r="VFQ68" s="15"/>
      <c r="VFR68" s="15"/>
      <c r="VFS68" s="15"/>
      <c r="VFT68" s="15"/>
      <c r="VFU68" s="15"/>
      <c r="VFV68" s="15"/>
      <c r="VFW68" s="15"/>
      <c r="VFX68" s="15"/>
      <c r="VFY68" s="15"/>
      <c r="VFZ68" s="15"/>
      <c r="VGA68" s="15"/>
      <c r="VGB68" s="15"/>
      <c r="VGC68" s="15"/>
      <c r="VGD68" s="15"/>
      <c r="VGE68" s="15"/>
      <c r="VGF68" s="15"/>
      <c r="VGG68" s="15"/>
      <c r="VGH68" s="15"/>
      <c r="VGI68" s="15"/>
      <c r="VGJ68" s="15"/>
      <c r="VGK68" s="15"/>
      <c r="VGL68" s="15"/>
      <c r="VGM68" s="15"/>
      <c r="VGN68" s="15"/>
      <c r="VGO68" s="15"/>
      <c r="VGP68" s="15"/>
      <c r="VGQ68" s="15"/>
      <c r="VGR68" s="15"/>
      <c r="VGS68" s="15"/>
      <c r="VGT68" s="15"/>
      <c r="VGU68" s="15"/>
      <c r="VGV68" s="15"/>
      <c r="VGW68" s="15"/>
      <c r="VGX68" s="15"/>
      <c r="VGY68" s="15"/>
      <c r="VGZ68" s="15"/>
      <c r="VHA68" s="15"/>
      <c r="VHB68" s="15"/>
      <c r="VHC68" s="15"/>
      <c r="VHD68" s="15"/>
      <c r="VHE68" s="15"/>
      <c r="VHF68" s="15"/>
      <c r="VHG68" s="15"/>
      <c r="VHH68" s="15"/>
      <c r="VHI68" s="15"/>
      <c r="VHJ68" s="15"/>
      <c r="VHK68" s="15"/>
      <c r="VHL68" s="15"/>
      <c r="VHM68" s="15"/>
      <c r="VHN68" s="15"/>
      <c r="VHO68" s="15"/>
      <c r="VHP68" s="15"/>
      <c r="VHQ68" s="15"/>
      <c r="VHR68" s="15"/>
      <c r="VHS68" s="15"/>
      <c r="VHT68" s="15"/>
      <c r="VHU68" s="15"/>
      <c r="VHV68" s="15"/>
      <c r="VHW68" s="15"/>
      <c r="VHX68" s="15"/>
      <c r="VHY68" s="15"/>
      <c r="VHZ68" s="15"/>
      <c r="VIA68" s="15"/>
      <c r="VIB68" s="15"/>
      <c r="VIC68" s="15"/>
      <c r="VID68" s="15"/>
      <c r="VIE68" s="15"/>
      <c r="VIF68" s="15"/>
      <c r="VIG68" s="15"/>
      <c r="VIH68" s="15"/>
      <c r="VII68" s="15"/>
      <c r="VIJ68" s="15"/>
      <c r="VIK68" s="15"/>
      <c r="VIL68" s="15"/>
      <c r="VIM68" s="15"/>
      <c r="VIN68" s="15"/>
      <c r="VIO68" s="15"/>
      <c r="VIP68" s="15"/>
      <c r="VIQ68" s="15"/>
      <c r="VIR68" s="15"/>
      <c r="VIS68" s="15"/>
      <c r="VIT68" s="15"/>
      <c r="VIU68" s="15"/>
      <c r="VIV68" s="15"/>
      <c r="VIW68" s="15"/>
      <c r="VIX68" s="15"/>
      <c r="VIY68" s="15"/>
      <c r="VIZ68" s="15"/>
      <c r="VJA68" s="15"/>
      <c r="VJB68" s="15"/>
      <c r="VJC68" s="15"/>
      <c r="VJD68" s="15"/>
      <c r="VJE68" s="15"/>
      <c r="VJF68" s="15"/>
      <c r="VJG68" s="15"/>
      <c r="VJH68" s="15"/>
      <c r="VJI68" s="15"/>
      <c r="VJJ68" s="15"/>
      <c r="VJK68" s="15"/>
      <c r="VJL68" s="15"/>
      <c r="VJM68" s="15"/>
      <c r="VJN68" s="15"/>
      <c r="VJO68" s="15"/>
      <c r="VJP68" s="15"/>
      <c r="VJQ68" s="15"/>
      <c r="VJR68" s="15"/>
      <c r="VJS68" s="15"/>
      <c r="VJT68" s="15"/>
      <c r="VJU68" s="15"/>
      <c r="VJV68" s="15"/>
      <c r="VJW68" s="15"/>
      <c r="VJX68" s="15"/>
      <c r="VJY68" s="15"/>
      <c r="VJZ68" s="15"/>
      <c r="VKA68" s="15"/>
      <c r="VKB68" s="15"/>
      <c r="VKC68" s="15"/>
      <c r="VKD68" s="15"/>
      <c r="VKE68" s="15"/>
      <c r="VKF68" s="15"/>
      <c r="VKG68" s="15"/>
      <c r="VKH68" s="15"/>
      <c r="VKI68" s="15"/>
      <c r="VKJ68" s="15"/>
      <c r="VKK68" s="15"/>
      <c r="VKL68" s="15"/>
      <c r="VKM68" s="15"/>
      <c r="VKN68" s="15"/>
      <c r="VKO68" s="15"/>
      <c r="VKP68" s="15"/>
      <c r="VKQ68" s="15"/>
      <c r="VKR68" s="15"/>
      <c r="VKS68" s="15"/>
      <c r="VKT68" s="15"/>
      <c r="VKU68" s="15"/>
      <c r="VKV68" s="15"/>
      <c r="VKW68" s="15"/>
      <c r="VKX68" s="15"/>
      <c r="VKY68" s="15"/>
      <c r="VKZ68" s="15"/>
      <c r="VLA68" s="15"/>
      <c r="VLB68" s="15"/>
      <c r="VLC68" s="15"/>
      <c r="VLD68" s="15"/>
      <c r="VLE68" s="15"/>
      <c r="VLF68" s="15"/>
      <c r="VLG68" s="15"/>
      <c r="VLH68" s="15"/>
      <c r="VLI68" s="15"/>
      <c r="VLJ68" s="15"/>
      <c r="VLK68" s="15"/>
      <c r="VLL68" s="15"/>
      <c r="VLM68" s="15"/>
      <c r="VLN68" s="15"/>
      <c r="VLO68" s="15"/>
      <c r="VLP68" s="15"/>
      <c r="VLQ68" s="15"/>
      <c r="VLR68" s="15"/>
      <c r="VLS68" s="15"/>
      <c r="VLT68" s="15"/>
      <c r="VLU68" s="15"/>
      <c r="VLV68" s="15"/>
      <c r="VLW68" s="15"/>
      <c r="VLX68" s="15"/>
      <c r="VLY68" s="15"/>
      <c r="VLZ68" s="15"/>
      <c r="VMA68" s="15"/>
      <c r="VMB68" s="15"/>
      <c r="VMC68" s="15"/>
      <c r="VMD68" s="15"/>
      <c r="VME68" s="15"/>
      <c r="VMF68" s="15"/>
      <c r="VMG68" s="15"/>
      <c r="VMH68" s="15"/>
      <c r="VMI68" s="15"/>
      <c r="VMJ68" s="15"/>
      <c r="VMK68" s="15"/>
      <c r="VML68" s="15"/>
      <c r="VMM68" s="15"/>
      <c r="VMN68" s="15"/>
      <c r="VMO68" s="15"/>
      <c r="VMP68" s="15"/>
      <c r="VMQ68" s="15"/>
      <c r="VMR68" s="15"/>
      <c r="VMS68" s="15"/>
      <c r="VMT68" s="15"/>
      <c r="VMU68" s="15"/>
      <c r="VMV68" s="15"/>
      <c r="VMW68" s="15"/>
      <c r="VMX68" s="15"/>
      <c r="VMY68" s="15"/>
      <c r="VMZ68" s="15"/>
      <c r="VNA68" s="15"/>
      <c r="VNB68" s="15"/>
      <c r="VNC68" s="15"/>
      <c r="VND68" s="15"/>
      <c r="VNE68" s="15"/>
      <c r="VNF68" s="15"/>
      <c r="VNG68" s="15"/>
      <c r="VNH68" s="15"/>
      <c r="VNI68" s="15"/>
      <c r="VNJ68" s="15"/>
      <c r="VNK68" s="15"/>
      <c r="VNL68" s="15"/>
      <c r="VNM68" s="15"/>
      <c r="VNN68" s="15"/>
      <c r="VNO68" s="15"/>
      <c r="VNP68" s="15"/>
      <c r="VNQ68" s="15"/>
      <c r="VNR68" s="15"/>
      <c r="VNS68" s="15"/>
      <c r="VNT68" s="15"/>
      <c r="VNU68" s="15"/>
      <c r="VNV68" s="15"/>
      <c r="VNW68" s="15"/>
      <c r="VNX68" s="15"/>
      <c r="VNY68" s="15"/>
      <c r="VNZ68" s="15"/>
      <c r="VOA68" s="15"/>
      <c r="VOB68" s="15"/>
      <c r="VOC68" s="15"/>
      <c r="VOD68" s="15"/>
      <c r="VOE68" s="15"/>
      <c r="VOF68" s="15"/>
      <c r="VOG68" s="15"/>
      <c r="VOH68" s="15"/>
      <c r="VOI68" s="15"/>
      <c r="VOJ68" s="15"/>
      <c r="VOK68" s="15"/>
      <c r="VOL68" s="15"/>
      <c r="VOM68" s="15"/>
      <c r="VON68" s="15"/>
      <c r="VOO68" s="15"/>
      <c r="VOP68" s="15"/>
      <c r="VOQ68" s="15"/>
      <c r="VOR68" s="15"/>
      <c r="VOS68" s="15"/>
      <c r="VOT68" s="15"/>
      <c r="VOU68" s="15"/>
      <c r="VOV68" s="15"/>
      <c r="VOW68" s="15"/>
      <c r="VOX68" s="15"/>
      <c r="VOY68" s="15"/>
      <c r="VOZ68" s="15"/>
      <c r="VPA68" s="15"/>
      <c r="VPB68" s="15"/>
      <c r="VPC68" s="15"/>
      <c r="VPD68" s="15"/>
      <c r="VPE68" s="15"/>
      <c r="VPF68" s="15"/>
      <c r="VPG68" s="15"/>
      <c r="VPH68" s="15"/>
      <c r="VPI68" s="15"/>
      <c r="VPJ68" s="15"/>
      <c r="VPK68" s="15"/>
      <c r="VPL68" s="15"/>
      <c r="VPM68" s="15"/>
      <c r="VPN68" s="15"/>
      <c r="VPO68" s="15"/>
      <c r="VPP68" s="15"/>
      <c r="VPQ68" s="15"/>
      <c r="VPR68" s="15"/>
      <c r="VPS68" s="15"/>
      <c r="VPT68" s="15"/>
      <c r="VPU68" s="15"/>
      <c r="VPV68" s="15"/>
      <c r="VPW68" s="15"/>
      <c r="VPX68" s="15"/>
      <c r="VPY68" s="15"/>
      <c r="VPZ68" s="15"/>
      <c r="VQA68" s="15"/>
      <c r="VQB68" s="15"/>
      <c r="VQC68" s="15"/>
      <c r="VQD68" s="15"/>
      <c r="VQE68" s="15"/>
      <c r="VQF68" s="15"/>
      <c r="VQG68" s="15"/>
      <c r="VQH68" s="15"/>
      <c r="VQI68" s="15"/>
      <c r="VQJ68" s="15"/>
      <c r="VQK68" s="15"/>
      <c r="VQL68" s="15"/>
      <c r="VQM68" s="15"/>
      <c r="VQN68" s="15"/>
      <c r="VQO68" s="15"/>
      <c r="VQP68" s="15"/>
      <c r="VQQ68" s="15"/>
      <c r="VQR68" s="15"/>
      <c r="VQS68" s="15"/>
      <c r="VQT68" s="15"/>
      <c r="VQU68" s="15"/>
      <c r="VQV68" s="15"/>
      <c r="VQW68" s="15"/>
      <c r="VQX68" s="15"/>
      <c r="VQY68" s="15"/>
      <c r="VQZ68" s="15"/>
      <c r="VRA68" s="15"/>
      <c r="VRB68" s="15"/>
      <c r="VRC68" s="15"/>
      <c r="VRD68" s="15"/>
      <c r="VRE68" s="15"/>
      <c r="VRF68" s="15"/>
      <c r="VRG68" s="15"/>
      <c r="VRH68" s="15"/>
      <c r="VRI68" s="15"/>
      <c r="VRJ68" s="15"/>
      <c r="VRK68" s="15"/>
      <c r="VRL68" s="15"/>
      <c r="VRM68" s="15"/>
      <c r="VRN68" s="15"/>
      <c r="VRO68" s="15"/>
      <c r="VRP68" s="15"/>
      <c r="VRQ68" s="15"/>
      <c r="VRR68" s="15"/>
      <c r="VRS68" s="15"/>
      <c r="VRT68" s="15"/>
      <c r="VRU68" s="15"/>
      <c r="VRV68" s="15"/>
      <c r="VRW68" s="15"/>
      <c r="VRX68" s="15"/>
      <c r="VRY68" s="15"/>
      <c r="VRZ68" s="15"/>
      <c r="VSA68" s="15"/>
      <c r="VSB68" s="15"/>
      <c r="VSC68" s="15"/>
      <c r="VSD68" s="15"/>
      <c r="VSE68" s="15"/>
      <c r="VSF68" s="15"/>
      <c r="VSG68" s="15"/>
      <c r="VSH68" s="15"/>
      <c r="VSI68" s="15"/>
      <c r="VSJ68" s="15"/>
      <c r="VSK68" s="15"/>
      <c r="VSL68" s="15"/>
      <c r="VSM68" s="15"/>
      <c r="VSN68" s="15"/>
      <c r="VSO68" s="15"/>
      <c r="VSP68" s="15"/>
      <c r="VSQ68" s="15"/>
      <c r="VSR68" s="15"/>
      <c r="VSS68" s="15"/>
      <c r="VST68" s="15"/>
      <c r="VSU68" s="15"/>
      <c r="VSV68" s="15"/>
      <c r="VSW68" s="15"/>
      <c r="VSX68" s="15"/>
      <c r="VSY68" s="15"/>
      <c r="VSZ68" s="15"/>
      <c r="VTA68" s="15"/>
      <c r="VTB68" s="15"/>
      <c r="VTC68" s="15"/>
      <c r="VTD68" s="15"/>
      <c r="VTE68" s="15"/>
      <c r="VTF68" s="15"/>
      <c r="VTG68" s="15"/>
      <c r="VTH68" s="15"/>
      <c r="VTI68" s="15"/>
      <c r="VTJ68" s="15"/>
      <c r="VTK68" s="15"/>
      <c r="VTL68" s="15"/>
      <c r="VTM68" s="15"/>
      <c r="VTN68" s="15"/>
      <c r="VTO68" s="15"/>
      <c r="VTP68" s="15"/>
      <c r="VTQ68" s="15"/>
      <c r="VTR68" s="15"/>
      <c r="VTS68" s="15"/>
      <c r="VTT68" s="15"/>
      <c r="VTU68" s="15"/>
      <c r="VTV68" s="15"/>
      <c r="VTW68" s="15"/>
      <c r="VTX68" s="15"/>
      <c r="VTY68" s="15"/>
      <c r="VTZ68" s="15"/>
      <c r="VUA68" s="15"/>
      <c r="VUB68" s="15"/>
      <c r="VUC68" s="15"/>
      <c r="VUD68" s="15"/>
      <c r="VUE68" s="15"/>
      <c r="VUF68" s="15"/>
      <c r="VUG68" s="15"/>
      <c r="VUH68" s="15"/>
      <c r="VUI68" s="15"/>
      <c r="VUJ68" s="15"/>
      <c r="VUK68" s="15"/>
      <c r="VUL68" s="15"/>
      <c r="VUM68" s="15"/>
      <c r="VUN68" s="15"/>
      <c r="VUO68" s="15"/>
      <c r="VUP68" s="15"/>
      <c r="VUQ68" s="15"/>
      <c r="VUR68" s="15"/>
      <c r="VUS68" s="15"/>
      <c r="VUT68" s="15"/>
      <c r="VUU68" s="15"/>
      <c r="VUV68" s="15"/>
      <c r="VUW68" s="15"/>
      <c r="VUX68" s="15"/>
      <c r="VUY68" s="15"/>
      <c r="VUZ68" s="15"/>
      <c r="VVA68" s="15"/>
      <c r="VVB68" s="15"/>
      <c r="VVC68" s="15"/>
      <c r="VVD68" s="15"/>
      <c r="VVE68" s="15"/>
      <c r="VVF68" s="15"/>
      <c r="VVG68" s="15"/>
      <c r="VVH68" s="15"/>
      <c r="VVI68" s="15"/>
      <c r="VVJ68" s="15"/>
      <c r="VVK68" s="15"/>
      <c r="VVL68" s="15"/>
      <c r="VVM68" s="15"/>
      <c r="VVN68" s="15"/>
      <c r="VVO68" s="15"/>
      <c r="VVP68" s="15"/>
      <c r="VVQ68" s="15"/>
      <c r="VVR68" s="15"/>
      <c r="VVS68" s="15"/>
      <c r="VVT68" s="15"/>
      <c r="VVU68" s="15"/>
      <c r="VVV68" s="15"/>
      <c r="VVW68" s="15"/>
      <c r="VVX68" s="15"/>
      <c r="VVY68" s="15"/>
      <c r="VVZ68" s="15"/>
      <c r="VWA68" s="15"/>
      <c r="VWB68" s="15"/>
      <c r="VWC68" s="15"/>
      <c r="VWD68" s="15"/>
      <c r="VWE68" s="15"/>
      <c r="VWF68" s="15"/>
      <c r="VWG68" s="15"/>
      <c r="VWH68" s="15"/>
      <c r="VWI68" s="15"/>
      <c r="VWJ68" s="15"/>
      <c r="VWK68" s="15"/>
      <c r="VWL68" s="15"/>
      <c r="VWM68" s="15"/>
      <c r="VWN68" s="15"/>
      <c r="VWO68" s="15"/>
      <c r="VWP68" s="15"/>
      <c r="VWQ68" s="15"/>
      <c r="VWR68" s="15"/>
      <c r="VWS68" s="15"/>
      <c r="VWT68" s="15"/>
      <c r="VWU68" s="15"/>
      <c r="VWV68" s="15"/>
      <c r="VWW68" s="15"/>
      <c r="VWX68" s="15"/>
      <c r="VWY68" s="15"/>
      <c r="VWZ68" s="15"/>
      <c r="VXA68" s="15"/>
      <c r="VXB68" s="15"/>
      <c r="VXC68" s="15"/>
      <c r="VXD68" s="15"/>
      <c r="VXE68" s="15"/>
      <c r="VXF68" s="15"/>
      <c r="VXG68" s="15"/>
      <c r="VXH68" s="15"/>
      <c r="VXI68" s="15"/>
      <c r="VXJ68" s="15"/>
      <c r="VXK68" s="15"/>
      <c r="VXL68" s="15"/>
      <c r="VXM68" s="15"/>
      <c r="VXN68" s="15"/>
      <c r="VXO68" s="15"/>
      <c r="VXP68" s="15"/>
      <c r="VXQ68" s="15"/>
      <c r="VXR68" s="15"/>
      <c r="VXS68" s="15"/>
      <c r="VXT68" s="15"/>
      <c r="VXU68" s="15"/>
      <c r="VXV68" s="15"/>
      <c r="VXW68" s="15"/>
      <c r="VXX68" s="15"/>
      <c r="VXY68" s="15"/>
      <c r="VXZ68" s="15"/>
      <c r="VYA68" s="15"/>
      <c r="VYB68" s="15"/>
      <c r="VYC68" s="15"/>
      <c r="VYD68" s="15"/>
      <c r="VYE68" s="15"/>
      <c r="VYF68" s="15"/>
      <c r="VYG68" s="15"/>
      <c r="VYH68" s="15"/>
      <c r="VYI68" s="15"/>
      <c r="VYJ68" s="15"/>
      <c r="VYK68" s="15"/>
      <c r="VYL68" s="15"/>
      <c r="VYM68" s="15"/>
      <c r="VYN68" s="15"/>
      <c r="VYO68" s="15"/>
      <c r="VYP68" s="15"/>
      <c r="VYQ68" s="15"/>
      <c r="VYR68" s="15"/>
      <c r="VYS68" s="15"/>
      <c r="VYT68" s="15"/>
      <c r="VYU68" s="15"/>
      <c r="VYV68" s="15"/>
      <c r="VYW68" s="15"/>
      <c r="VYX68" s="15"/>
      <c r="VYY68" s="15"/>
      <c r="VYZ68" s="15"/>
      <c r="VZA68" s="15"/>
      <c r="VZB68" s="15"/>
      <c r="VZC68" s="15"/>
      <c r="VZD68" s="15"/>
      <c r="VZE68" s="15"/>
      <c r="VZF68" s="15"/>
      <c r="VZG68" s="15"/>
      <c r="VZH68" s="15"/>
      <c r="VZI68" s="15"/>
      <c r="VZJ68" s="15"/>
      <c r="VZK68" s="15"/>
      <c r="VZL68" s="15"/>
      <c r="VZM68" s="15"/>
      <c r="VZN68" s="15"/>
      <c r="VZO68" s="15"/>
      <c r="VZP68" s="15"/>
      <c r="VZQ68" s="15"/>
      <c r="VZR68" s="15"/>
      <c r="VZS68" s="15"/>
      <c r="VZT68" s="15"/>
      <c r="VZU68" s="15"/>
      <c r="VZV68" s="15"/>
      <c r="VZW68" s="15"/>
      <c r="VZX68" s="15"/>
      <c r="VZY68" s="15"/>
      <c r="VZZ68" s="15"/>
      <c r="WAA68" s="15"/>
      <c r="WAB68" s="15"/>
      <c r="WAC68" s="15"/>
      <c r="WAD68" s="15"/>
      <c r="WAE68" s="15"/>
      <c r="WAF68" s="15"/>
      <c r="WAG68" s="15"/>
      <c r="WAH68" s="15"/>
      <c r="WAI68" s="15"/>
      <c r="WAJ68" s="15"/>
      <c r="WAK68" s="15"/>
      <c r="WAL68" s="15"/>
      <c r="WAM68" s="15"/>
      <c r="WAN68" s="15"/>
      <c r="WAO68" s="15"/>
      <c r="WAP68" s="15"/>
      <c r="WAQ68" s="15"/>
      <c r="WAR68" s="15"/>
      <c r="WAS68" s="15"/>
      <c r="WAT68" s="15"/>
      <c r="WAU68" s="15"/>
      <c r="WAV68" s="15"/>
      <c r="WAW68" s="15"/>
      <c r="WAX68" s="15"/>
      <c r="WAY68" s="15"/>
      <c r="WAZ68" s="15"/>
      <c r="WBA68" s="15"/>
      <c r="WBB68" s="15"/>
      <c r="WBC68" s="15"/>
      <c r="WBD68" s="15"/>
      <c r="WBE68" s="15"/>
      <c r="WBF68" s="15"/>
      <c r="WBG68" s="15"/>
      <c r="WBH68" s="15"/>
      <c r="WBI68" s="15"/>
      <c r="WBJ68" s="15"/>
      <c r="WBK68" s="15"/>
      <c r="WBL68" s="15"/>
      <c r="WBM68" s="15"/>
      <c r="WBN68" s="15"/>
      <c r="WBO68" s="15"/>
      <c r="WBP68" s="15"/>
      <c r="WBQ68" s="15"/>
      <c r="WBR68" s="15"/>
      <c r="WBS68" s="15"/>
      <c r="WBT68" s="15"/>
      <c r="WBU68" s="15"/>
      <c r="WBV68" s="15"/>
      <c r="WBW68" s="15"/>
      <c r="WBX68" s="15"/>
      <c r="WBY68" s="15"/>
      <c r="WBZ68" s="15"/>
      <c r="WCA68" s="15"/>
      <c r="WCB68" s="15"/>
      <c r="WCC68" s="15"/>
      <c r="WCD68" s="15"/>
      <c r="WCE68" s="15"/>
      <c r="WCF68" s="15"/>
      <c r="WCG68" s="15"/>
      <c r="WCH68" s="15"/>
      <c r="WCI68" s="15"/>
      <c r="WCJ68" s="15"/>
      <c r="WCK68" s="15"/>
      <c r="WCL68" s="15"/>
      <c r="WCM68" s="15"/>
      <c r="WCN68" s="15"/>
      <c r="WCO68" s="15"/>
      <c r="WCP68" s="15"/>
      <c r="WCQ68" s="15"/>
      <c r="WCR68" s="15"/>
      <c r="WCS68" s="15"/>
      <c r="WCT68" s="15"/>
      <c r="WCU68" s="15"/>
      <c r="WCV68" s="15"/>
      <c r="WCW68" s="15"/>
      <c r="WCX68" s="15"/>
      <c r="WCY68" s="15"/>
      <c r="WCZ68" s="15"/>
      <c r="WDA68" s="15"/>
      <c r="WDB68" s="15"/>
      <c r="WDC68" s="15"/>
      <c r="WDD68" s="15"/>
      <c r="WDE68" s="15"/>
      <c r="WDF68" s="15"/>
      <c r="WDG68" s="15"/>
      <c r="WDH68" s="15"/>
      <c r="WDI68" s="15"/>
      <c r="WDJ68" s="15"/>
      <c r="WDK68" s="15"/>
      <c r="WDL68" s="15"/>
      <c r="WDM68" s="15"/>
      <c r="WDN68" s="15"/>
      <c r="WDO68" s="15"/>
      <c r="WDP68" s="15"/>
      <c r="WDQ68" s="15"/>
      <c r="WDR68" s="15"/>
      <c r="WDS68" s="15"/>
      <c r="WDT68" s="15"/>
      <c r="WDU68" s="15"/>
      <c r="WDV68" s="15"/>
      <c r="WDW68" s="15"/>
      <c r="WDX68" s="15"/>
      <c r="WDY68" s="15"/>
      <c r="WDZ68" s="15"/>
      <c r="WEA68" s="15"/>
      <c r="WEB68" s="15"/>
      <c r="WEC68" s="15"/>
      <c r="WED68" s="15"/>
      <c r="WEE68" s="15"/>
      <c r="WEF68" s="15"/>
      <c r="WEG68" s="15"/>
      <c r="WEH68" s="15"/>
      <c r="WEI68" s="15"/>
      <c r="WEJ68" s="15"/>
      <c r="WEK68" s="15"/>
      <c r="WEL68" s="15"/>
      <c r="WEM68" s="15"/>
      <c r="WEN68" s="15"/>
      <c r="WEO68" s="15"/>
      <c r="WEP68" s="15"/>
      <c r="WEQ68" s="15"/>
      <c r="WER68" s="15"/>
      <c r="WES68" s="15"/>
      <c r="WET68" s="15"/>
      <c r="WEU68" s="15"/>
      <c r="WEV68" s="15"/>
      <c r="WEW68" s="15"/>
      <c r="WEX68" s="15"/>
      <c r="WEY68" s="15"/>
      <c r="WEZ68" s="15"/>
      <c r="WFA68" s="15"/>
      <c r="WFB68" s="15"/>
      <c r="WFC68" s="15"/>
      <c r="WFD68" s="15"/>
      <c r="WFE68" s="15"/>
      <c r="WFF68" s="15"/>
      <c r="WFG68" s="15"/>
      <c r="WFH68" s="15"/>
      <c r="WFI68" s="15"/>
      <c r="WFJ68" s="15"/>
      <c r="WFK68" s="15"/>
      <c r="WFL68" s="15"/>
      <c r="WFM68" s="15"/>
      <c r="WFN68" s="15"/>
      <c r="WFO68" s="15"/>
      <c r="WFP68" s="15"/>
      <c r="WFQ68" s="15"/>
      <c r="WFR68" s="15"/>
      <c r="WFS68" s="15"/>
      <c r="WFT68" s="15"/>
      <c r="WFU68" s="15"/>
      <c r="WFV68" s="15"/>
      <c r="WFW68" s="15"/>
      <c r="WFX68" s="15"/>
      <c r="WFY68" s="15"/>
      <c r="WFZ68" s="15"/>
      <c r="WGA68" s="15"/>
      <c r="WGB68" s="15"/>
      <c r="WGC68" s="15"/>
      <c r="WGD68" s="15"/>
      <c r="WGE68" s="15"/>
      <c r="WGF68" s="15"/>
      <c r="WGG68" s="15"/>
      <c r="WGH68" s="15"/>
      <c r="WGI68" s="15"/>
      <c r="WGJ68" s="15"/>
      <c r="WGK68" s="15"/>
      <c r="WGL68" s="15"/>
      <c r="WGM68" s="15"/>
      <c r="WGN68" s="15"/>
      <c r="WGO68" s="15"/>
      <c r="WGP68" s="15"/>
      <c r="WGQ68" s="15"/>
      <c r="WGR68" s="15"/>
      <c r="WGS68" s="15"/>
      <c r="WGT68" s="15"/>
      <c r="WGU68" s="15"/>
      <c r="WGV68" s="15"/>
      <c r="WGW68" s="15"/>
      <c r="WGX68" s="15"/>
      <c r="WGY68" s="15"/>
      <c r="WGZ68" s="15"/>
      <c r="WHA68" s="15"/>
      <c r="WHB68" s="15"/>
      <c r="WHC68" s="15"/>
      <c r="WHD68" s="15"/>
      <c r="WHE68" s="15"/>
      <c r="WHF68" s="15"/>
      <c r="WHG68" s="15"/>
      <c r="WHH68" s="15"/>
      <c r="WHI68" s="15"/>
      <c r="WHJ68" s="15"/>
      <c r="WHK68" s="15"/>
      <c r="WHL68" s="15"/>
      <c r="WHM68" s="15"/>
      <c r="WHN68" s="15"/>
      <c r="WHO68" s="15"/>
      <c r="WHP68" s="15"/>
      <c r="WHQ68" s="15"/>
      <c r="WHR68" s="15"/>
      <c r="WHS68" s="15"/>
      <c r="WHT68" s="15"/>
      <c r="WHU68" s="15"/>
      <c r="WHV68" s="15"/>
      <c r="WHW68" s="15"/>
      <c r="WHX68" s="15"/>
      <c r="WHY68" s="15"/>
      <c r="WHZ68" s="15"/>
      <c r="WIA68" s="15"/>
      <c r="WIB68" s="15"/>
      <c r="WIC68" s="15"/>
      <c r="WID68" s="15"/>
      <c r="WIE68" s="15"/>
      <c r="WIF68" s="15"/>
      <c r="WIG68" s="15"/>
      <c r="WIH68" s="15"/>
      <c r="WII68" s="15"/>
      <c r="WIJ68" s="15"/>
      <c r="WIK68" s="15"/>
      <c r="WIL68" s="15"/>
      <c r="WIM68" s="15"/>
      <c r="WIN68" s="15"/>
      <c r="WIO68" s="15"/>
      <c r="WIP68" s="15"/>
      <c r="WIQ68" s="15"/>
      <c r="WIR68" s="15"/>
      <c r="WIS68" s="15"/>
      <c r="WIT68" s="15"/>
      <c r="WIU68" s="15"/>
      <c r="WIV68" s="15"/>
      <c r="WIW68" s="15"/>
      <c r="WIX68" s="15"/>
      <c r="WIY68" s="15"/>
      <c r="WIZ68" s="15"/>
      <c r="WJA68" s="15"/>
      <c r="WJB68" s="15"/>
      <c r="WJC68" s="15"/>
      <c r="WJD68" s="15"/>
      <c r="WJE68" s="15"/>
      <c r="WJF68" s="15"/>
      <c r="WJG68" s="15"/>
      <c r="WJH68" s="15"/>
      <c r="WJI68" s="15"/>
      <c r="WJJ68" s="15"/>
      <c r="WJK68" s="15"/>
      <c r="WJL68" s="15"/>
      <c r="WJM68" s="15"/>
      <c r="WJN68" s="15"/>
      <c r="WJO68" s="15"/>
      <c r="WJP68" s="15"/>
      <c r="WJQ68" s="15"/>
      <c r="WJR68" s="15"/>
      <c r="WJS68" s="15"/>
      <c r="WJT68" s="15"/>
      <c r="WJU68" s="15"/>
      <c r="WJV68" s="15"/>
      <c r="WJW68" s="15"/>
      <c r="WJX68" s="15"/>
      <c r="WJY68" s="15"/>
      <c r="WJZ68" s="15"/>
      <c r="WKA68" s="15"/>
      <c r="WKB68" s="15"/>
      <c r="WKC68" s="15"/>
      <c r="WKD68" s="15"/>
      <c r="WKE68" s="15"/>
      <c r="WKF68" s="15"/>
      <c r="WKG68" s="15"/>
      <c r="WKH68" s="15"/>
      <c r="WKI68" s="15"/>
      <c r="WKJ68" s="15"/>
      <c r="WKK68" s="15"/>
      <c r="WKL68" s="15"/>
      <c r="WKM68" s="15"/>
      <c r="WKN68" s="15"/>
      <c r="WKO68" s="15"/>
      <c r="WKP68" s="15"/>
      <c r="WKQ68" s="15"/>
      <c r="WKR68" s="15"/>
      <c r="WKS68" s="15"/>
      <c r="WKT68" s="15"/>
      <c r="WKU68" s="15"/>
      <c r="WKV68" s="15"/>
      <c r="WKW68" s="15"/>
      <c r="WKX68" s="15"/>
      <c r="WKY68" s="15"/>
      <c r="WKZ68" s="15"/>
      <c r="WLA68" s="15"/>
      <c r="WLB68" s="15"/>
      <c r="WLC68" s="15"/>
      <c r="WLD68" s="15"/>
      <c r="WLE68" s="15"/>
      <c r="WLF68" s="15"/>
      <c r="WLG68" s="15"/>
      <c r="WLH68" s="15"/>
      <c r="WLI68" s="15"/>
      <c r="WLJ68" s="15"/>
      <c r="WLK68" s="15"/>
      <c r="WLL68" s="15"/>
      <c r="WLM68" s="15"/>
      <c r="WLN68" s="15"/>
      <c r="WLO68" s="15"/>
      <c r="WLP68" s="15"/>
      <c r="WLQ68" s="15"/>
      <c r="WLR68" s="15"/>
      <c r="WLS68" s="15"/>
      <c r="WLT68" s="15"/>
      <c r="WLU68" s="15"/>
      <c r="WLV68" s="15"/>
      <c r="WLW68" s="15"/>
      <c r="WLX68" s="15"/>
      <c r="WLY68" s="15"/>
      <c r="WLZ68" s="15"/>
      <c r="WMA68" s="15"/>
      <c r="WMB68" s="15"/>
      <c r="WMC68" s="15"/>
      <c r="WMD68" s="15"/>
      <c r="WME68" s="15"/>
      <c r="WMF68" s="15"/>
      <c r="WMG68" s="15"/>
      <c r="WMH68" s="15"/>
      <c r="WMI68" s="15"/>
      <c r="WMJ68" s="15"/>
      <c r="WMK68" s="15"/>
      <c r="WML68" s="15"/>
      <c r="WMM68" s="15"/>
      <c r="WMN68" s="15"/>
      <c r="WMO68" s="15"/>
      <c r="WMP68" s="15"/>
      <c r="WMQ68" s="15"/>
      <c r="WMR68" s="15"/>
      <c r="WMS68" s="15"/>
      <c r="WMT68" s="15"/>
      <c r="WMU68" s="15"/>
      <c r="WMV68" s="15"/>
      <c r="WMW68" s="15"/>
      <c r="WMX68" s="15"/>
      <c r="WMY68" s="15"/>
      <c r="WMZ68" s="15"/>
      <c r="WNA68" s="15"/>
      <c r="WNB68" s="15"/>
      <c r="WNC68" s="15"/>
      <c r="WND68" s="15"/>
      <c r="WNE68" s="15"/>
      <c r="WNF68" s="15"/>
      <c r="WNG68" s="15"/>
      <c r="WNH68" s="15"/>
      <c r="WNI68" s="15"/>
      <c r="WNJ68" s="15"/>
      <c r="WNK68" s="15"/>
      <c r="WNL68" s="15"/>
      <c r="WNM68" s="15"/>
      <c r="WNN68" s="15"/>
      <c r="WNO68" s="15"/>
      <c r="WNP68" s="15"/>
      <c r="WNQ68" s="15"/>
      <c r="WNR68" s="15"/>
      <c r="WNS68" s="15"/>
      <c r="WNT68" s="15"/>
      <c r="WNU68" s="15"/>
      <c r="WNV68" s="15"/>
      <c r="WNW68" s="15"/>
      <c r="WNX68" s="15"/>
      <c r="WNY68" s="15"/>
      <c r="WNZ68" s="15"/>
      <c r="WOA68" s="15"/>
      <c r="WOB68" s="15"/>
      <c r="WOC68" s="15"/>
      <c r="WOD68" s="15"/>
      <c r="WOE68" s="15"/>
      <c r="WOF68" s="15"/>
      <c r="WOG68" s="15"/>
      <c r="WOH68" s="15"/>
      <c r="WOI68" s="15"/>
      <c r="WOJ68" s="15"/>
      <c r="WOK68" s="15"/>
      <c r="WOL68" s="15"/>
      <c r="WOM68" s="15"/>
      <c r="WON68" s="15"/>
      <c r="WOO68" s="15"/>
      <c r="WOP68" s="15"/>
      <c r="WOQ68" s="15"/>
      <c r="WOR68" s="15"/>
      <c r="WOS68" s="15"/>
      <c r="WOT68" s="15"/>
      <c r="WOU68" s="15"/>
      <c r="WOV68" s="15"/>
      <c r="WOW68" s="15"/>
      <c r="WOX68" s="15"/>
      <c r="WOY68" s="15"/>
      <c r="WOZ68" s="15"/>
      <c r="WPA68" s="15"/>
      <c r="WPB68" s="15"/>
      <c r="WPC68" s="15"/>
      <c r="WPD68" s="15"/>
      <c r="WPE68" s="15"/>
      <c r="WPF68" s="15"/>
      <c r="WPG68" s="15"/>
      <c r="WPH68" s="15"/>
      <c r="WPI68" s="15"/>
      <c r="WPJ68" s="15"/>
      <c r="WPK68" s="15"/>
      <c r="WPL68" s="15"/>
      <c r="WPM68" s="15"/>
      <c r="WPN68" s="15"/>
      <c r="WPO68" s="15"/>
      <c r="WPP68" s="15"/>
      <c r="WPQ68" s="15"/>
      <c r="WPR68" s="15"/>
      <c r="WPS68" s="15"/>
      <c r="WPT68" s="15"/>
      <c r="WPU68" s="15"/>
      <c r="WPV68" s="15"/>
      <c r="WPW68" s="15"/>
      <c r="WPX68" s="15"/>
      <c r="WPY68" s="15"/>
      <c r="WPZ68" s="15"/>
      <c r="WQA68" s="15"/>
      <c r="WQB68" s="15"/>
      <c r="WQC68" s="15"/>
      <c r="WQD68" s="15"/>
      <c r="WQE68" s="15"/>
      <c r="WQF68" s="15"/>
      <c r="WQG68" s="15"/>
      <c r="WQH68" s="15"/>
      <c r="WQI68" s="15"/>
      <c r="WQJ68" s="15"/>
      <c r="WQK68" s="15"/>
      <c r="WQL68" s="15"/>
      <c r="WQM68" s="15"/>
      <c r="WQN68" s="15"/>
      <c r="WQO68" s="15"/>
      <c r="WQP68" s="15"/>
      <c r="WQQ68" s="15"/>
      <c r="WQR68" s="15"/>
      <c r="WQS68" s="15"/>
      <c r="WQT68" s="15"/>
      <c r="WQU68" s="15"/>
      <c r="WQV68" s="15"/>
      <c r="WQW68" s="15"/>
      <c r="WQX68" s="15"/>
      <c r="WQY68" s="15"/>
      <c r="WQZ68" s="15"/>
      <c r="WRA68" s="15"/>
      <c r="WRB68" s="15"/>
      <c r="WRC68" s="15"/>
      <c r="WRD68" s="15"/>
      <c r="WRE68" s="15"/>
      <c r="WRF68" s="15"/>
      <c r="WRG68" s="15"/>
      <c r="WRH68" s="15"/>
      <c r="WRI68" s="15"/>
      <c r="WRJ68" s="15"/>
      <c r="WRK68" s="15"/>
      <c r="WRL68" s="15"/>
      <c r="WRM68" s="15"/>
      <c r="WRN68" s="15"/>
      <c r="WRO68" s="15"/>
      <c r="WRP68" s="15"/>
      <c r="WRQ68" s="15"/>
      <c r="WRR68" s="15"/>
      <c r="WRS68" s="15"/>
      <c r="WRT68" s="15"/>
      <c r="WRU68" s="15"/>
      <c r="WRV68" s="15"/>
      <c r="WRW68" s="15"/>
      <c r="WRX68" s="15"/>
      <c r="WRY68" s="15"/>
      <c r="WRZ68" s="15"/>
      <c r="WSA68" s="15"/>
      <c r="WSB68" s="15"/>
      <c r="WSC68" s="15"/>
      <c r="WSD68" s="15"/>
      <c r="WSE68" s="15"/>
      <c r="WSF68" s="15"/>
      <c r="WSG68" s="15"/>
      <c r="WSH68" s="15"/>
      <c r="WSI68" s="15"/>
      <c r="WSJ68" s="15"/>
      <c r="WSK68" s="15"/>
      <c r="WSL68" s="15"/>
      <c r="WSM68" s="15"/>
      <c r="WSN68" s="15"/>
      <c r="WSO68" s="15"/>
      <c r="WSP68" s="15"/>
      <c r="WSQ68" s="15"/>
      <c r="WSR68" s="15"/>
      <c r="WSS68" s="15"/>
      <c r="WST68" s="15"/>
      <c r="WSU68" s="15"/>
      <c r="WSV68" s="15"/>
      <c r="WSW68" s="15"/>
      <c r="WSX68" s="15"/>
      <c r="WSY68" s="15"/>
      <c r="WSZ68" s="15"/>
      <c r="WTA68" s="15"/>
      <c r="WTB68" s="15"/>
      <c r="WTC68" s="15"/>
      <c r="WTD68" s="15"/>
      <c r="WTE68" s="15"/>
      <c r="WTF68" s="15"/>
      <c r="WTG68" s="15"/>
      <c r="WTH68" s="15"/>
      <c r="WTI68" s="15"/>
      <c r="WTJ68" s="15"/>
      <c r="WTK68" s="15"/>
      <c r="WTL68" s="15"/>
      <c r="WTM68" s="15"/>
      <c r="WTN68" s="15"/>
      <c r="WTO68" s="15"/>
      <c r="WTP68" s="15"/>
      <c r="WTQ68" s="15"/>
      <c r="WTR68" s="15"/>
      <c r="WTS68" s="15"/>
      <c r="WTT68" s="15"/>
      <c r="WTU68" s="15"/>
      <c r="WTV68" s="15"/>
      <c r="WTW68" s="15"/>
      <c r="WTX68" s="15"/>
      <c r="WTY68" s="15"/>
      <c r="WTZ68" s="15"/>
      <c r="WUA68" s="15"/>
      <c r="WUB68" s="15"/>
      <c r="WUC68" s="15"/>
      <c r="WUD68" s="15"/>
      <c r="WUE68" s="15"/>
      <c r="WUF68" s="15"/>
      <c r="WUG68" s="15"/>
      <c r="WUH68" s="15"/>
      <c r="WUI68" s="15"/>
      <c r="WUJ68" s="15"/>
      <c r="WUK68" s="15"/>
      <c r="WUL68" s="15"/>
      <c r="WUM68" s="15"/>
      <c r="WUN68" s="15"/>
      <c r="WUO68" s="15"/>
      <c r="WUP68" s="15"/>
      <c r="WUQ68" s="15"/>
      <c r="WUR68" s="15"/>
      <c r="WUS68" s="15"/>
      <c r="WUT68" s="15"/>
      <c r="WUU68" s="15"/>
      <c r="WUV68" s="15"/>
      <c r="WUW68" s="15"/>
      <c r="WUX68" s="15"/>
      <c r="WUY68" s="15"/>
      <c r="WUZ68" s="15"/>
      <c r="WVA68" s="15"/>
      <c r="WVB68" s="15"/>
      <c r="WVC68" s="15"/>
      <c r="WVD68" s="15"/>
      <c r="WVE68" s="15"/>
      <c r="WVF68" s="15"/>
      <c r="WVG68" s="15"/>
      <c r="WVH68" s="15"/>
      <c r="WVI68" s="15"/>
      <c r="WVJ68" s="15"/>
      <c r="WVK68" s="15"/>
      <c r="WVL68" s="15"/>
      <c r="WVM68" s="15"/>
      <c r="WVN68" s="15"/>
      <c r="WVO68" s="15"/>
      <c r="WVP68" s="15"/>
      <c r="WVQ68" s="15"/>
      <c r="WVR68" s="15"/>
      <c r="WVS68" s="15"/>
      <c r="WVT68" s="15"/>
      <c r="WVU68" s="15"/>
      <c r="WVV68" s="15"/>
      <c r="WVW68" s="15"/>
      <c r="WVX68" s="15"/>
      <c r="WVY68" s="15"/>
      <c r="WVZ68" s="15"/>
      <c r="WWA68" s="15"/>
      <c r="WWB68" s="15"/>
      <c r="WWC68" s="15"/>
      <c r="WWD68" s="15"/>
      <c r="WWE68" s="15"/>
      <c r="WWF68" s="15"/>
      <c r="WWG68" s="15"/>
      <c r="WWH68" s="15"/>
      <c r="WWI68" s="15"/>
      <c r="WWJ68" s="15"/>
      <c r="WWK68" s="15"/>
      <c r="WWL68" s="15"/>
      <c r="WWM68" s="15"/>
      <c r="WWN68" s="15"/>
      <c r="WWO68" s="15"/>
      <c r="WWP68" s="15"/>
      <c r="WWQ68" s="15"/>
      <c r="WWR68" s="15"/>
      <c r="WWS68" s="15"/>
      <c r="WWT68" s="15"/>
      <c r="WWU68" s="15"/>
      <c r="WWV68" s="15"/>
      <c r="WWW68" s="15"/>
      <c r="WWX68" s="15"/>
      <c r="WWY68" s="15"/>
      <c r="WWZ68" s="15"/>
      <c r="WXA68" s="15"/>
      <c r="WXB68" s="15"/>
      <c r="WXC68" s="15"/>
      <c r="WXD68" s="15"/>
      <c r="WXE68" s="15"/>
      <c r="WXF68" s="15"/>
      <c r="WXG68" s="15"/>
      <c r="WXH68" s="15"/>
      <c r="WXI68" s="15"/>
      <c r="WXJ68" s="15"/>
      <c r="WXK68" s="15"/>
      <c r="WXL68" s="15"/>
      <c r="WXM68" s="15"/>
      <c r="WXN68" s="15"/>
      <c r="WXO68" s="15"/>
      <c r="WXP68" s="15"/>
      <c r="WXQ68" s="15"/>
      <c r="WXR68" s="15"/>
      <c r="WXS68" s="15"/>
      <c r="WXT68" s="15"/>
      <c r="WXU68" s="15"/>
      <c r="WXV68" s="15"/>
      <c r="WXW68" s="15"/>
      <c r="WXX68" s="15"/>
      <c r="WXY68" s="15"/>
      <c r="WXZ68" s="15"/>
      <c r="WYA68" s="15"/>
      <c r="WYB68" s="15"/>
      <c r="WYC68" s="15"/>
      <c r="WYD68" s="15"/>
      <c r="WYE68" s="15"/>
      <c r="WYF68" s="15"/>
      <c r="WYG68" s="15"/>
      <c r="WYH68" s="15"/>
      <c r="WYI68" s="15"/>
      <c r="WYJ68" s="15"/>
      <c r="WYK68" s="15"/>
      <c r="WYL68" s="15"/>
      <c r="WYM68" s="15"/>
      <c r="WYN68" s="15"/>
      <c r="WYO68" s="15"/>
      <c r="WYP68" s="15"/>
      <c r="WYQ68" s="15"/>
      <c r="WYR68" s="15"/>
      <c r="WYS68" s="15"/>
      <c r="WYT68" s="15"/>
      <c r="WYU68" s="15"/>
      <c r="WYV68" s="15"/>
      <c r="WYW68" s="15"/>
      <c r="WYX68" s="15"/>
      <c r="WYY68" s="15"/>
      <c r="WYZ68" s="15"/>
      <c r="WZA68" s="15"/>
      <c r="WZB68" s="15"/>
      <c r="WZC68" s="15"/>
      <c r="WZD68" s="15"/>
      <c r="WZE68" s="15"/>
      <c r="WZF68" s="15"/>
      <c r="WZG68" s="15"/>
      <c r="WZH68" s="15"/>
      <c r="WZI68" s="15"/>
      <c r="WZJ68" s="15"/>
      <c r="WZK68" s="15"/>
      <c r="WZL68" s="15"/>
      <c r="WZM68" s="15"/>
      <c r="WZN68" s="15"/>
      <c r="WZO68" s="15"/>
      <c r="WZP68" s="15"/>
      <c r="WZQ68" s="15"/>
      <c r="WZR68" s="15"/>
      <c r="WZS68" s="15"/>
      <c r="WZT68" s="15"/>
      <c r="WZU68" s="15"/>
      <c r="WZV68" s="15"/>
      <c r="WZW68" s="15"/>
      <c r="WZX68" s="15"/>
      <c r="WZY68" s="15"/>
      <c r="WZZ68" s="15"/>
      <c r="XAA68" s="15"/>
      <c r="XAB68" s="15"/>
      <c r="XAC68" s="15"/>
      <c r="XAD68" s="15"/>
      <c r="XAE68" s="15"/>
      <c r="XAF68" s="15"/>
      <c r="XAG68" s="15"/>
      <c r="XAH68" s="15"/>
      <c r="XAI68" s="15"/>
      <c r="XAJ68" s="15"/>
      <c r="XAK68" s="15"/>
      <c r="XAL68" s="15"/>
      <c r="XAM68" s="15"/>
      <c r="XAN68" s="15"/>
      <c r="XAO68" s="15"/>
      <c r="XAP68" s="15"/>
      <c r="XAQ68" s="15"/>
      <c r="XAR68" s="15"/>
      <c r="XAS68" s="15"/>
      <c r="XAT68" s="15"/>
      <c r="XAU68" s="15"/>
      <c r="XAV68" s="15"/>
      <c r="XAW68" s="15"/>
      <c r="XAX68" s="15"/>
      <c r="XAY68" s="15"/>
      <c r="XAZ68" s="15"/>
      <c r="XBA68" s="15"/>
      <c r="XBB68" s="15"/>
      <c r="XBC68" s="15"/>
      <c r="XBD68" s="15"/>
      <c r="XBE68" s="15"/>
      <c r="XBF68" s="15"/>
      <c r="XBG68" s="15"/>
      <c r="XBH68" s="15"/>
      <c r="XBI68" s="15"/>
      <c r="XBJ68" s="15"/>
      <c r="XBK68" s="15"/>
      <c r="XBL68" s="15"/>
      <c r="XBM68" s="15"/>
      <c r="XBN68" s="15"/>
      <c r="XBO68" s="15"/>
      <c r="XBP68" s="15"/>
      <c r="XBQ68" s="15"/>
      <c r="XBR68" s="15"/>
      <c r="XBS68" s="15"/>
      <c r="XBT68" s="15"/>
      <c r="XBU68" s="15"/>
      <c r="XBV68" s="15"/>
      <c r="XBW68" s="15"/>
      <c r="XBX68" s="15"/>
      <c r="XBY68" s="15"/>
      <c r="XBZ68" s="15"/>
      <c r="XCA68" s="15"/>
      <c r="XCB68" s="15"/>
      <c r="XCC68" s="15"/>
      <c r="XCD68" s="15"/>
      <c r="XCE68" s="15"/>
      <c r="XCF68" s="15"/>
      <c r="XCG68" s="15"/>
      <c r="XCH68" s="15"/>
      <c r="XCI68" s="15"/>
      <c r="XCJ68" s="15"/>
      <c r="XCK68" s="15"/>
      <c r="XCL68" s="15"/>
      <c r="XCM68" s="15"/>
      <c r="XCN68" s="15"/>
      <c r="XCO68" s="15"/>
      <c r="XCP68" s="15"/>
      <c r="XCQ68" s="15"/>
      <c r="XCR68" s="15"/>
      <c r="XCS68" s="15"/>
      <c r="XCT68" s="15"/>
      <c r="XCU68" s="15"/>
      <c r="XCV68" s="15"/>
      <c r="XCW68" s="15"/>
      <c r="XCX68" s="15"/>
      <c r="XCY68" s="15"/>
      <c r="XCZ68" s="15"/>
      <c r="XDA68" s="15"/>
      <c r="XDB68" s="15"/>
      <c r="XDC68" s="15"/>
      <c r="XDD68" s="15"/>
      <c r="XDE68" s="15"/>
      <c r="XDF68" s="15"/>
      <c r="XDG68" s="15"/>
      <c r="XDH68" s="15"/>
      <c r="XDI68" s="15"/>
      <c r="XDJ68" s="15"/>
      <c r="XDK68" s="15"/>
      <c r="XDL68" s="15"/>
      <c r="XDM68" s="15"/>
      <c r="XDN68" s="15"/>
      <c r="XDO68" s="15"/>
      <c r="XDP68" s="15"/>
      <c r="XDQ68" s="15"/>
      <c r="XDR68" s="15"/>
      <c r="XDS68" s="15"/>
      <c r="XDT68" s="15"/>
      <c r="XDU68" s="15"/>
      <c r="XDV68" s="15"/>
      <c r="XDW68" s="15"/>
      <c r="XDX68" s="15"/>
      <c r="XDY68" s="15"/>
      <c r="XDZ68" s="15"/>
      <c r="XEA68" s="15"/>
      <c r="XEB68" s="15"/>
      <c r="XEC68" s="15"/>
      <c r="XED68" s="15"/>
      <c r="XEE68" s="15"/>
      <c r="XEF68" s="15"/>
      <c r="XEG68" s="15"/>
      <c r="XEH68" s="15"/>
      <c r="XEI68" s="15"/>
      <c r="XEJ68" s="15"/>
      <c r="XEK68" s="15"/>
      <c r="XEL68" s="15"/>
      <c r="XEM68" s="15"/>
      <c r="XEN68" s="15"/>
      <c r="XEO68" s="15"/>
      <c r="XEP68" s="15"/>
      <c r="XEQ68" s="15"/>
      <c r="XER68" s="15"/>
      <c r="XES68" s="15"/>
      <c r="XET68" s="15"/>
      <c r="XEU68" s="15"/>
      <c r="XEV68" s="15"/>
      <c r="XEW68" s="15"/>
      <c r="XEX68" s="15"/>
      <c r="XEY68" s="15"/>
      <c r="XEZ68" s="15"/>
      <c r="XFA68" s="15"/>
      <c r="XFB68" s="15"/>
      <c r="XFC68" s="15"/>
    </row>
    <row r="69" spans="2:16383" s="15" customFormat="1">
      <c r="B69" s="15" t="s">
        <v>28</v>
      </c>
      <c r="D69" s="137">
        <f>IFERROR(D68/C68-1,"na")</f>
        <v>0.17215134034618007</v>
      </c>
      <c r="E69" s="137">
        <f t="shared" ref="E69:M69" ca="1" si="10">IFERROR(E68/D68-1,"na")</f>
        <v>5.3578129288897713E-2</v>
      </c>
      <c r="F69" s="137">
        <f t="shared" ca="1" si="10"/>
        <v>-9.1981202815809571E-3</v>
      </c>
      <c r="G69" s="137">
        <f t="shared" ca="1" si="10"/>
        <v>-0.27840297404125702</v>
      </c>
      <c r="H69" s="137">
        <f t="shared" ca="1" si="10"/>
        <v>-0.50285303586098629</v>
      </c>
      <c r="I69" s="137">
        <f t="shared" ca="1" si="10"/>
        <v>-1.1900484443452872</v>
      </c>
      <c r="J69" s="137">
        <f t="shared" ca="1" si="10"/>
        <v>7.1868038245304096</v>
      </c>
      <c r="K69" s="137">
        <f t="shared" ca="1" si="10"/>
        <v>0.9323604958354319</v>
      </c>
      <c r="L69" s="137">
        <f ca="1">IFERROR(L68/K68-1,"na")</f>
        <v>0.54411892732465428</v>
      </c>
      <c r="M69" s="137">
        <f t="shared" ca="1" si="10"/>
        <v>1.1547085267672097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</row>
    <row r="70" spans="2:16383" ht="5.0999999999999996" customHeight="1"/>
    <row r="71" spans="2:16383">
      <c r="B71" t="s">
        <v>26</v>
      </c>
      <c r="C71" s="7">
        <f>+C68</f>
        <v>-111.68236597486276</v>
      </c>
      <c r="D71" s="7">
        <f t="shared" ref="D71:K71" si="11">+D68</f>
        <v>-130.908634970468</v>
      </c>
      <c r="E71" s="7">
        <f t="shared" ca="1" si="11"/>
        <v>-137.92247473994885</v>
      </c>
      <c r="F71" s="7">
        <f t="shared" ca="1" si="11"/>
        <v>-136.6538472277575</v>
      </c>
      <c r="G71" s="7">
        <f t="shared" ca="1" si="11"/>
        <v>-98.609009745370216</v>
      </c>
      <c r="H71" s="7">
        <f t="shared" ca="1" si="11"/>
        <v>-49.023169831665221</v>
      </c>
      <c r="I71" s="7">
        <f t="shared" ca="1" si="11"/>
        <v>9.3167771633827865</v>
      </c>
      <c r="J71" s="7">
        <f t="shared" ca="1" si="11"/>
        <v>76.274626913479779</v>
      </c>
      <c r="K71" s="7">
        <f t="shared" ca="1" si="11"/>
        <v>147.39007588219437</v>
      </c>
      <c r="L71" s="7">
        <f ca="1">+L68+L75</f>
        <v>11082.606081213042</v>
      </c>
      <c r="M71" s="7"/>
    </row>
    <row r="72" spans="2:16383">
      <c r="B72" t="s">
        <v>12</v>
      </c>
      <c r="C72" s="4">
        <f>+(1+C$46)^(C$50-$C$47-$C$48)</f>
        <v>1.0389072505046468</v>
      </c>
      <c r="D72" s="4">
        <f t="shared" ref="D72:K72" ca="1" si="12">+(1+D$46)^(D$50-$C$47-$C$48)</f>
        <v>1.120513208584359</v>
      </c>
      <c r="E72" s="4">
        <f t="shared" ca="1" si="12"/>
        <v>1.2073665246657401</v>
      </c>
      <c r="F72" s="4">
        <f t="shared" ca="1" si="12"/>
        <v>1.2996994215080533</v>
      </c>
      <c r="G72" s="4">
        <f t="shared" ca="1" si="12"/>
        <v>1.3977453737565209</v>
      </c>
      <c r="H72" s="4">
        <f t="shared" ca="1" si="12"/>
        <v>1.5017382458221176</v>
      </c>
      <c r="I72" s="4">
        <f t="shared" ca="1" si="12"/>
        <v>1.6119113606188387</v>
      </c>
      <c r="J72" s="4">
        <f t="shared" ca="1" si="12"/>
        <v>1.7284964995247767</v>
      </c>
      <c r="K72" s="4">
        <f t="shared" ca="1" si="12"/>
        <v>1.8517228344563694</v>
      </c>
      <c r="L72" s="4">
        <f ca="1">+(1+L$46)^(L$50-$C$47-$C$48)</f>
        <v>1.9909277933687959</v>
      </c>
      <c r="M72" s="4"/>
    </row>
    <row r="73" spans="2:16383">
      <c r="B73" t="s">
        <v>15</v>
      </c>
      <c r="C73" s="7">
        <f t="shared" ref="C73:L73" si="13">+C71/C72</f>
        <v>-107.49984266700739</v>
      </c>
      <c r="D73" s="7">
        <f t="shared" ca="1" si="13"/>
        <v>-116.82917610213285</v>
      </c>
      <c r="E73" s="7">
        <f t="shared" ca="1" si="13"/>
        <v>-114.23413845114908</v>
      </c>
      <c r="F73" s="7">
        <f t="shared" ca="1" si="13"/>
        <v>-105.14265449868152</v>
      </c>
      <c r="G73" s="7">
        <f t="shared" ca="1" si="13"/>
        <v>-70.548621799657866</v>
      </c>
      <c r="H73" s="7">
        <f t="shared" ca="1" si="13"/>
        <v>-32.644284027558868</v>
      </c>
      <c r="I73" s="7">
        <f t="shared" ca="1" si="13"/>
        <v>5.7799562624869933</v>
      </c>
      <c r="J73" s="7">
        <f t="shared" ca="1" si="13"/>
        <v>44.127730044261185</v>
      </c>
      <c r="K73" s="7">
        <f t="shared" ca="1" si="13"/>
        <v>79.596186394420783</v>
      </c>
      <c r="L73" s="7">
        <f t="shared" ca="1" si="13"/>
        <v>5566.5535024052579</v>
      </c>
      <c r="M73" s="7"/>
    </row>
    <row r="74" spans="2:16383" ht="5.0999999999999996" customHeight="1"/>
    <row r="75" spans="2:16383">
      <c r="B75" s="3" t="s">
        <v>16</v>
      </c>
      <c r="C75" s="122">
        <f ca="1">+SUM(C73:M73)</f>
        <v>5149.1586575602396</v>
      </c>
      <c r="K75" s="10" t="s">
        <v>95</v>
      </c>
      <c r="L75" s="122">
        <f ca="1">(M68)/(L46-L85)</f>
        <v>10855.018275343529</v>
      </c>
    </row>
    <row r="76" spans="2:16383">
      <c r="B76" s="125" t="s">
        <v>17</v>
      </c>
      <c r="C76" s="123">
        <f>-Model!AC170</f>
        <v>-26.964233442530286</v>
      </c>
      <c r="K76" s="129" t="s">
        <v>17</v>
      </c>
      <c r="L76" s="121">
        <f>-Model!AM170</f>
        <v>-1143.3521369409516</v>
      </c>
    </row>
    <row r="77" spans="2:16383">
      <c r="B77" s="125" t="s">
        <v>18</v>
      </c>
      <c r="C77" s="283">
        <v>0</v>
      </c>
      <c r="K77" s="129" t="s">
        <v>18</v>
      </c>
      <c r="L77" s="283">
        <v>0</v>
      </c>
    </row>
    <row r="78" spans="2:16383">
      <c r="B78" s="125" t="s">
        <v>19</v>
      </c>
      <c r="C78" s="283">
        <v>0</v>
      </c>
      <c r="K78" s="129" t="s">
        <v>19</v>
      </c>
      <c r="L78" s="283">
        <v>0</v>
      </c>
    </row>
    <row r="79" spans="2:16383">
      <c r="B79" s="126" t="s">
        <v>20</v>
      </c>
      <c r="C79" s="124">
        <f>Model!AC126</f>
        <v>208.03998133749906</v>
      </c>
      <c r="K79" s="130" t="s">
        <v>20</v>
      </c>
      <c r="L79" s="131">
        <f ca="1">Model!AM126</f>
        <v>835.50439989325127</v>
      </c>
    </row>
    <row r="80" spans="2:16383">
      <c r="B80" s="2" t="s">
        <v>21</v>
      </c>
      <c r="C80" s="128">
        <f ca="1">SUM(C75:C79)</f>
        <v>5330.2344054552077</v>
      </c>
      <c r="D80" s="182"/>
      <c r="E80" s="9"/>
      <c r="F80" s="9"/>
      <c r="G80" s="9"/>
      <c r="H80" s="9"/>
      <c r="I80" s="9"/>
      <c r="J80" s="9"/>
      <c r="K80" s="11" t="s">
        <v>96</v>
      </c>
      <c r="L80" s="128">
        <f ca="1">+SUM(L75:L79)</f>
        <v>10547.170538295828</v>
      </c>
    </row>
    <row r="81" spans="2:15" ht="15.75" thickBot="1">
      <c r="B81" s="127" t="s">
        <v>22</v>
      </c>
      <c r="C81" s="172">
        <f>C34</f>
        <v>200.16900000000001</v>
      </c>
      <c r="K81" s="130" t="s">
        <v>22</v>
      </c>
      <c r="L81" s="171">
        <f>+Model!AL88</f>
        <v>200.16900000000001</v>
      </c>
    </row>
    <row r="82" spans="2:15" ht="15.75" thickBot="1">
      <c r="B82" s="134" t="s">
        <v>23</v>
      </c>
      <c r="C82" s="133">
        <f ca="1">+C80/C81</f>
        <v>26.628670800449658</v>
      </c>
      <c r="D82" s="9"/>
      <c r="E82" s="9"/>
      <c r="F82" s="9"/>
      <c r="G82" s="9"/>
      <c r="H82" s="9"/>
      <c r="I82" s="9"/>
      <c r="J82" s="9"/>
      <c r="K82" s="11" t="s">
        <v>24</v>
      </c>
      <c r="L82" s="13">
        <f ca="1">+L80/L81</f>
        <v>52.691328518880681</v>
      </c>
    </row>
    <row r="83" spans="2:15">
      <c r="K83" s="10" t="s">
        <v>71</v>
      </c>
      <c r="L83" s="135">
        <f ca="1">IFERROR(L82/L84,"na")</f>
        <v>16.855342704344938</v>
      </c>
    </row>
    <row r="84" spans="2:15">
      <c r="K84" s="10" t="str">
        <f>$L$51+1&amp;" EPS (1Y Forward)"</f>
        <v>2032 EPS (1Y Forward)</v>
      </c>
      <c r="L84" s="113">
        <f ca="1">+M53</f>
        <v>3.1260906077749464</v>
      </c>
      <c r="O84" s="7"/>
    </row>
    <row r="85" spans="2:15">
      <c r="K85" s="10" t="s">
        <v>50</v>
      </c>
      <c r="L85" s="50">
        <f>+$K$36</f>
        <v>0.03</v>
      </c>
    </row>
    <row r="87" spans="2:15">
      <c r="C87" s="189"/>
      <c r="D87" s="189"/>
      <c r="E87" s="189"/>
      <c r="F87" s="189"/>
      <c r="G87" s="189"/>
      <c r="H87" s="189"/>
      <c r="I87" s="189"/>
      <c r="J87" s="189"/>
      <c r="K87" s="189"/>
      <c r="L87" s="189"/>
    </row>
    <row r="88" spans="2:15" hidden="1" outlineLevel="1">
      <c r="B88" s="12" t="s">
        <v>83</v>
      </c>
      <c r="C88" s="12"/>
      <c r="D88" s="12"/>
      <c r="E88" s="12"/>
    </row>
    <row r="89" spans="2:15" hidden="1" outlineLevel="1">
      <c r="B89" t="s">
        <v>73</v>
      </c>
      <c r="C89" t="s">
        <v>558</v>
      </c>
      <c r="D89" t="s">
        <v>549</v>
      </c>
      <c r="E89" t="s">
        <v>1</v>
      </c>
    </row>
    <row r="90" spans="2:15" hidden="1" outlineLevel="1">
      <c r="B90" t="s">
        <v>75</v>
      </c>
      <c r="C90" t="s">
        <v>559</v>
      </c>
      <c r="D90" t="s">
        <v>81</v>
      </c>
      <c r="E90" t="s">
        <v>55</v>
      </c>
    </row>
    <row r="91" spans="2:15" hidden="1" outlineLevel="1">
      <c r="B91" t="s">
        <v>78</v>
      </c>
      <c r="C91" t="s">
        <v>560</v>
      </c>
      <c r="D91" t="s">
        <v>561</v>
      </c>
      <c r="E91" t="s">
        <v>84</v>
      </c>
    </row>
    <row r="92" spans="2:15" hidden="1" outlineLevel="1">
      <c r="B92" t="s">
        <v>76</v>
      </c>
      <c r="C92" t="s">
        <v>562</v>
      </c>
      <c r="D92" t="s">
        <v>563</v>
      </c>
      <c r="E92" t="s">
        <v>564</v>
      </c>
    </row>
    <row r="93" spans="2:15" hidden="1" outlineLevel="1">
      <c r="B93" t="s">
        <v>80</v>
      </c>
      <c r="C93" t="s">
        <v>565</v>
      </c>
      <c r="D93" t="s">
        <v>566</v>
      </c>
    </row>
    <row r="94" spans="2:15" hidden="1" outlineLevel="1">
      <c r="B94" t="s">
        <v>77</v>
      </c>
      <c r="C94" t="s">
        <v>567</v>
      </c>
      <c r="D94" t="s">
        <v>568</v>
      </c>
    </row>
    <row r="95" spans="2:15" hidden="1" outlineLevel="1">
      <c r="B95" t="s">
        <v>47</v>
      </c>
      <c r="C95" t="s">
        <v>569</v>
      </c>
      <c r="D95" t="s">
        <v>570</v>
      </c>
    </row>
    <row r="96" spans="2:15" hidden="1" outlineLevel="1">
      <c r="B96" t="s">
        <v>74</v>
      </c>
      <c r="C96" t="s">
        <v>571</v>
      </c>
      <c r="D96" t="s">
        <v>572</v>
      </c>
    </row>
    <row r="97" spans="2:4" hidden="1" outlineLevel="1">
      <c r="B97" t="s">
        <v>45</v>
      </c>
      <c r="C97" t="s">
        <v>573</v>
      </c>
      <c r="D97" t="s">
        <v>574</v>
      </c>
    </row>
    <row r="98" spans="2:4" hidden="1" outlineLevel="1">
      <c r="B98" t="s">
        <v>79</v>
      </c>
      <c r="C98" t="s">
        <v>575</v>
      </c>
      <c r="D98" t="s">
        <v>576</v>
      </c>
    </row>
    <row r="99" spans="2:4" hidden="1" outlineLevel="1">
      <c r="B99" t="s">
        <v>46</v>
      </c>
      <c r="C99" t="s">
        <v>577</v>
      </c>
      <c r="D99" t="s">
        <v>578</v>
      </c>
    </row>
    <row r="100" spans="2:4" hidden="1" outlineLevel="1">
      <c r="C100" t="s">
        <v>579</v>
      </c>
      <c r="D100" t="s">
        <v>580</v>
      </c>
    </row>
    <row r="101" spans="2:4" hidden="1" outlineLevel="1">
      <c r="C101" t="s">
        <v>581</v>
      </c>
      <c r="D101" t="s">
        <v>582</v>
      </c>
    </row>
    <row r="102" spans="2:4" hidden="1" outlineLevel="1">
      <c r="C102" t="s">
        <v>583</v>
      </c>
      <c r="D102" t="s">
        <v>584</v>
      </c>
    </row>
    <row r="103" spans="2:4" hidden="1" outlineLevel="1">
      <c r="C103" t="s">
        <v>585</v>
      </c>
      <c r="D103" t="s">
        <v>586</v>
      </c>
    </row>
    <row r="104" spans="2:4" hidden="1" outlineLevel="1">
      <c r="C104" t="s">
        <v>587</v>
      </c>
    </row>
    <row r="105" spans="2:4" hidden="1" outlineLevel="1">
      <c r="C105" t="s">
        <v>588</v>
      </c>
    </row>
    <row r="106" spans="2:4" hidden="1" outlineLevel="1">
      <c r="C106" t="s">
        <v>589</v>
      </c>
    </row>
    <row r="107" spans="2:4" hidden="1" outlineLevel="1">
      <c r="C107" t="s">
        <v>590</v>
      </c>
    </row>
    <row r="108" spans="2:4" hidden="1" outlineLevel="1">
      <c r="C108" t="s">
        <v>591</v>
      </c>
    </row>
    <row r="109" spans="2:4" hidden="1" outlineLevel="1">
      <c r="C109" t="s">
        <v>592</v>
      </c>
    </row>
    <row r="110" spans="2:4" hidden="1" outlineLevel="1">
      <c r="C110" t="s">
        <v>593</v>
      </c>
    </row>
    <row r="111" spans="2:4" hidden="1" outlineLevel="1">
      <c r="C111" t="s">
        <v>594</v>
      </c>
    </row>
    <row r="112" spans="2:4" hidden="1" outlineLevel="1">
      <c r="C112" t="s">
        <v>595</v>
      </c>
    </row>
    <row r="113" spans="3:3" hidden="1" outlineLevel="1">
      <c r="C113" t="s">
        <v>82</v>
      </c>
    </row>
    <row r="114" spans="3:3" hidden="1" outlineLevel="1">
      <c r="C114" t="s">
        <v>596</v>
      </c>
    </row>
    <row r="115" spans="3:3" hidden="1" outlineLevel="1">
      <c r="C115" t="s">
        <v>597</v>
      </c>
    </row>
    <row r="116" spans="3:3" hidden="1" outlineLevel="1">
      <c r="C116" t="s">
        <v>598</v>
      </c>
    </row>
    <row r="117" spans="3:3" hidden="1" outlineLevel="1">
      <c r="C117" t="s">
        <v>599</v>
      </c>
    </row>
    <row r="118" spans="3:3" hidden="1" outlineLevel="1">
      <c r="C118" t="s">
        <v>600</v>
      </c>
    </row>
    <row r="119" spans="3:3" hidden="1" outlineLevel="1">
      <c r="C119" t="s">
        <v>601</v>
      </c>
    </row>
    <row r="120" spans="3:3" hidden="1" outlineLevel="1">
      <c r="C120" t="s">
        <v>602</v>
      </c>
    </row>
    <row r="121" spans="3:3" hidden="1" outlineLevel="1">
      <c r="C121" t="s">
        <v>603</v>
      </c>
    </row>
    <row r="122" spans="3:3" hidden="1" outlineLevel="1">
      <c r="C122" t="s">
        <v>604</v>
      </c>
    </row>
    <row r="123" spans="3:3" hidden="1" outlineLevel="1">
      <c r="C123" t="s">
        <v>605</v>
      </c>
    </row>
    <row r="124" spans="3:3" hidden="1" outlineLevel="1">
      <c r="C124" t="s">
        <v>606</v>
      </c>
    </row>
    <row r="125" spans="3:3" hidden="1" outlineLevel="1">
      <c r="C125" t="s">
        <v>607</v>
      </c>
    </row>
    <row r="126" spans="3:3" hidden="1" outlineLevel="1">
      <c r="C126" t="s">
        <v>608</v>
      </c>
    </row>
    <row r="127" spans="3:3" hidden="1" outlineLevel="1">
      <c r="C127" t="s">
        <v>609</v>
      </c>
    </row>
    <row r="128" spans="3:3" hidden="1" outlineLevel="1">
      <c r="C128" t="s">
        <v>610</v>
      </c>
    </row>
    <row r="129" spans="3:3" hidden="1" outlineLevel="1">
      <c r="C129" t="s">
        <v>611</v>
      </c>
    </row>
    <row r="130" spans="3:3" hidden="1" outlineLevel="1">
      <c r="C130" t="s">
        <v>612</v>
      </c>
    </row>
    <row r="131" spans="3:3" hidden="1" outlineLevel="1">
      <c r="C131" t="s">
        <v>613</v>
      </c>
    </row>
    <row r="132" spans="3:3" hidden="1" outlineLevel="1">
      <c r="C132" t="s">
        <v>614</v>
      </c>
    </row>
    <row r="133" spans="3:3" hidden="1" outlineLevel="1">
      <c r="C133" t="s">
        <v>615</v>
      </c>
    </row>
    <row r="134" spans="3:3" hidden="1" outlineLevel="1">
      <c r="C134" t="s">
        <v>616</v>
      </c>
    </row>
    <row r="135" spans="3:3" hidden="1" outlineLevel="1">
      <c r="C135" t="s">
        <v>617</v>
      </c>
    </row>
    <row r="136" spans="3:3" hidden="1" outlineLevel="1">
      <c r="C136" t="s">
        <v>618</v>
      </c>
    </row>
    <row r="137" spans="3:3" hidden="1" outlineLevel="1">
      <c r="C137" t="s">
        <v>619</v>
      </c>
    </row>
    <row r="138" spans="3:3" hidden="1" outlineLevel="1">
      <c r="C138" t="s">
        <v>620</v>
      </c>
    </row>
    <row r="139" spans="3:3" hidden="1" outlineLevel="1">
      <c r="C139" t="s">
        <v>621</v>
      </c>
    </row>
    <row r="140" spans="3:3" hidden="1" outlineLevel="1">
      <c r="C140" t="s">
        <v>622</v>
      </c>
    </row>
    <row r="141" spans="3:3" hidden="1" outlineLevel="1">
      <c r="C141" t="s">
        <v>623</v>
      </c>
    </row>
    <row r="142" spans="3:3" hidden="1" outlineLevel="1">
      <c r="C142" t="s">
        <v>624</v>
      </c>
    </row>
    <row r="143" spans="3:3" hidden="1" outlineLevel="1">
      <c r="C143" t="s">
        <v>625</v>
      </c>
    </row>
    <row r="144" spans="3:3" hidden="1" outlineLevel="1">
      <c r="C144" t="s">
        <v>626</v>
      </c>
    </row>
    <row r="145" spans="3:3" hidden="1" outlineLevel="1">
      <c r="C145" t="s">
        <v>627</v>
      </c>
    </row>
    <row r="146" spans="3:3" hidden="1" outlineLevel="1">
      <c r="C146" t="s">
        <v>628</v>
      </c>
    </row>
    <row r="147" spans="3:3" hidden="1" outlineLevel="1">
      <c r="C147" t="s">
        <v>629</v>
      </c>
    </row>
    <row r="148" spans="3:3" hidden="1" outlineLevel="1">
      <c r="C148" t="s">
        <v>630</v>
      </c>
    </row>
    <row r="149" spans="3:3" hidden="1" outlineLevel="1">
      <c r="C149" t="s">
        <v>631</v>
      </c>
    </row>
    <row r="150" spans="3:3" hidden="1" outlineLevel="1">
      <c r="C150" t="s">
        <v>632</v>
      </c>
    </row>
    <row r="151" spans="3:3" hidden="1" outlineLevel="1">
      <c r="C151" t="s">
        <v>633</v>
      </c>
    </row>
    <row r="152" spans="3:3" hidden="1" outlineLevel="1">
      <c r="C152" t="s">
        <v>395</v>
      </c>
    </row>
    <row r="153" spans="3:3" hidden="1" outlineLevel="1">
      <c r="C153" t="s">
        <v>634</v>
      </c>
    </row>
    <row r="154" spans="3:3" hidden="1" outlineLevel="1">
      <c r="C154" t="s">
        <v>635</v>
      </c>
    </row>
    <row r="155" spans="3:3" hidden="1" outlineLevel="1">
      <c r="C155" t="s">
        <v>636</v>
      </c>
    </row>
    <row r="156" spans="3:3" hidden="1" outlineLevel="1">
      <c r="C156" t="s">
        <v>637</v>
      </c>
    </row>
    <row r="157" spans="3:3" hidden="1" outlineLevel="1">
      <c r="C157" t="s">
        <v>638</v>
      </c>
    </row>
    <row r="158" spans="3:3" hidden="1" outlineLevel="1">
      <c r="C158" t="s">
        <v>639</v>
      </c>
    </row>
    <row r="159" spans="3:3" hidden="1" outlineLevel="1"/>
    <row r="160" spans="3:3" hidden="1" outlineLevel="1"/>
    <row r="161" spans="3:12" hidden="1" outlineLevel="1"/>
    <row r="162" spans="3:12" hidden="1" outlineLevel="1"/>
    <row r="163" spans="3:12" hidden="1" outlineLevel="1"/>
    <row r="164" spans="3:12" hidden="1" outlineLevel="1"/>
    <row r="165" spans="3:12" hidden="1" outlineLevel="1"/>
    <row r="166" spans="3:12" hidden="1" outlineLevel="1"/>
    <row r="167" spans="3:12" hidden="1" outlineLevel="1"/>
    <row r="168" spans="3:12" hidden="1" outlineLevel="1"/>
    <row r="169" spans="3:12" collapsed="1"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</sheetData>
  <dataValidations disablePrompts="1" count="4">
    <dataValidation type="list" allowBlank="1" showInputMessage="1" showErrorMessage="1" sqref="P13:Q13" xr:uid="{00000000-0002-0000-0100-000000000000}">
      <formula1>$E$89:$E$92</formula1>
    </dataValidation>
    <dataValidation type="list" allowBlank="1" showInputMessage="1" showErrorMessage="1" sqref="P12:Q12" xr:uid="{00000000-0002-0000-0100-000001000000}">
      <formula1>$D$89:$D$133</formula1>
    </dataValidation>
    <dataValidation type="list" allowBlank="1" showInputMessage="1" showErrorMessage="1" sqref="P11:Q11" xr:uid="{00000000-0002-0000-0100-000002000000}">
      <formula1>$C$89:$C$158</formula1>
    </dataValidation>
    <dataValidation type="list" allowBlank="1" showInputMessage="1" showErrorMessage="1" sqref="P10:Q10" xr:uid="{00000000-0002-0000-0100-000003000000}">
      <formula1>$B$89:$B$99</formula1>
    </dataValidation>
  </dataValidations>
  <pageMargins left="0.7" right="0.7" top="0.75" bottom="0.75" header="0.3" footer="0.3"/>
  <pageSetup orientation="portrait" r:id="rId1"/>
  <ignoredErrors>
    <ignoredError sqref="D55:L55 D57:L57 M54:O61 M64:O64 N63:O63 N62:O62 N65:O6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5"/>
  <sheetData>
    <row r="1" spans="1:4">
      <c r="A1">
        <v>4</v>
      </c>
      <c r="B1" t="s">
        <v>213</v>
      </c>
      <c r="C1" t="s">
        <v>214</v>
      </c>
      <c r="D1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theme="6" tint="-0.499984740745262"/>
    <pageSetUpPr fitToPage="1"/>
  </sheetPr>
  <dimension ref="A1:AR660"/>
  <sheetViews>
    <sheetView showGridLines="0" zoomScale="85" zoomScaleNormal="85" workbookViewId="0">
      <pane xSplit="7" ySplit="3" topLeftCell="H4" activePane="bottomRight" state="frozen"/>
      <selection activeCell="L64" sqref="L64"/>
      <selection pane="topRight" activeCell="L64" sqref="L64"/>
      <selection pane="bottomLeft" activeCell="L64" sqref="L64"/>
      <selection pane="bottomRight" activeCell="Z3" sqref="Z3"/>
    </sheetView>
  </sheetViews>
  <sheetFormatPr defaultRowHeight="15" outlineLevelRow="2" outlineLevelCol="1"/>
  <cols>
    <col min="1" max="1" width="23.42578125" style="109" hidden="1" customWidth="1" outlineLevel="1"/>
    <col min="2" max="2" width="15.7109375" style="109" hidden="1" customWidth="1" outlineLevel="1"/>
    <col min="3" max="3" width="1.7109375" style="36" customWidth="1" collapsed="1"/>
    <col min="4" max="4" width="1.7109375" customWidth="1"/>
    <col min="5" max="5" width="15.7109375" customWidth="1"/>
    <col min="6" max="6" width="17.28515625" customWidth="1"/>
    <col min="8" max="14" width="9.140625" hidden="1" customWidth="1" outlineLevel="1"/>
    <col min="15" max="17" width="8.7109375" hidden="1" customWidth="1" outlineLevel="1"/>
    <col min="18" max="19" width="9.140625" hidden="1" customWidth="1" outlineLevel="1"/>
    <col min="20" max="20" width="9" hidden="1" customWidth="1" outlineLevel="1"/>
    <col min="21" max="24" width="9.140625" hidden="1" customWidth="1" outlineLevel="1"/>
    <col min="25" max="25" width="9.140625" collapsed="1"/>
    <col min="26" max="26" width="9.140625" customWidth="1"/>
    <col min="28" max="29" width="9.140625" customWidth="1"/>
    <col min="42" max="42" width="9.140625" customWidth="1"/>
  </cols>
  <sheetData>
    <row r="1" spans="2:43" ht="23.25">
      <c r="C1" s="140"/>
      <c r="D1" s="55"/>
      <c r="E1" s="178">
        <f ca="1">+DCF!C82</f>
        <v>26.628670800449658</v>
      </c>
      <c r="M1" s="56"/>
      <c r="N1" s="56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P1" s="57"/>
    </row>
    <row r="2" spans="2:43" ht="15.75">
      <c r="E2" s="58"/>
      <c r="F2" s="59"/>
      <c r="P2" s="7"/>
      <c r="X2" s="60"/>
      <c r="Y2" s="60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P2" s="61" t="s">
        <v>102</v>
      </c>
      <c r="AQ2" s="62"/>
    </row>
    <row r="3" spans="2:43">
      <c r="C3" s="141"/>
      <c r="D3" s="52"/>
      <c r="E3" s="52"/>
      <c r="F3" s="52"/>
      <c r="G3" s="52"/>
      <c r="H3" s="108">
        <v>2000</v>
      </c>
      <c r="I3" s="52">
        <f>+H3+1</f>
        <v>2001</v>
      </c>
      <c r="J3" s="52">
        <f t="shared" ref="J3:AN3" si="0">+I3+1</f>
        <v>2002</v>
      </c>
      <c r="K3" s="52">
        <f t="shared" si="0"/>
        <v>2003</v>
      </c>
      <c r="L3" s="52">
        <f t="shared" si="0"/>
        <v>2004</v>
      </c>
      <c r="M3" s="52">
        <f t="shared" si="0"/>
        <v>2005</v>
      </c>
      <c r="N3" s="52">
        <f t="shared" si="0"/>
        <v>2006</v>
      </c>
      <c r="O3" s="52">
        <f t="shared" si="0"/>
        <v>2007</v>
      </c>
      <c r="P3" s="52">
        <f t="shared" si="0"/>
        <v>2008</v>
      </c>
      <c r="Q3" s="52">
        <f t="shared" si="0"/>
        <v>2009</v>
      </c>
      <c r="R3" s="52">
        <f t="shared" si="0"/>
        <v>2010</v>
      </c>
      <c r="S3" s="52">
        <f t="shared" si="0"/>
        <v>2011</v>
      </c>
      <c r="T3" s="52">
        <f t="shared" si="0"/>
        <v>2012</v>
      </c>
      <c r="U3" s="52">
        <f t="shared" si="0"/>
        <v>2013</v>
      </c>
      <c r="V3" s="52">
        <f t="shared" si="0"/>
        <v>2014</v>
      </c>
      <c r="W3" s="52">
        <f t="shared" si="0"/>
        <v>2015</v>
      </c>
      <c r="X3" s="52">
        <f t="shared" si="0"/>
        <v>2016</v>
      </c>
      <c r="Y3" s="52">
        <f t="shared" si="0"/>
        <v>2017</v>
      </c>
      <c r="Z3" s="52">
        <f t="shared" si="0"/>
        <v>2018</v>
      </c>
      <c r="AA3" s="52">
        <f t="shared" si="0"/>
        <v>2019</v>
      </c>
      <c r="AB3" s="52">
        <f t="shared" si="0"/>
        <v>2020</v>
      </c>
      <c r="AC3" s="52">
        <f t="shared" si="0"/>
        <v>2021</v>
      </c>
      <c r="AD3" s="52">
        <f t="shared" si="0"/>
        <v>2022</v>
      </c>
      <c r="AE3" s="52">
        <f t="shared" si="0"/>
        <v>2023</v>
      </c>
      <c r="AF3" s="52">
        <f t="shared" si="0"/>
        <v>2024</v>
      </c>
      <c r="AG3" s="52">
        <f t="shared" si="0"/>
        <v>2025</v>
      </c>
      <c r="AH3" s="52">
        <f t="shared" si="0"/>
        <v>2026</v>
      </c>
      <c r="AI3" s="52">
        <f t="shared" si="0"/>
        <v>2027</v>
      </c>
      <c r="AJ3" s="52">
        <f t="shared" si="0"/>
        <v>2028</v>
      </c>
      <c r="AK3" s="52">
        <f t="shared" si="0"/>
        <v>2029</v>
      </c>
      <c r="AL3" s="52">
        <f t="shared" si="0"/>
        <v>2030</v>
      </c>
      <c r="AM3" s="52">
        <f t="shared" si="0"/>
        <v>2031</v>
      </c>
      <c r="AN3" s="52">
        <f t="shared" si="0"/>
        <v>2032</v>
      </c>
      <c r="AP3" s="106" t="s">
        <v>551</v>
      </c>
      <c r="AQ3" s="106" t="s">
        <v>470</v>
      </c>
    </row>
    <row r="4" spans="2:43">
      <c r="C4" s="141" t="s">
        <v>188</v>
      </c>
      <c r="D4" s="52" t="s">
        <v>188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</row>
    <row r="5" spans="2:43">
      <c r="D5" s="104"/>
      <c r="E5" s="105" t="s">
        <v>211</v>
      </c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</row>
    <row r="6" spans="2:43" ht="5.0999999999999996" customHeight="1">
      <c r="H6" s="7"/>
      <c r="I6" s="7"/>
      <c r="J6" s="7"/>
      <c r="K6" s="7"/>
      <c r="L6" s="7"/>
      <c r="M6" s="7"/>
      <c r="N6" s="7"/>
      <c r="O6" s="7"/>
      <c r="P6" s="7"/>
      <c r="Q6" s="97"/>
      <c r="R6" s="73"/>
      <c r="S6" s="73"/>
      <c r="T6" s="73"/>
      <c r="U6" s="73"/>
      <c r="V6" s="73"/>
      <c r="W6" s="73"/>
      <c r="X6" s="73"/>
      <c r="Y6" s="73"/>
      <c r="Z6" s="73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7"/>
    </row>
    <row r="7" spans="2:43" outlineLevel="1">
      <c r="B7" s="109" t="s">
        <v>333</v>
      </c>
      <c r="E7" s="83" t="s">
        <v>249</v>
      </c>
      <c r="F7" s="63"/>
      <c r="G7" s="6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25">
        <v>7.5510000000000002</v>
      </c>
      <c r="Z7" s="225" cm="1">
        <f t="array" ref="Z7">INDEX(QRT!$1:$1048576,MATCH(Model!$B7,QRT!$A:$A,0),MATCH(Model!Z$3,QRT!$4:$4,0))+INDEX(QRT!$1:$1048576,MATCH(Model!$B7,QRT!$A:$A,0),MATCH(Model!Z$3,QRT!$4:$4,0)+1)+INDEX(QRT!$1:$1048576,MATCH(Model!$B7,QRT!$A:$A,0),MATCH(Model!Z$3,QRT!$4:$4,0)+2)+INDEX(QRT!$1:$1048576,MATCH(Model!$B7,QRT!$A:$A,0),MATCH(Model!Z$3,QRT!$4:$4,0)+3)</f>
        <v>72.351500000000001</v>
      </c>
      <c r="AA7" s="225" cm="1">
        <f t="array" ref="AA7">INDEX(QRT!$1:$1048576,MATCH(Model!$B7,QRT!$A:$A,0),MATCH(Model!AA$3,QRT!$4:$4,0))+INDEX(QRT!$1:$1048576,MATCH(Model!$B7,QRT!$A:$A,0),MATCH(Model!AA$3,QRT!$4:$4,0)+1)+INDEX(QRT!$1:$1048576,MATCH(Model!$B7,QRT!$A:$A,0),MATCH(Model!AA$3,QRT!$4:$4,0)+2)+INDEX(QRT!$1:$1048576,MATCH(Model!$B7,QRT!$A:$A,0),MATCH(Model!AA$3,QRT!$4:$4,0)+3)</f>
        <v>148.07599999999999</v>
      </c>
      <c r="AB7" s="225" cm="1">
        <f t="array" ref="AB7">INDEX(QRT!$1:$1048576,MATCH(Model!$B7,QRT!$A:$A,0),MATCH(Model!AB$3,QRT!$4:$4,0))+INDEX(QRT!$1:$1048576,MATCH(Model!$B7,QRT!$A:$A,0),MATCH(Model!AB$3,QRT!$4:$4,0)+1)+INDEX(QRT!$1:$1048576,MATCH(Model!$B7,QRT!$A:$A,0),MATCH(Model!AB$3,QRT!$4:$4,0)+2)+INDEX(QRT!$1:$1048576,MATCH(Model!$B7,QRT!$A:$A,0),MATCH(Model!AB$3,QRT!$4:$4,0)+3)</f>
        <v>198.56700000000001</v>
      </c>
      <c r="AC7" s="69" cm="1">
        <f t="array" ref="AC7">INDEX(QRT!$1:$1048576,MATCH(Model!$B7,QRT!$A:$A,0),MATCH(Model!AC$3,QRT!$4:$4,0))+INDEX(QRT!$1:$1048576,MATCH(Model!$B7,QRT!$A:$A,0),MATCH(Model!AC$3,QRT!$4:$4,0)+1)+INDEX(QRT!$1:$1048576,MATCH(Model!$B7,QRT!$A:$A,0),MATCH(Model!AC$3,QRT!$4:$4,0)+2)+INDEX(QRT!$1:$1048576,MATCH(Model!$B7,QRT!$A:$A,0),MATCH(Model!AC$3,QRT!$4:$4,0)+3)</f>
        <v>298.72846374946909</v>
      </c>
      <c r="AD7" s="69" cm="1">
        <f t="array" ref="AD7">INDEX(QRT!$1:$1048576,MATCH(Model!$B7,QRT!$A:$A,0),MATCH(Model!AD$3,QRT!$4:$4,0))+INDEX(QRT!$1:$1048576,MATCH(Model!$B7,QRT!$A:$A,0),MATCH(Model!AD$3,QRT!$4:$4,0)+1)+INDEX(QRT!$1:$1048576,MATCH(Model!$B7,QRT!$A:$A,0),MATCH(Model!AD$3,QRT!$4:$4,0)+2)+INDEX(QRT!$1:$1048576,MATCH(Model!$B7,QRT!$A:$A,0),MATCH(Model!AD$3,QRT!$4:$4,0)+3)</f>
        <v>435.60665112317292</v>
      </c>
      <c r="AE7" s="69" cm="1">
        <f t="array" ref="AE7">INDEX(QRT!$1:$1048576,MATCH(Model!$B7,QRT!$A:$A,0),MATCH(Model!AE$3,QRT!$4:$4,0))+INDEX(QRT!$1:$1048576,MATCH(Model!$B7,QRT!$A:$A,0),MATCH(Model!AE$3,QRT!$4:$4,0)+1)+INDEX(QRT!$1:$1048576,MATCH(Model!$B7,QRT!$A:$A,0),MATCH(Model!AE$3,QRT!$4:$4,0)+2)+INDEX(QRT!$1:$1048576,MATCH(Model!$B7,QRT!$A:$A,0),MATCH(Model!AE$3,QRT!$4:$4,0)+3)</f>
        <v>589.35307560799629</v>
      </c>
      <c r="AF7" s="74">
        <f t="shared" ref="AF7:AN7" si="1">AF9-AF8</f>
        <v>798.49433659490342</v>
      </c>
      <c r="AG7" s="74">
        <f t="shared" si="1"/>
        <v>1048.2990758890792</v>
      </c>
      <c r="AH7" s="74">
        <f t="shared" si="1"/>
        <v>1327.6412962484492</v>
      </c>
      <c r="AI7" s="74">
        <f t="shared" si="1"/>
        <v>1632.7133634705206</v>
      </c>
      <c r="AJ7" s="74">
        <f t="shared" si="1"/>
        <v>1968.75735854298</v>
      </c>
      <c r="AK7" s="74">
        <f t="shared" si="1"/>
        <v>2329.0507321261684</v>
      </c>
      <c r="AL7" s="74">
        <f t="shared" si="1"/>
        <v>2724.6189103889901</v>
      </c>
      <c r="AM7" s="74">
        <f t="shared" si="1"/>
        <v>3153.3244358438533</v>
      </c>
      <c r="AN7" s="74">
        <f t="shared" si="1"/>
        <v>3616.6174870362574</v>
      </c>
      <c r="AO7" s="7"/>
    </row>
    <row r="8" spans="2:43" outlineLevel="1">
      <c r="B8" s="109" t="s">
        <v>332</v>
      </c>
      <c r="E8" s="83" t="s">
        <v>248</v>
      </c>
      <c r="F8" s="63"/>
      <c r="G8" s="6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25">
        <v>45.237000000000002</v>
      </c>
      <c r="Z8" s="225" cm="1">
        <f t="array" ref="Z8">INDEX(QRT!$1:$1048576,MATCH(Model!$B8,QRT!$A:$A,0),MATCH(Model!Z$3,QRT!$4:$4,0))+INDEX(QRT!$1:$1048576,MATCH(Model!$B8,QRT!$A:$A,0),MATCH(Model!Z$3,QRT!$4:$4,0)+1)+INDEX(QRT!$1:$1048576,MATCH(Model!$B8,QRT!$A:$A,0),MATCH(Model!Z$3,QRT!$4:$4,0)+2)+INDEX(QRT!$1:$1048576,MATCH(Model!$B8,QRT!$A:$A,0),MATCH(Model!Z$3,QRT!$4:$4,0)+3)</f>
        <v>386.8415</v>
      </c>
      <c r="AA8" s="225" cm="1">
        <f t="array" ref="AA8">INDEX(QRT!$1:$1048576,MATCH(Model!$B8,QRT!$A:$A,0),MATCH(Model!AA$3,QRT!$4:$4,0))+INDEX(QRT!$1:$1048576,MATCH(Model!$B8,QRT!$A:$A,0),MATCH(Model!AA$3,QRT!$4:$4,0)+1)+INDEX(QRT!$1:$1048576,MATCH(Model!$B8,QRT!$A:$A,0),MATCH(Model!AA$3,QRT!$4:$4,0)+2)+INDEX(QRT!$1:$1048576,MATCH(Model!$B8,QRT!$A:$A,0),MATCH(Model!AA$3,QRT!$4:$4,0)+3)</f>
        <v>539.71900000000005</v>
      </c>
      <c r="AB8" s="225" cm="1">
        <f t="array" ref="AB8">INDEX(QRT!$1:$1048576,MATCH(Model!$B8,QRT!$A:$A,0),MATCH(Model!AB$3,QRT!$4:$4,0))+INDEX(QRT!$1:$1048576,MATCH(Model!$B8,QRT!$A:$A,0),MATCH(Model!AB$3,QRT!$4:$4,0)+1)+INDEX(QRT!$1:$1048576,MATCH(Model!$B8,QRT!$A:$A,0),MATCH(Model!AB$3,QRT!$4:$4,0)+2)+INDEX(QRT!$1:$1048576,MATCH(Model!$B8,QRT!$A:$A,0),MATCH(Model!AB$3,QRT!$4:$4,0)+3)</f>
        <v>750.23199999999997</v>
      </c>
      <c r="AC8" s="69" cm="1">
        <f t="array" ref="AC8">INDEX(QRT!$1:$1048576,MATCH(Model!$B8,QRT!$A:$A,0),MATCH(Model!AC$3,QRT!$4:$4,0))+INDEX(QRT!$1:$1048576,MATCH(Model!$B8,QRT!$A:$A,0),MATCH(Model!AC$3,QRT!$4:$4,0)+1)+INDEX(QRT!$1:$1048576,MATCH(Model!$B8,QRT!$A:$A,0),MATCH(Model!AC$3,QRT!$4:$4,0)+2)+INDEX(QRT!$1:$1048576,MATCH(Model!$B8,QRT!$A:$A,0),MATCH(Model!AC$3,QRT!$4:$4,0)+3)</f>
        <v>1220.4068549978765</v>
      </c>
      <c r="AD8" s="69" cm="1">
        <f t="array" ref="AD8">INDEX(QRT!$1:$1048576,MATCH(Model!$B8,QRT!$A:$A,0),MATCH(Model!AD$3,QRT!$4:$4,0))+INDEX(QRT!$1:$1048576,MATCH(Model!$B8,QRT!$A:$A,0),MATCH(Model!AD$3,QRT!$4:$4,0)+1)+INDEX(QRT!$1:$1048576,MATCH(Model!$B8,QRT!$A:$A,0),MATCH(Model!AD$3,QRT!$4:$4,0)+2)+INDEX(QRT!$1:$1048576,MATCH(Model!$B8,QRT!$A:$A,0),MATCH(Model!AD$3,QRT!$4:$4,0)+3)</f>
        <v>1714.4767358497011</v>
      </c>
      <c r="AE8" s="69" cm="1">
        <f t="array" ref="AE8">INDEX(QRT!$1:$1048576,MATCH(Model!$B8,QRT!$A:$A,0),MATCH(Model!AE$3,QRT!$4:$4,0))+INDEX(QRT!$1:$1048576,MATCH(Model!$B8,QRT!$A:$A,0),MATCH(Model!AE$3,QRT!$4:$4,0)+1)+INDEX(QRT!$1:$1048576,MATCH(Model!$B8,QRT!$A:$A,0),MATCH(Model!AE$3,QRT!$4:$4,0)+2)+INDEX(QRT!$1:$1048576,MATCH(Model!$B8,QRT!$A:$A,0),MATCH(Model!AE$3,QRT!$4:$4,0)+3)</f>
        <v>2263.2735187570452</v>
      </c>
      <c r="AF8" s="74">
        <f t="shared" ref="AF8:AN8" si="2">AF9*(1-AF36)</f>
        <v>2975.1057550588271</v>
      </c>
      <c r="AG8" s="74">
        <f t="shared" si="2"/>
        <v>3791.490218926705</v>
      </c>
      <c r="AH8" s="74">
        <f t="shared" si="2"/>
        <v>4636.6013613540326</v>
      </c>
      <c r="AI8" s="74">
        <f t="shared" si="2"/>
        <v>5509.5102098736315</v>
      </c>
      <c r="AJ8" s="74">
        <f t="shared" si="2"/>
        <v>6387.5929159214484</v>
      </c>
      <c r="AK8" s="74">
        <f t="shared" si="2"/>
        <v>7271.3174235137103</v>
      </c>
      <c r="AL8" s="74">
        <f t="shared" si="2"/>
        <v>8147.7566083636866</v>
      </c>
      <c r="AM8" s="74">
        <f t="shared" si="2"/>
        <v>9040.4985932838772</v>
      </c>
      <c r="AN8" s="74">
        <f t="shared" si="2"/>
        <v>9949.0820026740275</v>
      </c>
      <c r="AO8" s="7"/>
    </row>
    <row r="9" spans="2:43" outlineLevel="1">
      <c r="E9" s="2" t="s">
        <v>334</v>
      </c>
      <c r="F9" s="193"/>
      <c r="G9" s="19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>
        <f t="shared" ref="Y9:AD9" si="3">SUM(Y7:Y8)</f>
        <v>52.788000000000004</v>
      </c>
      <c r="Z9" s="163">
        <f t="shared" si="3"/>
        <v>459.19299999999998</v>
      </c>
      <c r="AA9" s="163">
        <f t="shared" si="3"/>
        <v>687.79500000000007</v>
      </c>
      <c r="AB9" s="163">
        <f t="shared" si="3"/>
        <v>948.79899999999998</v>
      </c>
      <c r="AC9" s="163">
        <f t="shared" si="3"/>
        <v>1519.1353187473455</v>
      </c>
      <c r="AD9" s="163">
        <f t="shared" si="3"/>
        <v>2150.083386972874</v>
      </c>
      <c r="AE9" s="163">
        <f>SUM(AE7:AE8)</f>
        <v>2852.6265943650415</v>
      </c>
      <c r="AF9" s="103">
        <f>AE9*(1+AF28)</f>
        <v>3773.6000916537305</v>
      </c>
      <c r="AG9" s="103">
        <f>AF9*(1+AG28)</f>
        <v>4839.7892948157842</v>
      </c>
      <c r="AH9" s="103">
        <f t="shared" ref="AH9:AN9" si="4">AG9*(1+AH28)</f>
        <v>5964.2426576024818</v>
      </c>
      <c r="AI9" s="103">
        <f t="shared" si="4"/>
        <v>7142.2235733441521</v>
      </c>
      <c r="AJ9" s="103">
        <f t="shared" si="4"/>
        <v>8356.3502744644284</v>
      </c>
      <c r="AK9" s="103">
        <f t="shared" si="4"/>
        <v>9600.3681556398788</v>
      </c>
      <c r="AL9" s="103">
        <f t="shared" si="4"/>
        <v>10872.375518752677</v>
      </c>
      <c r="AM9" s="103">
        <f t="shared" si="4"/>
        <v>12193.82302912773</v>
      </c>
      <c r="AN9" s="103">
        <f t="shared" si="4"/>
        <v>13565.699489710285</v>
      </c>
      <c r="AO9" s="7"/>
      <c r="AP9" s="308">
        <f>(AL9/AC9)^(1/9)-1</f>
        <v>0.24442800458625236</v>
      </c>
    </row>
    <row r="10" spans="2:43" outlineLevel="1">
      <c r="B10" s="109" t="s">
        <v>255</v>
      </c>
      <c r="E10" s="83" t="s">
        <v>255</v>
      </c>
      <c r="F10" s="93"/>
      <c r="G10" s="93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>
        <f>42.136</f>
        <v>42.136000000000003</v>
      </c>
      <c r="Z10" s="225" cm="1">
        <f t="array" ref="Z10">INDEX(QRT!$1:$1048576,MATCH(Model!$B10,QRT!$A:$A,0),MATCH(Model!Z$3,QRT!$4:$4,0))+INDEX(QRT!$1:$1048576,MATCH(Model!$B10,QRT!$A:$A,0),MATCH(Model!Z$3,QRT!$4:$4,0)+1)+INDEX(QRT!$1:$1048576,MATCH(Model!$B10,QRT!$A:$A,0),MATCH(Model!Z$3,QRT!$4:$4,0)+2)+INDEX(QRT!$1:$1048576,MATCH(Model!$B10,QRT!$A:$A,0),MATCH(Model!Z$3,QRT!$4:$4,0)+3)</f>
        <v>367.36799999999999</v>
      </c>
      <c r="AA10" s="225" cm="1">
        <f t="array" ref="AA10">INDEX(QRT!$1:$1048576,MATCH(Model!$B10,QRT!$A:$A,0),MATCH(Model!AA$3,QRT!$4:$4,0))+INDEX(QRT!$1:$1048576,MATCH(Model!$B10,QRT!$A:$A,0),MATCH(Model!AA$3,QRT!$4:$4,0)+1)+INDEX(QRT!$1:$1048576,MATCH(Model!$B10,QRT!$A:$A,0),MATCH(Model!AA$3,QRT!$4:$4,0)+2)+INDEX(QRT!$1:$1048576,MATCH(Model!$B10,QRT!$A:$A,0),MATCH(Model!AA$3,QRT!$4:$4,0)+3)</f>
        <v>521.38099999999997</v>
      </c>
      <c r="AB10" s="225" cm="1">
        <f t="array" ref="AB10">INDEX(QRT!$1:$1048576,MATCH(Model!$B10,QRT!$A:$A,0),MATCH(Model!AB$3,QRT!$4:$4,0))+INDEX(QRT!$1:$1048576,MATCH(Model!$B10,QRT!$A:$A,0),MATCH(Model!AB$3,QRT!$4:$4,0)+1)+INDEX(QRT!$1:$1048576,MATCH(Model!$B10,QRT!$A:$A,0),MATCH(Model!AB$3,QRT!$4:$4,0)+2)+INDEX(QRT!$1:$1048576,MATCH(Model!$B10,QRT!$A:$A,0),MATCH(Model!AB$3,QRT!$4:$4,0)+3)</f>
        <v>710.21</v>
      </c>
      <c r="AC10" s="69" cm="1">
        <f t="array" ref="AC10">INDEX(QRT!$1:$1048576,MATCH(Model!$B10,QRT!$A:$A,0),MATCH(Model!AC$3,QRT!$4:$4,0))+INDEX(QRT!$1:$1048576,MATCH(Model!$B10,QRT!$A:$A,0),MATCH(Model!AC$3,QRT!$4:$4,0)+1)+INDEX(QRT!$1:$1048576,MATCH(Model!$B10,QRT!$A:$A,0),MATCH(Model!AC$3,QRT!$4:$4,0)+2)+INDEX(QRT!$1:$1048576,MATCH(Model!$B10,QRT!$A:$A,0),MATCH(Model!AC$3,QRT!$4:$4,0)+3)</f>
        <v>1173.4245545240296</v>
      </c>
      <c r="AD10" s="69" cm="1">
        <f t="array" ref="AD10">INDEX(QRT!$1:$1048576,MATCH(Model!$B10,QRT!$A:$A,0),MATCH(Model!AD$3,QRT!$4:$4,0))+INDEX(QRT!$1:$1048576,MATCH(Model!$B10,QRT!$A:$A,0),MATCH(Model!AD$3,QRT!$4:$4,0)+1)+INDEX(QRT!$1:$1048576,MATCH(Model!$B10,QRT!$A:$A,0),MATCH(Model!AD$3,QRT!$4:$4,0)+2)+INDEX(QRT!$1:$1048576,MATCH(Model!$B10,QRT!$A:$A,0),MATCH(Model!AD$3,QRT!$4:$4,0)+3)</f>
        <v>1652.2468450905221</v>
      </c>
      <c r="AE10" s="69" cm="1">
        <f t="array" ref="AE10">INDEX(QRT!$1:$1048576,MATCH(Model!$B10,QRT!$A:$A,0),MATCH(Model!AE$3,QRT!$4:$4,0))+INDEX(QRT!$1:$1048576,MATCH(Model!$B10,QRT!$A:$A,0),MATCH(Model!AE$3,QRT!$4:$4,0)+1)+INDEX(QRT!$1:$1048576,MATCH(Model!$B10,QRT!$A:$A,0),MATCH(Model!AE$3,QRT!$4:$4,0)+2)+INDEX(QRT!$1:$1048576,MATCH(Model!$B10,QRT!$A:$A,0),MATCH(Model!AE$3,QRT!$4:$4,0)+3)</f>
        <v>2182.4215985432274</v>
      </c>
      <c r="AF10" s="74">
        <f>AF9-AF11</f>
        <v>2878.5281075903181</v>
      </c>
      <c r="AG10" s="74">
        <f t="shared" ref="AG10:AN10" si="5">AG9-AG11</f>
        <v>3680.9350399051045</v>
      </c>
      <c r="AH10" s="74">
        <f t="shared" si="5"/>
        <v>4522.726233834007</v>
      </c>
      <c r="AI10" s="74">
        <f t="shared" si="5"/>
        <v>5399.9272622449889</v>
      </c>
      <c r="AJ10" s="74">
        <f t="shared" si="5"/>
        <v>6299.0743181915896</v>
      </c>
      <c r="AK10" s="74">
        <f t="shared" si="5"/>
        <v>7215.2227259677693</v>
      </c>
      <c r="AL10" s="74">
        <f t="shared" si="5"/>
        <v>8146.7457646271496</v>
      </c>
      <c r="AM10" s="74">
        <f t="shared" si="5"/>
        <v>9109.4793722515351</v>
      </c>
      <c r="AN10" s="74">
        <f t="shared" si="5"/>
        <v>10103.826295082257</v>
      </c>
      <c r="AO10" s="7"/>
    </row>
    <row r="11" spans="2:43" outlineLevel="1">
      <c r="E11" s="2" t="s">
        <v>335</v>
      </c>
      <c r="F11" s="193"/>
      <c r="G11" s="19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>
        <f t="shared" ref="Y11:AE11" si="6">Y9-Y10</f>
        <v>10.652000000000001</v>
      </c>
      <c r="Z11" s="163">
        <f t="shared" si="6"/>
        <v>91.824999999999989</v>
      </c>
      <c r="AA11" s="163">
        <f t="shared" si="6"/>
        <v>166.4140000000001</v>
      </c>
      <c r="AB11" s="163">
        <f t="shared" si="6"/>
        <v>238.58899999999994</v>
      </c>
      <c r="AC11" s="163">
        <f t="shared" si="6"/>
        <v>345.71076422331589</v>
      </c>
      <c r="AD11" s="163">
        <f t="shared" si="6"/>
        <v>497.83654188235187</v>
      </c>
      <c r="AE11" s="163">
        <f t="shared" si="6"/>
        <v>670.20499582181401</v>
      </c>
      <c r="AF11" s="103">
        <f>AF9*AF38</f>
        <v>895.07198406341229</v>
      </c>
      <c r="AG11" s="103">
        <f t="shared" ref="AG11:AN11" si="7">AG9*AG38</f>
        <v>1158.8542549106794</v>
      </c>
      <c r="AH11" s="103">
        <f t="shared" si="7"/>
        <v>1441.5164237684749</v>
      </c>
      <c r="AI11" s="103">
        <f t="shared" si="7"/>
        <v>1742.2963110991632</v>
      </c>
      <c r="AJ11" s="103">
        <f t="shared" si="7"/>
        <v>2057.2759562728393</v>
      </c>
      <c r="AK11" s="103">
        <f t="shared" si="7"/>
        <v>2385.1454296721099</v>
      </c>
      <c r="AL11" s="103">
        <f t="shared" si="7"/>
        <v>2725.6297541255271</v>
      </c>
      <c r="AM11" s="103">
        <f t="shared" si="7"/>
        <v>3084.3436568761958</v>
      </c>
      <c r="AN11" s="103">
        <f t="shared" si="7"/>
        <v>3461.8731946280282</v>
      </c>
      <c r="AO11" s="7"/>
    </row>
    <row r="12" spans="2:43" outlineLevel="1">
      <c r="B12" s="109" t="s">
        <v>220</v>
      </c>
      <c r="E12" s="227" t="s">
        <v>220</v>
      </c>
      <c r="F12" s="63"/>
      <c r="G12" s="63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>
        <v>10.859</v>
      </c>
      <c r="Z12" s="225" cm="1">
        <f t="array" ref="Z12">INDEX(QRT!$1:$1048576,MATCH(Model!$B12,QRT!$A:$A,0),MATCH(Model!Z$3,QRT!$4:$4,0))+INDEX(QRT!$1:$1048576,MATCH(Model!$B12,QRT!$A:$A,0),MATCH(Model!Z$3,QRT!$4:$4,0)+1)+INDEX(QRT!$1:$1048576,MATCH(Model!$B12,QRT!$A:$A,0),MATCH(Model!Z$3,QRT!$4:$4,0)+2)+INDEX(QRT!$1:$1048576,MATCH(Model!$B12,QRT!$A:$A,0),MATCH(Model!Z$3,QRT!$4:$4,0)+3)</f>
        <v>75.655000000000001</v>
      </c>
      <c r="AA12" s="225" cm="1">
        <f t="array" ref="AA12">INDEX(QRT!$1:$1048576,MATCH(Model!$B12,QRT!$A:$A,0),MATCH(Model!AA$3,QRT!$4:$4,0))+INDEX(QRT!$1:$1048576,MATCH(Model!$B12,QRT!$A:$A,0),MATCH(Model!AA$3,QRT!$4:$4,0)+1)+INDEX(QRT!$1:$1048576,MATCH(Model!$B12,QRT!$A:$A,0),MATCH(Model!AA$3,QRT!$4:$4,0)+2)+INDEX(QRT!$1:$1048576,MATCH(Model!$B12,QRT!$A:$A,0),MATCH(Model!AA$3,QRT!$4:$4,0)+3)</f>
        <v>133.899</v>
      </c>
      <c r="AB12" s="225" cm="1">
        <f t="array" ref="AB12">INDEX(QRT!$1:$1048576,MATCH(Model!$B12,QRT!$A:$A,0),MATCH(Model!AB$3,QRT!$4:$4,0))+INDEX(QRT!$1:$1048576,MATCH(Model!$B12,QRT!$A:$A,0),MATCH(Model!AB$3,QRT!$4:$4,0)+1)+INDEX(QRT!$1:$1048576,MATCH(Model!$B12,QRT!$A:$A,0),MATCH(Model!AB$3,QRT!$4:$4,0)+2)+INDEX(QRT!$1:$1048576,MATCH(Model!$B12,QRT!$A:$A,0),MATCH(Model!AB$3,QRT!$4:$4,0)+3)</f>
        <v>177.697</v>
      </c>
      <c r="AC12" s="69" cm="1">
        <f t="array" ref="AC12">INDEX(QRT!$1:$1048576,MATCH(Model!$B12,QRT!$A:$A,0),MATCH(Model!AC$3,QRT!$4:$4,0))+INDEX(QRT!$1:$1048576,MATCH(Model!$B12,QRT!$A:$A,0),MATCH(Model!AC$3,QRT!$4:$4,0)+1)+INDEX(QRT!$1:$1048576,MATCH(Model!$B12,QRT!$A:$A,0),MATCH(Model!AC$3,QRT!$4:$4,0)+2)+INDEX(QRT!$1:$1048576,MATCH(Model!$B12,QRT!$A:$A,0),MATCH(Model!AC$3,QRT!$4:$4,0)+3)</f>
        <v>261.40653078078549</v>
      </c>
      <c r="AD12" s="69" cm="1">
        <f t="array" ref="AD12">INDEX(QRT!$1:$1048576,MATCH(Model!$B12,QRT!$A:$A,0),MATCH(Model!AD$3,QRT!$4:$4,0))+INDEX(QRT!$1:$1048576,MATCH(Model!$B12,QRT!$A:$A,0),MATCH(Model!AD$3,QRT!$4:$4,0)+1)+INDEX(QRT!$1:$1048576,MATCH(Model!$B12,QRT!$A:$A,0),MATCH(Model!AD$3,QRT!$4:$4,0)+2)+INDEX(QRT!$1:$1048576,MATCH(Model!$B12,QRT!$A:$A,0),MATCH(Model!AD$3,QRT!$4:$4,0)+3)</f>
        <v>364.13821964873841</v>
      </c>
      <c r="AE12" s="69" cm="1">
        <f t="array" ref="AE12">INDEX(QRT!$1:$1048576,MATCH(Model!$B12,QRT!$A:$A,0),MATCH(Model!AE$3,QRT!$4:$4,0))+INDEX(QRT!$1:$1048576,MATCH(Model!$B12,QRT!$A:$A,0),MATCH(Model!AE$3,QRT!$4:$4,0)+1)+INDEX(QRT!$1:$1048576,MATCH(Model!$B12,QRT!$A:$A,0),MATCH(Model!AE$3,QRT!$4:$4,0)+2)+INDEX(QRT!$1:$1048576,MATCH(Model!$B12,QRT!$A:$A,0),MATCH(Model!AE$3,QRT!$4:$4,0)+3)</f>
        <v>478.55646898580767</v>
      </c>
      <c r="AF12" s="74">
        <f>AF9*AF40</f>
        <v>621.73812822047887</v>
      </c>
      <c r="AG12" s="74">
        <f t="shared" ref="AG12:AN12" si="8">AG9*AG40</f>
        <v>782.88403047660859</v>
      </c>
      <c r="AH12" s="74">
        <f t="shared" si="8"/>
        <v>946.8828120545146</v>
      </c>
      <c r="AI12" s="74">
        <f t="shared" si="8"/>
        <v>1112.4723219424654</v>
      </c>
      <c r="AJ12" s="74">
        <f t="shared" si="8"/>
        <v>1284.8719246499859</v>
      </c>
      <c r="AK12" s="74">
        <f t="shared" si="8"/>
        <v>1456.9513042727335</v>
      </c>
      <c r="AL12" s="74">
        <f t="shared" si="8"/>
        <v>1633.6825032919485</v>
      </c>
      <c r="AM12" s="74">
        <f t="shared" si="8"/>
        <v>1813.9523936084713</v>
      </c>
      <c r="AN12" s="74">
        <f t="shared" si="8"/>
        <v>2004.4669553677925</v>
      </c>
      <c r="AO12" s="7"/>
    </row>
    <row r="13" spans="2:43" outlineLevel="1">
      <c r="B13" s="109" t="s">
        <v>251</v>
      </c>
      <c r="E13" s="227" t="s">
        <v>251</v>
      </c>
      <c r="F13" s="63"/>
      <c r="G13" s="63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>
        <v>0.78300000000000003</v>
      </c>
      <c r="Z13" s="225" cm="1">
        <f t="array" ref="Z13">INDEX(QRT!$1:$1048576,MATCH(Model!$B13,QRT!$A:$A,0),MATCH(Model!Z$3,QRT!$4:$4,0))+INDEX(QRT!$1:$1048576,MATCH(Model!$B13,QRT!$A:$A,0),MATCH(Model!Z$3,QRT!$4:$4,0)+1)+INDEX(QRT!$1:$1048576,MATCH(Model!$B13,QRT!$A:$A,0),MATCH(Model!Z$3,QRT!$4:$4,0)+2)+INDEX(QRT!$1:$1048576,MATCH(Model!$B13,QRT!$A:$A,0),MATCH(Model!Z$3,QRT!$4:$4,0)+3)</f>
        <v>6.9560000000000004</v>
      </c>
      <c r="AA13" s="225" cm="1">
        <f t="array" ref="AA13">INDEX(QRT!$1:$1048576,MATCH(Model!$B13,QRT!$A:$A,0),MATCH(Model!AA$3,QRT!$4:$4,0))+INDEX(QRT!$1:$1048576,MATCH(Model!$B13,QRT!$A:$A,0),MATCH(Model!AA$3,QRT!$4:$4,0)+1)+INDEX(QRT!$1:$1048576,MATCH(Model!$B13,QRT!$A:$A,0),MATCH(Model!AA$3,QRT!$4:$4,0)+2)+INDEX(QRT!$1:$1048576,MATCH(Model!$B13,QRT!$A:$A,0),MATCH(Model!AA$3,QRT!$4:$4,0)+3)</f>
        <v>17.887</v>
      </c>
      <c r="AB13" s="225" cm="1">
        <f t="array" ref="AB13">INDEX(QRT!$1:$1048576,MATCH(Model!$B13,QRT!$A:$A,0),MATCH(Model!AB$3,QRT!$4:$4,0))+INDEX(QRT!$1:$1048576,MATCH(Model!$B13,QRT!$A:$A,0),MATCH(Model!AB$3,QRT!$4:$4,0)+1)+INDEX(QRT!$1:$1048576,MATCH(Model!$B13,QRT!$A:$A,0),MATCH(Model!AB$3,QRT!$4:$4,0)+2)+INDEX(QRT!$1:$1048576,MATCH(Model!$B13,QRT!$A:$A,0),MATCH(Model!AB$3,QRT!$4:$4,0)+3)</f>
        <v>27.048999999999999</v>
      </c>
      <c r="AC13" s="69" cm="1">
        <f t="array" ref="AC13">INDEX(QRT!$1:$1048576,MATCH(Model!$B13,QRT!$A:$A,0),MATCH(Model!AC$3,QRT!$4:$4,0))+INDEX(QRT!$1:$1048576,MATCH(Model!$B13,QRT!$A:$A,0),MATCH(Model!AC$3,QRT!$4:$4,0)+1)+INDEX(QRT!$1:$1048576,MATCH(Model!$B13,QRT!$A:$A,0),MATCH(Model!AC$3,QRT!$4:$4,0)+2)+INDEX(QRT!$1:$1048576,MATCH(Model!$B13,QRT!$A:$A,0),MATCH(Model!AC$3,QRT!$4:$4,0)+3)</f>
        <v>39.047674213139622</v>
      </c>
      <c r="AD13" s="69" cm="1">
        <f t="array" ref="AD13">INDEX(QRT!$1:$1048576,MATCH(Model!$B13,QRT!$A:$A,0),MATCH(Model!AD$3,QRT!$4:$4,0))+INDEX(QRT!$1:$1048576,MATCH(Model!$B13,QRT!$A:$A,0),MATCH(Model!AD$3,QRT!$4:$4,0)+1)+INDEX(QRT!$1:$1048576,MATCH(Model!$B13,QRT!$A:$A,0),MATCH(Model!AD$3,QRT!$4:$4,0)+2)+INDEX(QRT!$1:$1048576,MATCH(Model!$B13,QRT!$A:$A,0),MATCH(Model!AD$3,QRT!$4:$4,0)+3)</f>
        <v>56.864641919936297</v>
      </c>
      <c r="AE13" s="69" cm="1">
        <f t="array" ref="AE13">INDEX(QRT!$1:$1048576,MATCH(Model!$B13,QRT!$A:$A,0),MATCH(Model!AE$3,QRT!$4:$4,0))+INDEX(QRT!$1:$1048576,MATCH(Model!$B13,QRT!$A:$A,0),MATCH(Model!AE$3,QRT!$4:$4,0)+1)+INDEX(QRT!$1:$1048576,MATCH(Model!$B13,QRT!$A:$A,0),MATCH(Model!AE$3,QRT!$4:$4,0)+2)+INDEX(QRT!$1:$1048576,MATCH(Model!$B13,QRT!$A:$A,0),MATCH(Model!AE$3,QRT!$4:$4,0)+3)</f>
        <v>74.41727884721729</v>
      </c>
      <c r="AF13" s="74">
        <f ca="1">AF230</f>
        <v>84.031859921818494</v>
      </c>
      <c r="AG13" s="74">
        <f t="shared" ref="AG13:AN13" ca="1" si="9">AG230</f>
        <v>108.03696292580806</v>
      </c>
      <c r="AH13" s="74">
        <f t="shared" ca="1" si="9"/>
        <v>138.87297068462817</v>
      </c>
      <c r="AI13" s="74">
        <f t="shared" ca="1" si="9"/>
        <v>170.94654232694222</v>
      </c>
      <c r="AJ13" s="74">
        <f t="shared" ca="1" si="9"/>
        <v>204.44358408917316</v>
      </c>
      <c r="AK13" s="74">
        <f t="shared" ca="1" si="9"/>
        <v>238.93052641070821</v>
      </c>
      <c r="AL13" s="74">
        <f t="shared" ca="1" si="9"/>
        <v>274.57228296655109</v>
      </c>
      <c r="AM13" s="74">
        <f t="shared" ca="1" si="9"/>
        <v>311.54121627014371</v>
      </c>
      <c r="AN13" s="74">
        <f t="shared" ca="1" si="9"/>
        <v>350.09517535766702</v>
      </c>
      <c r="AO13" s="7"/>
    </row>
    <row r="14" spans="2:43" outlineLevel="1">
      <c r="B14" s="109" t="s">
        <v>253</v>
      </c>
      <c r="E14" s="227" t="s">
        <v>253</v>
      </c>
      <c r="F14" s="63"/>
      <c r="G14" s="63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>
        <v>0.109</v>
      </c>
      <c r="Z14" s="225" cm="1">
        <f t="array" ref="Z14">INDEX(QRT!$1:$1048576,MATCH(Model!$B14,QRT!$A:$A,0),MATCH(Model!Z$3,QRT!$4:$4,0))+INDEX(QRT!$1:$1048576,MATCH(Model!$B14,QRT!$A:$A,0),MATCH(Model!Z$3,QRT!$4:$4,0)+1)+INDEX(QRT!$1:$1048576,MATCH(Model!$B14,QRT!$A:$A,0),MATCH(Model!Z$3,QRT!$4:$4,0)+2)+INDEX(QRT!$1:$1048576,MATCH(Model!$B14,QRT!$A:$A,0),MATCH(Model!Z$3,QRT!$4:$4,0)+3)</f>
        <v>-0.22400000000000003</v>
      </c>
      <c r="AA14" s="225" cm="1">
        <f t="array" ref="AA14">INDEX(QRT!$1:$1048576,MATCH(Model!$B14,QRT!$A:$A,0),MATCH(Model!AA$3,QRT!$4:$4,0))+INDEX(QRT!$1:$1048576,MATCH(Model!$B14,QRT!$A:$A,0),MATCH(Model!AA$3,QRT!$4:$4,0)+1)+INDEX(QRT!$1:$1048576,MATCH(Model!$B14,QRT!$A:$A,0),MATCH(Model!AA$3,QRT!$4:$4,0)+2)+INDEX(QRT!$1:$1048576,MATCH(Model!$B14,QRT!$A:$A,0),MATCH(Model!AA$3,QRT!$4:$4,0)+3)</f>
        <v>0.71899999999999997</v>
      </c>
      <c r="AB14" s="225" cm="1">
        <f t="array" ref="AB14">INDEX(QRT!$1:$1048576,MATCH(Model!$B14,QRT!$A:$A,0),MATCH(Model!AB$3,QRT!$4:$4,0))+INDEX(QRT!$1:$1048576,MATCH(Model!$B14,QRT!$A:$A,0),MATCH(Model!AB$3,QRT!$4:$4,0)+1)+INDEX(QRT!$1:$1048576,MATCH(Model!$B14,QRT!$A:$A,0),MATCH(Model!AB$3,QRT!$4:$4,0)+2)+INDEX(QRT!$1:$1048576,MATCH(Model!$B14,QRT!$A:$A,0),MATCH(Model!AB$3,QRT!$4:$4,0)+3)</f>
        <v>1.609</v>
      </c>
      <c r="AC14" s="69" cm="1">
        <f t="array" ref="AC14">INDEX(QRT!$1:$1048576,MATCH(Model!$B14,QRT!$A:$A,0),MATCH(Model!AC$3,QRT!$4:$4,0))+INDEX(QRT!$1:$1048576,MATCH(Model!$B14,QRT!$A:$A,0),MATCH(Model!AC$3,QRT!$4:$4,0)+1)+INDEX(QRT!$1:$1048576,MATCH(Model!$B14,QRT!$A:$A,0),MATCH(Model!AC$3,QRT!$4:$4,0)+2)+INDEX(QRT!$1:$1048576,MATCH(Model!$B14,QRT!$A:$A,0),MATCH(Model!AC$3,QRT!$4:$4,0)+3)</f>
        <v>-5.4849999999999994</v>
      </c>
      <c r="AD14" s="69" cm="1">
        <f t="array" ref="AD14">INDEX(QRT!$1:$1048576,MATCH(Model!$B14,QRT!$A:$A,0),MATCH(Model!AD$3,QRT!$4:$4,0))+INDEX(QRT!$1:$1048576,MATCH(Model!$B14,QRT!$A:$A,0),MATCH(Model!AD$3,QRT!$4:$4,0)+1)+INDEX(QRT!$1:$1048576,MATCH(Model!$B14,QRT!$A:$A,0),MATCH(Model!AD$3,QRT!$4:$4,0)+2)+INDEX(QRT!$1:$1048576,MATCH(Model!$B14,QRT!$A:$A,0),MATCH(Model!AD$3,QRT!$4:$4,0)+3)</f>
        <v>0</v>
      </c>
      <c r="AE14" s="69" cm="1">
        <f t="array" ref="AE14">INDEX(QRT!$1:$1048576,MATCH(Model!$B14,QRT!$A:$A,0),MATCH(Model!AE$3,QRT!$4:$4,0))+INDEX(QRT!$1:$1048576,MATCH(Model!$B14,QRT!$A:$A,0),MATCH(Model!AE$3,QRT!$4:$4,0)+1)+INDEX(QRT!$1:$1048576,MATCH(Model!$B14,QRT!$A:$A,0),MATCH(Model!AE$3,QRT!$4:$4,0)+2)+INDEX(QRT!$1:$1048576,MATCH(Model!$B14,QRT!$A:$A,0),MATCH(Model!AE$3,QRT!$4:$4,0)+3)</f>
        <v>0</v>
      </c>
      <c r="AF14" s="74">
        <f>AF9*AF41</f>
        <v>0</v>
      </c>
      <c r="AG14" s="74">
        <f t="shared" ref="AG14:AN14" si="10">AG9*AG41</f>
        <v>0</v>
      </c>
      <c r="AH14" s="74">
        <f t="shared" si="10"/>
        <v>0</v>
      </c>
      <c r="AI14" s="74">
        <f t="shared" si="10"/>
        <v>0</v>
      </c>
      <c r="AJ14" s="74">
        <f t="shared" si="10"/>
        <v>0</v>
      </c>
      <c r="AK14" s="74">
        <f t="shared" si="10"/>
        <v>0</v>
      </c>
      <c r="AL14" s="74">
        <f t="shared" si="10"/>
        <v>0</v>
      </c>
      <c r="AM14" s="74">
        <f t="shared" si="10"/>
        <v>0</v>
      </c>
      <c r="AN14" s="74">
        <f t="shared" si="10"/>
        <v>0</v>
      </c>
      <c r="AO14" s="7"/>
    </row>
    <row r="15" spans="2:43" outlineLevel="1">
      <c r="E15" s="2" t="s">
        <v>218</v>
      </c>
      <c r="F15" s="193"/>
      <c r="G15" s="19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>
        <f t="shared" ref="Y15:AN15" si="11">Y11-SUM(Y12:Y14)</f>
        <v>-1.0989999999999984</v>
      </c>
      <c r="Z15" s="163">
        <f t="shared" si="11"/>
        <v>9.4379999999999882</v>
      </c>
      <c r="AA15" s="163">
        <f t="shared" si="11"/>
        <v>13.909000000000106</v>
      </c>
      <c r="AB15" s="163">
        <f>AB11-SUM(AB12:AB14)</f>
        <v>32.233999999999924</v>
      </c>
      <c r="AC15" s="163">
        <f t="shared" si="11"/>
        <v>50.741559229390816</v>
      </c>
      <c r="AD15" s="163">
        <f t="shared" si="11"/>
        <v>76.833680313677178</v>
      </c>
      <c r="AE15" s="163">
        <f t="shared" si="11"/>
        <v>117.23124798878905</v>
      </c>
      <c r="AF15" s="163">
        <f t="shared" ca="1" si="11"/>
        <v>189.30199592111489</v>
      </c>
      <c r="AG15" s="163">
        <f t="shared" ca="1" si="11"/>
        <v>267.93326150826272</v>
      </c>
      <c r="AH15" s="163">
        <f t="shared" ca="1" si="11"/>
        <v>355.76064102933196</v>
      </c>
      <c r="AI15" s="163">
        <f t="shared" ca="1" si="11"/>
        <v>458.87744682975563</v>
      </c>
      <c r="AJ15" s="163">
        <f t="shared" ca="1" si="11"/>
        <v>567.96044753368028</v>
      </c>
      <c r="AK15" s="163">
        <f t="shared" ca="1" si="11"/>
        <v>689.26359898866826</v>
      </c>
      <c r="AL15" s="163">
        <f t="shared" ca="1" si="11"/>
        <v>817.37496786702764</v>
      </c>
      <c r="AM15" s="163">
        <f t="shared" ca="1" si="11"/>
        <v>958.85004699758065</v>
      </c>
      <c r="AN15" s="163">
        <f t="shared" ca="1" si="11"/>
        <v>1107.3110639025685</v>
      </c>
      <c r="AO15" s="7"/>
    </row>
    <row r="16" spans="2:43" outlineLevel="1">
      <c r="B16" s="109" t="s">
        <v>252</v>
      </c>
      <c r="E16" s="227" t="s">
        <v>252</v>
      </c>
      <c r="F16" s="63"/>
      <c r="G16" s="63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>
        <f>1.472+0.315</f>
        <v>1.7869999999999999</v>
      </c>
      <c r="Z16" s="225" cm="1">
        <f t="array" ref="Z16">INDEX(QRT!$1:$1048576,MATCH(Model!$B16,QRT!$A:$A,0),MATCH(Model!Z$3,QRT!$4:$4,0))+INDEX(QRT!$1:$1048576,MATCH(Model!$B16,QRT!$A:$A,0),MATCH(Model!Z$3,QRT!$4:$4,0)+1)+INDEX(QRT!$1:$1048576,MATCH(Model!$B16,QRT!$A:$A,0),MATCH(Model!Z$3,QRT!$4:$4,0)+2)+INDEX(QRT!$1:$1048576,MATCH(Model!$B16,QRT!$A:$A,0),MATCH(Model!Z$3,QRT!$4:$4,0)+3)</f>
        <v>17.477</v>
      </c>
      <c r="AA16" s="225" cm="1">
        <f t="array" ref="AA16">INDEX(QRT!$1:$1048576,MATCH(Model!$B16,QRT!$A:$A,0),MATCH(Model!AA$3,QRT!$4:$4,0))+INDEX(QRT!$1:$1048576,MATCH(Model!$B16,QRT!$A:$A,0),MATCH(Model!AA$3,QRT!$4:$4,0)+1)+INDEX(QRT!$1:$1048576,MATCH(Model!$B16,QRT!$A:$A,0),MATCH(Model!AA$3,QRT!$4:$4,0)+2)+INDEX(QRT!$1:$1048576,MATCH(Model!$B16,QRT!$A:$A,0),MATCH(Model!AA$3,QRT!$4:$4,0)+3)</f>
        <v>10.64</v>
      </c>
      <c r="AB16" s="225" cm="1">
        <f t="array" ref="AB16">INDEX(QRT!$1:$1048576,MATCH(Model!$B16,QRT!$A:$A,0),MATCH(Model!AB$3,QRT!$4:$4,0))+INDEX(QRT!$1:$1048576,MATCH(Model!$B16,QRT!$A:$A,0),MATCH(Model!AB$3,QRT!$4:$4,0)+1)+INDEX(QRT!$1:$1048576,MATCH(Model!$B16,QRT!$A:$A,0),MATCH(Model!AB$3,QRT!$4:$4,0)+2)+INDEX(QRT!$1:$1048576,MATCH(Model!$B16,QRT!$A:$A,0),MATCH(Model!AB$3,QRT!$4:$4,0)+3)</f>
        <v>15.063000000000001</v>
      </c>
      <c r="AC16" s="69" cm="1">
        <f t="array" ref="AC16">INDEX(QRT!$1:$1048576,MATCH(Model!$B16,QRT!$A:$A,0),MATCH(Model!AC$3,QRT!$4:$4,0))+INDEX(QRT!$1:$1048576,MATCH(Model!$B16,QRT!$A:$A,0),MATCH(Model!AC$3,QRT!$4:$4,0)+1)+INDEX(QRT!$1:$1048576,MATCH(Model!$B16,QRT!$A:$A,0),MATCH(Model!AC$3,QRT!$4:$4,0)+2)+INDEX(QRT!$1:$1048576,MATCH(Model!$B16,QRT!$A:$A,0),MATCH(Model!AC$3,QRT!$4:$4,0)+3)</f>
        <v>29.894666208565845</v>
      </c>
      <c r="AD16" s="69" cm="1">
        <f t="array" ref="AD16">INDEX(QRT!$1:$1048576,MATCH(Model!$B16,QRT!$A:$A,0),MATCH(Model!AD$3,QRT!$4:$4,0))+INDEX(QRT!$1:$1048576,MATCH(Model!$B16,QRT!$A:$A,0),MATCH(Model!AD$3,QRT!$4:$4,0)+1)+INDEX(QRT!$1:$1048576,MATCH(Model!$B16,QRT!$A:$A,0),MATCH(Model!AD$3,QRT!$4:$4,0)+2)+INDEX(QRT!$1:$1048576,MATCH(Model!$B16,QRT!$A:$A,0),MATCH(Model!AD$3,QRT!$4:$4,0)+3)</f>
        <v>39.350345642573267</v>
      </c>
      <c r="AE16" s="69" cm="1">
        <f t="array" ref="AE16">INDEX(QRT!$1:$1048576,MATCH(Model!$B16,QRT!$A:$A,0),MATCH(Model!AE$3,QRT!$4:$4,0))+INDEX(QRT!$1:$1048576,MATCH(Model!$B16,QRT!$A:$A,0),MATCH(Model!AE$3,QRT!$4:$4,0)+1)+INDEX(QRT!$1:$1048576,MATCH(Model!$B16,QRT!$A:$A,0),MATCH(Model!AE$3,QRT!$4:$4,0)+2)+INDEX(QRT!$1:$1048576,MATCH(Model!$B16,QRT!$A:$A,0),MATCH(Model!AE$3,QRT!$4:$4,0)+3)</f>
        <v>37.575675787183862</v>
      </c>
      <c r="AF16" s="74">
        <f>AF30*AF45</f>
        <v>52.153844669076854</v>
      </c>
      <c r="AG16" s="74">
        <f t="shared" ref="AG16:AN16" si="12">AG30*AG45</f>
        <v>62.969039976374376</v>
      </c>
      <c r="AH16" s="74">
        <f t="shared" si="12"/>
        <v>68.504779754517173</v>
      </c>
      <c r="AI16" s="74">
        <f t="shared" si="12"/>
        <v>74.271175356749254</v>
      </c>
      <c r="AJ16" s="74">
        <f t="shared" si="12"/>
        <v>79.345603486713486</v>
      </c>
      <c r="AK16" s="74">
        <f t="shared" si="12"/>
        <v>84.573802166070593</v>
      </c>
      <c r="AL16" s="74">
        <f t="shared" si="12"/>
        <v>89.955771394820545</v>
      </c>
      <c r="AM16" s="74">
        <f t="shared" si="12"/>
        <v>95.491511172963342</v>
      </c>
      <c r="AN16" s="74">
        <f t="shared" si="12"/>
        <v>101.181021500499</v>
      </c>
      <c r="AO16" s="7"/>
    </row>
    <row r="17" spans="2:42" outlineLevel="1">
      <c r="E17" s="2" t="s">
        <v>4</v>
      </c>
      <c r="F17" s="193"/>
      <c r="G17" s="19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>
        <f t="shared" ref="Y17:AN17" si="13">Y15-Y16</f>
        <v>-2.8859999999999983</v>
      </c>
      <c r="Z17" s="163">
        <f t="shared" si="13"/>
        <v>-8.0390000000000121</v>
      </c>
      <c r="AA17" s="163">
        <f t="shared" si="13"/>
        <v>3.2690000000001049</v>
      </c>
      <c r="AB17" s="163">
        <f t="shared" si="13"/>
        <v>17.170999999999921</v>
      </c>
      <c r="AC17" s="163">
        <f t="shared" si="13"/>
        <v>20.846893020824972</v>
      </c>
      <c r="AD17" s="163">
        <f t="shared" si="13"/>
        <v>37.483334671103911</v>
      </c>
      <c r="AE17" s="163">
        <f t="shared" si="13"/>
        <v>79.655572201605196</v>
      </c>
      <c r="AF17" s="163">
        <f t="shared" ca="1" si="13"/>
        <v>137.14815125203805</v>
      </c>
      <c r="AG17" s="163">
        <f t="shared" ca="1" si="13"/>
        <v>204.96422153188834</v>
      </c>
      <c r="AH17" s="163">
        <f t="shared" ca="1" si="13"/>
        <v>287.25586127481478</v>
      </c>
      <c r="AI17" s="163">
        <f t="shared" ca="1" si="13"/>
        <v>384.60627147300636</v>
      </c>
      <c r="AJ17" s="163">
        <f t="shared" ca="1" si="13"/>
        <v>488.61484404696682</v>
      </c>
      <c r="AK17" s="163">
        <f t="shared" ca="1" si="13"/>
        <v>604.68979682259771</v>
      </c>
      <c r="AL17" s="163">
        <f t="shared" ca="1" si="13"/>
        <v>727.41919647220709</v>
      </c>
      <c r="AM17" s="163">
        <f t="shared" ca="1" si="13"/>
        <v>863.35853582461732</v>
      </c>
      <c r="AN17" s="163">
        <f t="shared" ca="1" si="13"/>
        <v>1006.1300424020695</v>
      </c>
      <c r="AO17" s="7"/>
    </row>
    <row r="18" spans="2:42" outlineLevel="1">
      <c r="B18" s="109" t="s">
        <v>109</v>
      </c>
      <c r="E18" s="227" t="s">
        <v>109</v>
      </c>
      <c r="F18" s="63"/>
      <c r="G18" s="63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>
        <v>0</v>
      </c>
      <c r="Z18" s="225" cm="1">
        <f t="array" ref="Z18">INDEX(QRT!$1:$1048576,MATCH(Model!$B18,QRT!$A:$A,0),MATCH(Model!Z$3,QRT!$4:$4,0))+INDEX(QRT!$1:$1048576,MATCH(Model!$B18,QRT!$A:$A,0),MATCH(Model!Z$3,QRT!$4:$4,0)+1)+INDEX(QRT!$1:$1048576,MATCH(Model!$B18,QRT!$A:$A,0),MATCH(Model!Z$3,QRT!$4:$4,0)+2)+INDEX(QRT!$1:$1048576,MATCH(Model!$B18,QRT!$A:$A,0),MATCH(Model!Z$3,QRT!$4:$4,0)+3)</f>
        <v>6.133</v>
      </c>
      <c r="AA18" s="225" cm="1">
        <f t="array" ref="AA18">INDEX(QRT!$1:$1048576,MATCH(Model!$B18,QRT!$A:$A,0),MATCH(Model!AA$3,QRT!$4:$4,0))+INDEX(QRT!$1:$1048576,MATCH(Model!$B18,QRT!$A:$A,0),MATCH(Model!AA$3,QRT!$4:$4,0)+1)+INDEX(QRT!$1:$1048576,MATCH(Model!$B18,QRT!$A:$A,0),MATCH(Model!AA$3,QRT!$4:$4,0)+2)+INDEX(QRT!$1:$1048576,MATCH(Model!$B18,QRT!$A:$A,0),MATCH(Model!AA$3,QRT!$4:$4,0)+3)</f>
        <v>12.109</v>
      </c>
      <c r="AB18" s="225" cm="1">
        <f t="array" ref="AB18">INDEX(QRT!$1:$1048576,MATCH(Model!$B18,QRT!$A:$A,0),MATCH(Model!AB$3,QRT!$4:$4,0))+INDEX(QRT!$1:$1048576,MATCH(Model!$B18,QRT!$A:$A,0),MATCH(Model!AB$3,QRT!$4:$4,0)+1)+INDEX(QRT!$1:$1048576,MATCH(Model!$B18,QRT!$A:$A,0),MATCH(Model!AB$3,QRT!$4:$4,0)+2)+INDEX(QRT!$1:$1048576,MATCH(Model!$B18,QRT!$A:$A,0),MATCH(Model!AB$3,QRT!$4:$4,0)+3)</f>
        <v>14.86</v>
      </c>
      <c r="AC18" s="69" cm="1">
        <f t="array" ref="AC18">INDEX(QRT!$1:$1048576,MATCH(Model!$B18,QRT!$A:$A,0),MATCH(Model!AC$3,QRT!$4:$4,0))+INDEX(QRT!$1:$1048576,MATCH(Model!$B18,QRT!$A:$A,0),MATCH(Model!AC$3,QRT!$4:$4,0)+1)+INDEX(QRT!$1:$1048576,MATCH(Model!$B18,QRT!$A:$A,0),MATCH(Model!AC$3,QRT!$4:$4,0)+2)+INDEX(QRT!$1:$1048576,MATCH(Model!$B18,QRT!$A:$A,0),MATCH(Model!AC$3,QRT!$4:$4,0)+3)</f>
        <v>7.3708419704293409</v>
      </c>
      <c r="AD18" s="69" cm="1">
        <f t="array" ref="AD18">INDEX(QRT!$1:$1048576,MATCH(Model!$B18,QRT!$A:$A,0),MATCH(Model!AD$3,QRT!$4:$4,0))+INDEX(QRT!$1:$1048576,MATCH(Model!$B18,QRT!$A:$A,0),MATCH(Model!AD$3,QRT!$4:$4,0)+1)+INDEX(QRT!$1:$1048576,MATCH(Model!$B18,QRT!$A:$A,0),MATCH(Model!AD$3,QRT!$4:$4,0)+2)+INDEX(QRT!$1:$1048576,MATCH(Model!$B18,QRT!$A:$A,0),MATCH(Model!AD$3,QRT!$4:$4,0)+3)</f>
        <v>8.5196300470108497</v>
      </c>
      <c r="AE18" s="69" cm="1">
        <f t="array" ref="AE18">INDEX(QRT!$1:$1048576,MATCH(Model!$B18,QRT!$A:$A,0),MATCH(Model!AE$3,QRT!$4:$4,0))+INDEX(QRT!$1:$1048576,MATCH(Model!$B18,QRT!$A:$A,0),MATCH(Model!AE$3,QRT!$4:$4,0)+1)+INDEX(QRT!$1:$1048576,MATCH(Model!$B18,QRT!$A:$A,0),MATCH(Model!AE$3,QRT!$4:$4,0)+2)+INDEX(QRT!$1:$1048576,MATCH(Model!$B18,QRT!$A:$A,0),MATCH(Model!AE$3,QRT!$4:$4,0)+3)</f>
        <v>13.069291450162861</v>
      </c>
      <c r="AF18" s="74">
        <f>SUM(AF190:AF191)</f>
        <v>20.811411364727356</v>
      </c>
      <c r="AG18" s="74">
        <f t="shared" ref="AG18:AN18" si="14">SUM(AG190:AG191)</f>
        <v>28.151581548852246</v>
      </c>
      <c r="AH18" s="74">
        <f t="shared" si="14"/>
        <v>35.934579728157026</v>
      </c>
      <c r="AI18" s="74">
        <f t="shared" si="14"/>
        <v>43.172747734492113</v>
      </c>
      <c r="AJ18" s="74">
        <f t="shared" si="14"/>
        <v>48.9630156045787</v>
      </c>
      <c r="AK18" s="74">
        <f t="shared" si="14"/>
        <v>53.94727127938048</v>
      </c>
      <c r="AL18" s="74">
        <f t="shared" si="14"/>
        <v>58.037823508599899</v>
      </c>
      <c r="AM18" s="74">
        <f t="shared" si="14"/>
        <v>63.989053367152565</v>
      </c>
      <c r="AN18" s="74">
        <f t="shared" si="14"/>
        <v>72.521103541740999</v>
      </c>
      <c r="AO18" s="7"/>
    </row>
    <row r="19" spans="2:42" outlineLevel="1">
      <c r="B19" s="109" t="s">
        <v>265</v>
      </c>
      <c r="E19" s="227" t="s">
        <v>265</v>
      </c>
      <c r="F19" s="63"/>
      <c r="G19" s="63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>
        <f>1.144-Y18</f>
        <v>1.1439999999999999</v>
      </c>
      <c r="Z19" s="225" cm="1">
        <f t="array" ref="Z19">INDEX(QRT!$1:$1048576,MATCH(Model!$B19,QRT!$A:$A,0),MATCH(Model!Z$3,QRT!$4:$4,0))+INDEX(QRT!$1:$1048576,MATCH(Model!$B19,QRT!$A:$A,0),MATCH(Model!Z$3,QRT!$4:$4,0)+1)+INDEX(QRT!$1:$1048576,MATCH(Model!$B19,QRT!$A:$A,0),MATCH(Model!Z$3,QRT!$4:$4,0)+2)+INDEX(QRT!$1:$1048576,MATCH(Model!$B19,QRT!$A:$A,0),MATCH(Model!Z$3,QRT!$4:$4,0)+3)</f>
        <v>1.4160000000000008</v>
      </c>
      <c r="AA19" s="225" cm="1">
        <f t="array" ref="AA19">INDEX(QRT!$1:$1048576,MATCH(Model!$B19,QRT!$A:$A,0),MATCH(Model!AA$3,QRT!$4:$4,0))+INDEX(QRT!$1:$1048576,MATCH(Model!$B19,QRT!$A:$A,0),MATCH(Model!AA$3,QRT!$4:$4,0)+1)+INDEX(QRT!$1:$1048576,MATCH(Model!$B19,QRT!$A:$A,0),MATCH(Model!AA$3,QRT!$4:$4,0)+2)+INDEX(QRT!$1:$1048576,MATCH(Model!$B19,QRT!$A:$A,0),MATCH(Model!AA$3,QRT!$4:$4,0)+3)</f>
        <v>3.9169999999999994</v>
      </c>
      <c r="AB19" s="225" cm="1">
        <f t="array" ref="AB19">INDEX(QRT!$1:$1048576,MATCH(Model!$B19,QRT!$A:$A,0),MATCH(Model!AB$3,QRT!$4:$4,0))+INDEX(QRT!$1:$1048576,MATCH(Model!$B19,QRT!$A:$A,0),MATCH(Model!AB$3,QRT!$4:$4,0)+1)+INDEX(QRT!$1:$1048576,MATCH(Model!$B19,QRT!$A:$A,0),MATCH(Model!AB$3,QRT!$4:$4,0)+2)+INDEX(QRT!$1:$1048576,MATCH(Model!$B19,QRT!$A:$A,0),MATCH(Model!AB$3,QRT!$4:$4,0)+3)</f>
        <v>4.8120000000000021</v>
      </c>
      <c r="AC19" s="69" cm="1">
        <f t="array" ref="AC19">INDEX(QRT!$1:$1048576,MATCH(Model!$B19,QRT!$A:$A,0),MATCH(Model!AC$3,QRT!$4:$4,0))+INDEX(QRT!$1:$1048576,MATCH(Model!$B19,QRT!$A:$A,0),MATCH(Model!AC$3,QRT!$4:$4,0)+1)+INDEX(QRT!$1:$1048576,MATCH(Model!$B19,QRT!$A:$A,0),MATCH(Model!AC$3,QRT!$4:$4,0)+2)+INDEX(QRT!$1:$1048576,MATCH(Model!$B19,QRT!$A:$A,0),MATCH(Model!AC$3,QRT!$4:$4,0)+3)</f>
        <v>3.4999999999999809E-2</v>
      </c>
      <c r="AD19" s="69" cm="1">
        <f t="array" ref="AD19">INDEX(QRT!$1:$1048576,MATCH(Model!$B19,QRT!$A:$A,0),MATCH(Model!AD$3,QRT!$4:$4,0))+INDEX(QRT!$1:$1048576,MATCH(Model!$B19,QRT!$A:$A,0),MATCH(Model!AD$3,QRT!$4:$4,0)+1)+INDEX(QRT!$1:$1048576,MATCH(Model!$B19,QRT!$A:$A,0),MATCH(Model!AD$3,QRT!$4:$4,0)+2)+INDEX(QRT!$1:$1048576,MATCH(Model!$B19,QRT!$A:$A,0),MATCH(Model!AD$3,QRT!$4:$4,0)+3)</f>
        <v>0</v>
      </c>
      <c r="AE19" s="69" cm="1">
        <f t="array" ref="AE19">INDEX(QRT!$1:$1048576,MATCH(Model!$B19,QRT!$A:$A,0),MATCH(Model!AE$3,QRT!$4:$4,0))+INDEX(QRT!$1:$1048576,MATCH(Model!$B19,QRT!$A:$A,0),MATCH(Model!AE$3,QRT!$4:$4,0)+1)+INDEX(QRT!$1:$1048576,MATCH(Model!$B19,QRT!$A:$A,0),MATCH(Model!AE$3,QRT!$4:$4,0)+2)+INDEX(QRT!$1:$1048576,MATCH(Model!$B19,QRT!$A:$A,0),MATCH(Model!AE$3,QRT!$4:$4,0)+3)</f>
        <v>0</v>
      </c>
      <c r="AF19" s="74">
        <f>+AF192</f>
        <v>0</v>
      </c>
      <c r="AG19" s="74">
        <f t="shared" ref="AG19:AN19" si="15">+AG192</f>
        <v>0</v>
      </c>
      <c r="AH19" s="74">
        <f t="shared" si="15"/>
        <v>0</v>
      </c>
      <c r="AI19" s="74">
        <f t="shared" si="15"/>
        <v>0</v>
      </c>
      <c r="AJ19" s="74">
        <f t="shared" si="15"/>
        <v>0</v>
      </c>
      <c r="AK19" s="74">
        <f t="shared" si="15"/>
        <v>0</v>
      </c>
      <c r="AL19" s="74">
        <f t="shared" si="15"/>
        <v>0</v>
      </c>
      <c r="AM19" s="74">
        <f t="shared" si="15"/>
        <v>0</v>
      </c>
      <c r="AN19" s="74">
        <f t="shared" si="15"/>
        <v>0</v>
      </c>
      <c r="AO19" s="7"/>
    </row>
    <row r="20" spans="2:42" outlineLevel="1">
      <c r="E20" s="2" t="s">
        <v>110</v>
      </c>
      <c r="F20" s="193"/>
      <c r="G20" s="19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>
        <f t="shared" ref="Y20:AE20" si="16">Y17-SUM(Y18:Y19)</f>
        <v>-4.0299999999999985</v>
      </c>
      <c r="Z20" s="163">
        <f t="shared" si="16"/>
        <v>-15.588000000000013</v>
      </c>
      <c r="AA20" s="163">
        <f t="shared" si="16"/>
        <v>-12.756999999999895</v>
      </c>
      <c r="AB20" s="163">
        <f t="shared" si="16"/>
        <v>-2.5010000000000794</v>
      </c>
      <c r="AC20" s="163">
        <f t="shared" si="16"/>
        <v>13.441051050395631</v>
      </c>
      <c r="AD20" s="163">
        <f t="shared" si="16"/>
        <v>28.963704624093062</v>
      </c>
      <c r="AE20" s="163">
        <f t="shared" si="16"/>
        <v>66.586280751442331</v>
      </c>
      <c r="AF20" s="163">
        <f t="shared" ref="AF20:AN20" ca="1" si="17">AF17-SUM(AF18:AF19)</f>
        <v>116.3367398873107</v>
      </c>
      <c r="AG20" s="163">
        <f t="shared" ca="1" si="17"/>
        <v>176.81263998303609</v>
      </c>
      <c r="AH20" s="163">
        <f t="shared" ca="1" si="17"/>
        <v>251.32128154665776</v>
      </c>
      <c r="AI20" s="163">
        <f t="shared" ca="1" si="17"/>
        <v>341.43352373851422</v>
      </c>
      <c r="AJ20" s="163">
        <f t="shared" ca="1" si="17"/>
        <v>439.65182844238814</v>
      </c>
      <c r="AK20" s="163">
        <f t="shared" ca="1" si="17"/>
        <v>550.7425255432172</v>
      </c>
      <c r="AL20" s="163">
        <f t="shared" ca="1" si="17"/>
        <v>669.38137296360719</v>
      </c>
      <c r="AM20" s="163">
        <f t="shared" ca="1" si="17"/>
        <v>799.36948245746476</v>
      </c>
      <c r="AN20" s="163">
        <f t="shared" ca="1" si="17"/>
        <v>933.60893886032852</v>
      </c>
      <c r="AO20" s="7"/>
    </row>
    <row r="21" spans="2:42" outlineLevel="1">
      <c r="B21" s="109" t="s">
        <v>254</v>
      </c>
      <c r="E21" s="227" t="s">
        <v>254</v>
      </c>
      <c r="F21" s="63"/>
      <c r="G21" s="63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>
        <f>-0.111-Y22</f>
        <v>0</v>
      </c>
      <c r="Z21" s="225" cm="1">
        <f t="array" ref="Z21">INDEX(QRT!$1:$1048576,MATCH(Model!$B21,QRT!$A:$A,0),MATCH(Model!Z$3,QRT!$4:$4,0))+INDEX(QRT!$1:$1048576,MATCH(Model!$B21,QRT!$A:$A,0),MATCH(Model!Z$3,QRT!$4:$4,0)+1)+INDEX(QRT!$1:$1048576,MATCH(Model!$B21,QRT!$A:$A,0),MATCH(Model!Z$3,QRT!$4:$4,0)+2)+INDEX(QRT!$1:$1048576,MATCH(Model!$B21,QRT!$A:$A,0),MATCH(Model!Z$3,QRT!$4:$4,0)+3)</f>
        <v>0</v>
      </c>
      <c r="AA21" s="225" cm="1">
        <f t="array" ref="AA21">INDEX(QRT!$1:$1048576,MATCH(Model!$B21,QRT!$A:$A,0),MATCH(Model!AA$3,QRT!$4:$4,0))+INDEX(QRT!$1:$1048576,MATCH(Model!$B21,QRT!$A:$A,0),MATCH(Model!AA$3,QRT!$4:$4,0)+1)+INDEX(QRT!$1:$1048576,MATCH(Model!$B21,QRT!$A:$A,0),MATCH(Model!AA$3,QRT!$4:$4,0)+2)+INDEX(QRT!$1:$1048576,MATCH(Model!$B21,QRT!$A:$A,0),MATCH(Model!AA$3,QRT!$4:$4,0)+3)</f>
        <v>0</v>
      </c>
      <c r="AB21" s="225" cm="1">
        <f t="array" ref="AB21">INDEX(QRT!$1:$1048576,MATCH(Model!$B21,QRT!$A:$A,0),MATCH(Model!AB$3,QRT!$4:$4,0))+INDEX(QRT!$1:$1048576,MATCH(Model!$B21,QRT!$A:$A,0),MATCH(Model!AB$3,QRT!$4:$4,0)+1)+INDEX(QRT!$1:$1048576,MATCH(Model!$B21,QRT!$A:$A,0),MATCH(Model!AB$3,QRT!$4:$4,0)+2)+INDEX(QRT!$1:$1048576,MATCH(Model!$B21,QRT!$A:$A,0),MATCH(Model!AB$3,QRT!$4:$4,0)+3)</f>
        <v>0</v>
      </c>
      <c r="AC21" s="69" cm="1">
        <f t="array" ref="AC21">INDEX(QRT!$1:$1048576,MATCH(Model!$B21,QRT!$A:$A,0),MATCH(Model!AC$3,QRT!$4:$4,0))+INDEX(QRT!$1:$1048576,MATCH(Model!$B21,QRT!$A:$A,0),MATCH(Model!AC$3,QRT!$4:$4,0)+1)+INDEX(QRT!$1:$1048576,MATCH(Model!$B21,QRT!$A:$A,0),MATCH(Model!AC$3,QRT!$4:$4,0)+2)+INDEX(QRT!$1:$1048576,MATCH(Model!$B21,QRT!$A:$A,0),MATCH(Model!AC$3,QRT!$4:$4,0)+3)</f>
        <v>8.0127625988702443E-5</v>
      </c>
      <c r="AD21" s="69" cm="1">
        <f t="array" ref="AD21">INDEX(QRT!$1:$1048576,MATCH(Model!$B21,QRT!$A:$A,0),MATCH(Model!AD$3,QRT!$4:$4,0))+INDEX(QRT!$1:$1048576,MATCH(Model!$B21,QRT!$A:$A,0),MATCH(Model!AD$3,QRT!$4:$4,0)+1)+INDEX(QRT!$1:$1048576,MATCH(Model!$B21,QRT!$A:$A,0),MATCH(Model!AD$3,QRT!$4:$4,0)+2)+INDEX(QRT!$1:$1048576,MATCH(Model!$B21,QRT!$A:$A,0),MATCH(Model!AD$3,QRT!$4:$4,0)+3)</f>
        <v>2.7110240398710381</v>
      </c>
      <c r="AE21" s="69" cm="1">
        <f t="array" ref="AE21">INDEX(QRT!$1:$1048576,MATCH(Model!$B21,QRT!$A:$A,0),MATCH(Model!AE$3,QRT!$4:$4,0))+INDEX(QRT!$1:$1048576,MATCH(Model!$B21,QRT!$A:$A,0),MATCH(Model!AE$3,QRT!$4:$4,0)+1)+INDEX(QRT!$1:$1048576,MATCH(Model!$B21,QRT!$A:$A,0),MATCH(Model!AE$3,QRT!$4:$4,0)+2)+INDEX(QRT!$1:$1048576,MATCH(Model!$B21,QRT!$A:$A,0),MATCH(Model!AE$3,QRT!$4:$4,0)+3)</f>
        <v>12.822067004081273</v>
      </c>
      <c r="AF21" s="74">
        <f ca="1">-AF77</f>
        <v>25.892276594070871</v>
      </c>
      <c r="AG21" s="74">
        <f t="shared" ref="AG21:AN21" ca="1" si="18">-AG77</f>
        <v>42.435033595928729</v>
      </c>
      <c r="AH21" s="74">
        <f t="shared" ca="1" si="18"/>
        <v>60.317107571197887</v>
      </c>
      <c r="AI21" s="74">
        <f t="shared" ca="1" si="18"/>
        <v>81.944045697243382</v>
      </c>
      <c r="AJ21" s="74">
        <f t="shared" ca="1" si="18"/>
        <v>105.51643882617304</v>
      </c>
      <c r="AK21" s="74">
        <f t="shared" ca="1" si="18"/>
        <v>132.17820613037199</v>
      </c>
      <c r="AL21" s="74">
        <f t="shared" ca="1" si="18"/>
        <v>160.65152951126572</v>
      </c>
      <c r="AM21" s="74">
        <f t="shared" ca="1" si="18"/>
        <v>191.84867578979149</v>
      </c>
      <c r="AN21" s="74">
        <f t="shared" ca="1" si="18"/>
        <v>224.06614532647873</v>
      </c>
      <c r="AO21" s="7"/>
    </row>
    <row r="22" spans="2:42" outlineLevel="1">
      <c r="B22" s="109" t="s">
        <v>113</v>
      </c>
      <c r="E22" s="227" t="s">
        <v>113</v>
      </c>
      <c r="F22" s="63"/>
      <c r="G22" s="63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>
        <v>-0.111</v>
      </c>
      <c r="Z22" s="225" cm="1">
        <f t="array" ref="Z22">INDEX(QRT!$1:$1048576,MATCH(Model!$B22,QRT!$A:$A,0),MATCH(Model!Z$3,QRT!$4:$4,0))+INDEX(QRT!$1:$1048576,MATCH(Model!$B22,QRT!$A:$A,0),MATCH(Model!Z$3,QRT!$4:$4,0)+1)+INDEX(QRT!$1:$1048576,MATCH(Model!$B22,QRT!$A:$A,0),MATCH(Model!Z$3,QRT!$4:$4,0)+2)+INDEX(QRT!$1:$1048576,MATCH(Model!$B22,QRT!$A:$A,0),MATCH(Model!Z$3,QRT!$4:$4,0)+3)</f>
        <v>2.6480000000000001</v>
      </c>
      <c r="AA22" s="225" cm="1">
        <f t="array" ref="AA22">INDEX(QRT!$1:$1048576,MATCH(Model!$B22,QRT!$A:$A,0),MATCH(Model!AA$3,QRT!$4:$4,0))+INDEX(QRT!$1:$1048576,MATCH(Model!$B22,QRT!$A:$A,0),MATCH(Model!AA$3,QRT!$4:$4,0)+1)+INDEX(QRT!$1:$1048576,MATCH(Model!$B22,QRT!$A:$A,0),MATCH(Model!AA$3,QRT!$4:$4,0)+2)+INDEX(QRT!$1:$1048576,MATCH(Model!$B22,QRT!$A:$A,0),MATCH(Model!AA$3,QRT!$4:$4,0)+3)</f>
        <v>-1.917</v>
      </c>
      <c r="AB22" s="225" cm="1">
        <f t="array" ref="AB22">INDEX(QRT!$1:$1048576,MATCH(Model!$B22,QRT!$A:$A,0),MATCH(Model!AB$3,QRT!$4:$4,0))+INDEX(QRT!$1:$1048576,MATCH(Model!$B22,QRT!$A:$A,0),MATCH(Model!AB$3,QRT!$4:$4,0)+1)+INDEX(QRT!$1:$1048576,MATCH(Model!$B22,QRT!$A:$A,0),MATCH(Model!AB$3,QRT!$4:$4,0)+2)+INDEX(QRT!$1:$1048576,MATCH(Model!$B22,QRT!$A:$A,0),MATCH(Model!AB$3,QRT!$4:$4,0)+3)</f>
        <v>1.6739999999999997</v>
      </c>
      <c r="AC22" s="69" cm="1">
        <f t="array" ref="AC22">INDEX(QRT!$1:$1048576,MATCH(Model!$B22,QRT!$A:$A,0),MATCH(Model!AC$3,QRT!$4:$4,0))+INDEX(QRT!$1:$1048576,MATCH(Model!$B22,QRT!$A:$A,0),MATCH(Model!AC$3,QRT!$4:$4,0)+1)+INDEX(QRT!$1:$1048576,MATCH(Model!$B22,QRT!$A:$A,0),MATCH(Model!AC$3,QRT!$4:$4,0)+2)+INDEX(QRT!$1:$1048576,MATCH(Model!$B22,QRT!$A:$A,0),MATCH(Model!AC$3,QRT!$4:$4,0)+3)</f>
        <v>4.1299326349728815</v>
      </c>
      <c r="AD22" s="69" cm="1">
        <f t="array" ref="AD22">INDEX(QRT!$1:$1048576,MATCH(Model!$B22,QRT!$A:$A,0),MATCH(Model!AD$3,QRT!$4:$4,0))+INDEX(QRT!$1:$1048576,MATCH(Model!$B22,QRT!$A:$A,0),MATCH(Model!AD$3,QRT!$4:$4,0)+1)+INDEX(QRT!$1:$1048576,MATCH(Model!$B22,QRT!$A:$A,0),MATCH(Model!AD$3,QRT!$4:$4,0)+2)+INDEX(QRT!$1:$1048576,MATCH(Model!$B22,QRT!$A:$A,0),MATCH(Model!AD$3,QRT!$4:$4,0)+3)</f>
        <v>4.24026506991129</v>
      </c>
      <c r="AE22" s="69" cm="1">
        <f t="array" ref="AE22">INDEX(QRT!$1:$1048576,MATCH(Model!$B22,QRT!$A:$A,0),MATCH(Model!AE$3,QRT!$4:$4,0))+INDEX(QRT!$1:$1048576,MATCH(Model!$B22,QRT!$A:$A,0),MATCH(Model!AE$3,QRT!$4:$4,0)+1)+INDEX(QRT!$1:$1048576,MATCH(Model!$B22,QRT!$A:$A,0),MATCH(Model!AE$3,QRT!$4:$4,0)+2)+INDEX(QRT!$1:$1048576,MATCH(Model!$B22,QRT!$A:$A,0),MATCH(Model!AE$3,QRT!$4:$4,0)+3)</f>
        <v>3.1586403762648181</v>
      </c>
      <c r="AF22" s="74">
        <f ca="1">-AF78</f>
        <v>2.0285409788837319</v>
      </c>
      <c r="AG22" s="74">
        <f t="shared" ref="AG22:AN22" ca="1" si="19">-AG78</f>
        <v>0</v>
      </c>
      <c r="AH22" s="74">
        <f t="shared" ca="1" si="19"/>
        <v>0</v>
      </c>
      <c r="AI22" s="74">
        <f t="shared" ca="1" si="19"/>
        <v>0</v>
      </c>
      <c r="AJ22" s="74">
        <f t="shared" ca="1" si="19"/>
        <v>0</v>
      </c>
      <c r="AK22" s="74">
        <f t="shared" ca="1" si="19"/>
        <v>0</v>
      </c>
      <c r="AL22" s="74">
        <f t="shared" ca="1" si="19"/>
        <v>0</v>
      </c>
      <c r="AM22" s="74">
        <f t="shared" ca="1" si="19"/>
        <v>0</v>
      </c>
      <c r="AN22" s="74">
        <f t="shared" ca="1" si="19"/>
        <v>0</v>
      </c>
      <c r="AO22" s="7"/>
    </row>
    <row r="23" spans="2:42" outlineLevel="1">
      <c r="E23" s="2" t="s">
        <v>115</v>
      </c>
      <c r="F23" s="193"/>
      <c r="G23" s="19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>
        <f t="shared" ref="Y23:AN23" si="20">Y20-SUM(Y21:Y22)</f>
        <v>-3.9189999999999983</v>
      </c>
      <c r="Z23" s="163">
        <f t="shared" si="20"/>
        <v>-18.236000000000015</v>
      </c>
      <c r="AA23" s="163">
        <f t="shared" si="20"/>
        <v>-10.839999999999895</v>
      </c>
      <c r="AB23" s="163">
        <f t="shared" si="20"/>
        <v>-4.1750000000000789</v>
      </c>
      <c r="AC23" s="163">
        <f t="shared" si="20"/>
        <v>9.3110382877967606</v>
      </c>
      <c r="AD23" s="163">
        <f t="shared" si="20"/>
        <v>22.012415514310732</v>
      </c>
      <c r="AE23" s="163">
        <f t="shared" si="20"/>
        <v>50.605573371096241</v>
      </c>
      <c r="AF23" s="163">
        <f t="shared" ca="1" si="20"/>
        <v>88.415922314356095</v>
      </c>
      <c r="AG23" s="163">
        <f t="shared" ca="1" si="20"/>
        <v>134.37760638710736</v>
      </c>
      <c r="AH23" s="163">
        <f t="shared" ca="1" si="20"/>
        <v>191.00417397545988</v>
      </c>
      <c r="AI23" s="163">
        <f t="shared" ca="1" si="20"/>
        <v>259.48947804127084</v>
      </c>
      <c r="AJ23" s="163">
        <f t="shared" ca="1" si="20"/>
        <v>334.13538961621509</v>
      </c>
      <c r="AK23" s="163">
        <f t="shared" ca="1" si="20"/>
        <v>418.56431941284518</v>
      </c>
      <c r="AL23" s="163">
        <f t="shared" ca="1" si="20"/>
        <v>508.72984345234147</v>
      </c>
      <c r="AM23" s="163">
        <f t="shared" ca="1" si="20"/>
        <v>607.52080666767324</v>
      </c>
      <c r="AN23" s="163">
        <f t="shared" ca="1" si="20"/>
        <v>709.54279353384982</v>
      </c>
      <c r="AO23" s="7"/>
    </row>
    <row r="24" spans="2:42" outlineLevel="1">
      <c r="E24" s="167"/>
      <c r="F24" s="63"/>
      <c r="G24" s="63"/>
      <c r="H24" s="180"/>
      <c r="I24" s="180"/>
      <c r="J24" s="180"/>
      <c r="K24" s="180"/>
      <c r="L24" s="180"/>
      <c r="M24" s="179"/>
      <c r="N24" s="179"/>
      <c r="O24" s="179"/>
      <c r="P24" s="179"/>
      <c r="Q24" s="179"/>
      <c r="R24" s="79"/>
      <c r="S24" s="79"/>
      <c r="T24" s="79"/>
      <c r="U24" s="79"/>
      <c r="V24" s="79"/>
      <c r="W24" s="79"/>
      <c r="X24" s="79"/>
      <c r="Y24" s="79"/>
      <c r="Z24" s="79"/>
      <c r="AA24" s="76"/>
      <c r="AB24" s="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7"/>
    </row>
    <row r="25" spans="2:42" outlineLevel="1">
      <c r="E25" s="227" t="s">
        <v>418</v>
      </c>
      <c r="F25" s="63"/>
      <c r="G25" s="63"/>
      <c r="H25" s="180"/>
      <c r="I25" s="180"/>
      <c r="J25" s="180"/>
      <c r="K25" s="180"/>
      <c r="L25" s="180"/>
      <c r="M25" s="179"/>
      <c r="N25" s="179"/>
      <c r="O25" s="179"/>
      <c r="P25" s="179"/>
      <c r="Q25" s="179"/>
      <c r="R25" s="79"/>
      <c r="S25" s="79"/>
      <c r="T25" s="79"/>
      <c r="U25" s="79"/>
      <c r="V25" s="79"/>
      <c r="W25" s="79"/>
      <c r="X25" s="79"/>
      <c r="Y25" s="79"/>
      <c r="Z25" s="79"/>
      <c r="AA25" s="281">
        <f>AA28-SUM(AA26:AA27)</f>
        <v>-7.7903529258225523E-2</v>
      </c>
      <c r="AB25" s="281">
        <f>AB28-SUM(AB26:AB27)</f>
        <v>2.7341387679121476E-2</v>
      </c>
      <c r="AC25" s="281">
        <f>AC28-SUM(AC26:AC27)</f>
        <v>0.11106012271343374</v>
      </c>
      <c r="AD25" s="281">
        <f>AD28-SUM(AD26:AD27)</f>
        <v>5.7853880207567598E-2</v>
      </c>
      <c r="AE25" s="281">
        <f>AE28-SUM(AE26:AE27)</f>
        <v>4.3854012037823575E-2</v>
      </c>
      <c r="AF25" s="273">
        <v>3.7499999999999999E-2</v>
      </c>
      <c r="AG25" s="273">
        <f>MAX(AF25-0.003,0.02)</f>
        <v>3.4499999999999996E-2</v>
      </c>
      <c r="AH25" s="273">
        <f t="shared" ref="AH25:AN25" si="21">MAX(AG25-0.003,0.02)</f>
        <v>3.1499999999999993E-2</v>
      </c>
      <c r="AI25" s="273">
        <f t="shared" si="21"/>
        <v>2.8499999999999994E-2</v>
      </c>
      <c r="AJ25" s="273">
        <f t="shared" si="21"/>
        <v>2.5499999999999995E-2</v>
      </c>
      <c r="AK25" s="273">
        <f t="shared" si="21"/>
        <v>2.2499999999999996E-2</v>
      </c>
      <c r="AL25" s="273">
        <f t="shared" si="21"/>
        <v>0.02</v>
      </c>
      <c r="AM25" s="273">
        <f t="shared" si="21"/>
        <v>0.02</v>
      </c>
      <c r="AN25" s="273">
        <f t="shared" si="21"/>
        <v>0.02</v>
      </c>
      <c r="AO25" s="7"/>
      <c r="AP25" s="308">
        <f>((1+AD25)*(1+AE25)*(1+AF25)*(1+AG25)*(1+AH25)*(1+AI25)*(1+AJ25)*(1+AK25)*(1+AL25))^(1/9)-1</f>
        <v>3.3463617696096959E-2</v>
      </c>
    </row>
    <row r="26" spans="2:42" outlineLevel="1">
      <c r="B26" s="109" t="s">
        <v>326</v>
      </c>
      <c r="E26" s="227" t="s">
        <v>328</v>
      </c>
      <c r="F26" s="63"/>
      <c r="G26" s="63"/>
      <c r="H26" s="180"/>
      <c r="I26" s="180"/>
      <c r="J26" s="180"/>
      <c r="K26" s="180"/>
      <c r="L26" s="180"/>
      <c r="M26" s="179"/>
      <c r="N26" s="179"/>
      <c r="O26" s="179"/>
      <c r="P26" s="179"/>
      <c r="Q26" s="179"/>
      <c r="R26" s="79"/>
      <c r="S26" s="79"/>
      <c r="T26" s="79"/>
      <c r="U26" s="79"/>
      <c r="V26" s="79"/>
      <c r="W26" s="79"/>
      <c r="X26" s="79"/>
      <c r="Y26" s="79"/>
      <c r="Z26" s="210"/>
      <c r="AA26" s="210" cm="1">
        <f t="array" ref="AA26">(INDEX(QRT!$1:$1048576,MATCH(Model!$B26,QRT!$A:$A,0),MATCH(Model!AA$3,QRT!$4:$4,0))+INDEX(QRT!$1:$1048576,MATCH(Model!$B26,QRT!$A:$A,0),MATCH(Model!AA$3,QRT!$4:$4,0)+1)+INDEX(QRT!$1:$1048576,MATCH(Model!$B26,QRT!$A:$A,0),MATCH(Model!AA$3,QRT!$4:$4,0)+2)+INDEX(QRT!$1:$1048576,MATCH(Model!$B26,QRT!$A:$A,0),MATCH(Model!AA$3,QRT!$4:$4,0)+3))/Z9</f>
        <v>0.56058552723234034</v>
      </c>
      <c r="AB26" s="210" cm="1">
        <f t="array" ref="AB26">(INDEX(QRT!$1:$1048576,MATCH(Model!$B26,QRT!$A:$A,0),MATCH(Model!AB$3,QRT!$4:$4,0))+INDEX(QRT!$1:$1048576,MATCH(Model!$B26,QRT!$A:$A,0),MATCH(Model!AB$3,QRT!$4:$4,0)+1)+INDEX(QRT!$1:$1048576,MATCH(Model!$B26,QRT!$A:$A,0),MATCH(Model!AB$3,QRT!$4:$4,0)+2)+INDEX(QRT!$1:$1048576,MATCH(Model!$B26,QRT!$A:$A,0),MATCH(Model!AB$3,QRT!$4:$4,0)+3))/AA9</f>
        <v>0.3432660583016453</v>
      </c>
      <c r="AC26" s="210" cm="1">
        <f t="array" ref="AC26">(INDEX(QRT!$1:$1048576,MATCH(Model!$B26,QRT!$A:$A,0),MATCH(Model!AC$3,QRT!$4:$4,0))+INDEX(QRT!$1:$1048576,MATCH(Model!$B26,QRT!$A:$A,0),MATCH(Model!AC$3,QRT!$4:$4,0)+1)+INDEX(QRT!$1:$1048576,MATCH(Model!$B26,QRT!$A:$A,0),MATCH(Model!AC$3,QRT!$4:$4,0)+2)+INDEX(QRT!$1:$1048576,MATCH(Model!$B26,QRT!$A:$A,0),MATCH(Model!AC$3,QRT!$4:$4,0)+3))/AB9</f>
        <v>0.54327041934249942</v>
      </c>
      <c r="AD26" s="210" cm="1">
        <f t="array" ref="AD26">(INDEX(QRT!$1:$1048576,MATCH(Model!$B26,QRT!$A:$A,0),MATCH(Model!AD$3,QRT!$4:$4,0))+INDEX(QRT!$1:$1048576,MATCH(Model!$B26,QRT!$A:$A,0),MATCH(Model!AD$3,QRT!$4:$4,0)+1)+INDEX(QRT!$1:$1048576,MATCH(Model!$B26,QRT!$A:$A,0),MATCH(Model!AD$3,QRT!$4:$4,0)+2)+INDEX(QRT!$1:$1048576,MATCH(Model!$B26,QRT!$A:$A,0),MATCH(Model!AD$3,QRT!$4:$4,0)+3))/AC9</f>
        <v>0.35747980365793436</v>
      </c>
      <c r="AE26" s="210" cm="1">
        <f t="array" ref="AE26">(INDEX(QRT!$1:$1048576,MATCH(Model!$B26,QRT!$A:$A,0),MATCH(Model!AE$3,QRT!$4:$4,0))+INDEX(QRT!$1:$1048576,MATCH(Model!$B26,QRT!$A:$A,0),MATCH(Model!AE$3,QRT!$4:$4,0)+1)+INDEX(QRT!$1:$1048576,MATCH(Model!$B26,QRT!$A:$A,0),MATCH(Model!AE$3,QRT!$4:$4,0)+2)+INDEX(QRT!$1:$1048576,MATCH(Model!$B26,QRT!$A:$A,0),MATCH(Model!AE$3,QRT!$4:$4,0)+3))/AD9</f>
        <v>0.28289759752708987</v>
      </c>
      <c r="AF26" s="179">
        <f>AF262/AE9</f>
        <v>0.28535105211735085</v>
      </c>
      <c r="AG26" s="179">
        <f t="shared" ref="AG26:AN26" si="22">AG262/AF9</f>
        <v>0.24803900181956226</v>
      </c>
      <c r="AH26" s="179">
        <f t="shared" si="22"/>
        <v>0.20083518946603171</v>
      </c>
      <c r="AI26" s="179">
        <f t="shared" si="22"/>
        <v>0.16900720810128772</v>
      </c>
      <c r="AJ26" s="179">
        <f t="shared" si="22"/>
        <v>0.14449281647407097</v>
      </c>
      <c r="AK26" s="179">
        <f t="shared" si="22"/>
        <v>0.12637095924843586</v>
      </c>
      <c r="AL26" s="179">
        <f t="shared" si="22"/>
        <v>0.11249568584154118</v>
      </c>
      <c r="AM26" s="179">
        <f t="shared" si="22"/>
        <v>0.10154174661239583</v>
      </c>
      <c r="AN26" s="179">
        <f t="shared" si="22"/>
        <v>9.250585294747303E-2</v>
      </c>
      <c r="AO26" s="7"/>
      <c r="AP26" s="308">
        <f>((1+AD26)*(1+AE26)*(1+AF26)*(1+AG26)*(1+AH26)*(1+AI26)*(1+AJ26)*(1+AK26)*(1+AL26))^(1/9)-1</f>
        <v>0.21154896242703569</v>
      </c>
    </row>
    <row r="27" spans="2:42" outlineLevel="1">
      <c r="E27" s="227" t="s">
        <v>419</v>
      </c>
      <c r="F27" s="63"/>
      <c r="G27" s="63"/>
      <c r="H27" s="180"/>
      <c r="I27" s="180"/>
      <c r="J27" s="180"/>
      <c r="K27" s="180"/>
      <c r="L27" s="180"/>
      <c r="M27" s="179"/>
      <c r="N27" s="179"/>
      <c r="O27" s="179"/>
      <c r="P27" s="179"/>
      <c r="Q27" s="179"/>
      <c r="R27" s="79"/>
      <c r="S27" s="79"/>
      <c r="T27" s="79"/>
      <c r="U27" s="79"/>
      <c r="V27" s="79"/>
      <c r="W27" s="79"/>
      <c r="X27" s="79"/>
      <c r="Y27" s="79"/>
      <c r="Z27" s="210"/>
      <c r="AA27" s="281">
        <f>Z49*AA56/Z9</f>
        <v>1.5152246014796335E-2</v>
      </c>
      <c r="AB27" s="281">
        <f t="shared" ref="AB27:AN27" si="23">AA49*AB56/AA9</f>
        <v>8.8719046978510407E-3</v>
      </c>
      <c r="AC27" s="281">
        <f t="shared" si="23"/>
        <v>-5.3216587733315321E-2</v>
      </c>
      <c r="AD27" s="281">
        <f t="shared" si="23"/>
        <v>0</v>
      </c>
      <c r="AE27" s="281">
        <f t="shared" si="23"/>
        <v>0</v>
      </c>
      <c r="AF27" s="281">
        <f t="shared" si="23"/>
        <v>0</v>
      </c>
      <c r="AG27" s="281">
        <f t="shared" si="23"/>
        <v>0</v>
      </c>
      <c r="AH27" s="281">
        <f t="shared" si="23"/>
        <v>0</v>
      </c>
      <c r="AI27" s="281">
        <f t="shared" si="23"/>
        <v>0</v>
      </c>
      <c r="AJ27" s="281">
        <f t="shared" si="23"/>
        <v>0</v>
      </c>
      <c r="AK27" s="281">
        <f t="shared" si="23"/>
        <v>0</v>
      </c>
      <c r="AL27" s="281">
        <f t="shared" si="23"/>
        <v>0</v>
      </c>
      <c r="AM27" s="281">
        <f t="shared" si="23"/>
        <v>0</v>
      </c>
      <c r="AN27" s="281">
        <f t="shared" si="23"/>
        <v>0</v>
      </c>
      <c r="AO27" s="7"/>
    </row>
    <row r="28" spans="2:42" outlineLevel="1">
      <c r="E28" s="2" t="s">
        <v>250</v>
      </c>
      <c r="F28" s="193"/>
      <c r="G28" s="19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269">
        <f t="shared" ref="Z28:AE28" si="24">IFERROR(Z9/Y9-1,"na")</f>
        <v>7.698814124422217</v>
      </c>
      <c r="AA28" s="269">
        <f t="shared" si="24"/>
        <v>0.49783424398891118</v>
      </c>
      <c r="AB28" s="269">
        <f t="shared" si="24"/>
        <v>0.37947935067861782</v>
      </c>
      <c r="AC28" s="269">
        <f t="shared" si="24"/>
        <v>0.60111395432261783</v>
      </c>
      <c r="AD28" s="269">
        <f t="shared" si="24"/>
        <v>0.41533368386550196</v>
      </c>
      <c r="AE28" s="269">
        <f t="shared" si="24"/>
        <v>0.32675160956491345</v>
      </c>
      <c r="AF28" s="282">
        <f>SUM(AF25:AF27)</f>
        <v>0.32285105211735082</v>
      </c>
      <c r="AG28" s="282">
        <f t="shared" ref="AG28:AN28" si="25">SUM(AG25:AG27)</f>
        <v>0.28253900181956226</v>
      </c>
      <c r="AH28" s="282">
        <f t="shared" si="25"/>
        <v>0.23233518946603171</v>
      </c>
      <c r="AI28" s="282">
        <f t="shared" si="25"/>
        <v>0.19750720810128772</v>
      </c>
      <c r="AJ28" s="282">
        <f t="shared" si="25"/>
        <v>0.16999281647407097</v>
      </c>
      <c r="AK28" s="282">
        <f t="shared" si="25"/>
        <v>0.14887095924843585</v>
      </c>
      <c r="AL28" s="282">
        <f t="shared" si="25"/>
        <v>0.13249568584154117</v>
      </c>
      <c r="AM28" s="282">
        <f t="shared" si="25"/>
        <v>0.12154174661239583</v>
      </c>
      <c r="AN28" s="282">
        <f t="shared" si="25"/>
        <v>0.11250585294747303</v>
      </c>
      <c r="AO28" s="7"/>
    </row>
    <row r="29" spans="2:42" outlineLevel="1">
      <c r="E29" s="70" t="s">
        <v>316</v>
      </c>
      <c r="F29" s="63"/>
      <c r="G29" s="63"/>
      <c r="H29" s="180"/>
      <c r="I29" s="180"/>
      <c r="J29" s="180"/>
      <c r="K29" s="180"/>
      <c r="L29" s="180"/>
      <c r="M29" s="179"/>
      <c r="N29" s="179"/>
      <c r="O29" s="179"/>
      <c r="P29" s="179"/>
      <c r="Q29" s="179"/>
      <c r="R29" s="79"/>
      <c r="S29" s="79"/>
      <c r="T29" s="79"/>
      <c r="U29" s="79"/>
      <c r="V29" s="79"/>
      <c r="W29" s="79"/>
      <c r="X29" s="79"/>
      <c r="Y29" s="79"/>
      <c r="Z29" s="74">
        <f t="shared" ref="Z29:AE29" si="26">Z264</f>
        <v>4</v>
      </c>
      <c r="AA29" s="74">
        <f t="shared" si="26"/>
        <v>5</v>
      </c>
      <c r="AB29" s="74">
        <f t="shared" si="26"/>
        <v>5</v>
      </c>
      <c r="AC29" s="74">
        <f t="shared" si="26"/>
        <v>9</v>
      </c>
      <c r="AD29" s="74">
        <f t="shared" si="26"/>
        <v>8</v>
      </c>
      <c r="AE29" s="74">
        <f t="shared" si="26"/>
        <v>10</v>
      </c>
      <c r="AF29" s="74">
        <f t="shared" ref="AF29:AN29" si="27">AF264</f>
        <v>11</v>
      </c>
      <c r="AG29" s="74">
        <f t="shared" si="27"/>
        <v>12</v>
      </c>
      <c r="AH29" s="74">
        <f t="shared" si="27"/>
        <v>12</v>
      </c>
      <c r="AI29" s="74">
        <f t="shared" si="27"/>
        <v>12</v>
      </c>
      <c r="AJ29" s="74">
        <f t="shared" si="27"/>
        <v>12</v>
      </c>
      <c r="AK29" s="74">
        <f t="shared" si="27"/>
        <v>12</v>
      </c>
      <c r="AL29" s="74">
        <f t="shared" si="27"/>
        <v>12</v>
      </c>
      <c r="AM29" s="74">
        <f t="shared" si="27"/>
        <v>12</v>
      </c>
      <c r="AN29" s="74">
        <f t="shared" si="27"/>
        <v>12</v>
      </c>
      <c r="AO29" s="7"/>
    </row>
    <row r="30" spans="2:42" outlineLevel="1">
      <c r="E30" s="70" t="s">
        <v>258</v>
      </c>
      <c r="F30" s="63"/>
      <c r="G30" s="63"/>
      <c r="H30" s="180"/>
      <c r="I30" s="180"/>
      <c r="J30" s="180"/>
      <c r="K30" s="180"/>
      <c r="L30" s="180"/>
      <c r="M30" s="179"/>
      <c r="N30" s="179"/>
      <c r="O30" s="179"/>
      <c r="P30" s="179"/>
      <c r="Q30" s="179"/>
      <c r="R30" s="79"/>
      <c r="S30" s="79"/>
      <c r="T30" s="79"/>
      <c r="U30" s="79"/>
      <c r="V30" s="79"/>
      <c r="W30" s="79"/>
      <c r="X30" s="79"/>
      <c r="Y30" s="79"/>
      <c r="Z30" s="74">
        <f t="shared" ref="Z30:AE30" si="28">Z255</f>
        <v>31.763000000000005</v>
      </c>
      <c r="AA30" s="74">
        <f t="shared" si="28"/>
        <v>63.542999999999999</v>
      </c>
      <c r="AB30" s="74">
        <f t="shared" si="28"/>
        <v>46.013999999999996</v>
      </c>
      <c r="AC30" s="74">
        <f t="shared" si="28"/>
        <v>285.61832417131694</v>
      </c>
      <c r="AD30" s="74">
        <f t="shared" si="28"/>
        <v>148.88513089652005</v>
      </c>
      <c r="AE30" s="74">
        <f t="shared" si="28"/>
        <v>211.63472748469837</v>
      </c>
      <c r="AF30" s="74">
        <f t="shared" ref="AF30:AN30" si="29">AF255</f>
        <v>260.76922334538426</v>
      </c>
      <c r="AG30" s="74">
        <f t="shared" si="29"/>
        <v>314.84519988187185</v>
      </c>
      <c r="AH30" s="74">
        <f t="shared" si="29"/>
        <v>342.52389877258582</v>
      </c>
      <c r="AI30" s="74">
        <f t="shared" si="29"/>
        <v>371.35587678374623</v>
      </c>
      <c r="AJ30" s="74">
        <f t="shared" si="29"/>
        <v>396.7280174335674</v>
      </c>
      <c r="AK30" s="74">
        <f t="shared" si="29"/>
        <v>422.86901083035292</v>
      </c>
      <c r="AL30" s="74">
        <f t="shared" si="29"/>
        <v>449.77885697410267</v>
      </c>
      <c r="AM30" s="74">
        <f t="shared" si="29"/>
        <v>477.4575558648167</v>
      </c>
      <c r="AN30" s="74">
        <f t="shared" si="29"/>
        <v>505.90510750249496</v>
      </c>
      <c r="AO30" s="7"/>
    </row>
    <row r="31" spans="2:42" outlineLevel="1">
      <c r="E31" s="245" t="s">
        <v>475</v>
      </c>
      <c r="F31" s="63"/>
      <c r="G31" s="63"/>
      <c r="H31" s="180"/>
      <c r="I31" s="180"/>
      <c r="J31" s="180"/>
      <c r="K31" s="180"/>
      <c r="L31" s="180"/>
      <c r="M31" s="179"/>
      <c r="N31" s="179"/>
      <c r="O31" s="179"/>
      <c r="P31" s="179"/>
      <c r="Q31" s="179"/>
      <c r="R31" s="79"/>
      <c r="S31" s="79"/>
      <c r="T31" s="79"/>
      <c r="U31" s="79"/>
      <c r="V31" s="79"/>
      <c r="W31" s="79"/>
      <c r="X31" s="79"/>
      <c r="Y31" s="79"/>
      <c r="Z31" s="309">
        <f>Z263</f>
        <v>0.26539830518048346</v>
      </c>
      <c r="AA31" s="309">
        <f t="shared" ref="AA31:AN31" si="30">AA263</f>
        <v>0.24985321497676893</v>
      </c>
      <c r="AB31" s="309">
        <f t="shared" si="30"/>
        <v>0.29123400549196998</v>
      </c>
      <c r="AC31" s="309">
        <f t="shared" si="30"/>
        <v>0.56934557317021561</v>
      </c>
      <c r="AD31" s="309">
        <f t="shared" si="30"/>
        <v>0.35749999999999998</v>
      </c>
      <c r="AE31" s="309">
        <f t="shared" si="30"/>
        <v>0.3775</v>
      </c>
      <c r="AF31" s="309">
        <f t="shared" si="30"/>
        <v>0.4</v>
      </c>
      <c r="AG31" s="309">
        <f t="shared" si="30"/>
        <v>0.42000000000000004</v>
      </c>
      <c r="AH31" s="309">
        <f t="shared" si="30"/>
        <v>0.44000000000000006</v>
      </c>
      <c r="AI31" s="309">
        <f t="shared" si="30"/>
        <v>0.46000000000000008</v>
      </c>
      <c r="AJ31" s="309">
        <f t="shared" si="30"/>
        <v>0.48000000000000009</v>
      </c>
      <c r="AK31" s="309">
        <f t="shared" si="30"/>
        <v>0.50000000000000011</v>
      </c>
      <c r="AL31" s="309">
        <f t="shared" si="30"/>
        <v>0.52000000000000013</v>
      </c>
      <c r="AM31" s="309">
        <f t="shared" si="30"/>
        <v>0.54000000000000015</v>
      </c>
      <c r="AN31" s="309">
        <f t="shared" si="30"/>
        <v>0.56000000000000016</v>
      </c>
      <c r="AO31" s="7"/>
    </row>
    <row r="32" spans="2:42" outlineLevel="1">
      <c r="E32" s="70" t="s">
        <v>267</v>
      </c>
      <c r="F32" s="63"/>
      <c r="G32" s="63"/>
      <c r="H32" s="180"/>
      <c r="I32" s="180"/>
      <c r="J32" s="180"/>
      <c r="K32" s="180"/>
      <c r="L32" s="180"/>
      <c r="M32" s="179"/>
      <c r="N32" s="179"/>
      <c r="O32" s="179"/>
      <c r="P32" s="179"/>
      <c r="Q32" s="179"/>
      <c r="R32" s="79"/>
      <c r="S32" s="79"/>
      <c r="T32" s="79"/>
      <c r="U32" s="79"/>
      <c r="V32" s="79"/>
      <c r="W32" s="79"/>
      <c r="X32" s="79"/>
      <c r="Y32" s="74"/>
      <c r="Z32" s="74">
        <f t="shared" ref="Z32:AM32" si="31">Z180</f>
        <v>19.286000000000001</v>
      </c>
      <c r="AA32" s="74">
        <f t="shared" si="31"/>
        <v>35.015000000000001</v>
      </c>
      <c r="AB32" s="74">
        <f t="shared" si="31"/>
        <v>30.916</v>
      </c>
      <c r="AC32" s="74">
        <f t="shared" si="31"/>
        <v>102.53577582868317</v>
      </c>
      <c r="AD32" s="74">
        <f t="shared" si="31"/>
        <v>95.420516693624862</v>
      </c>
      <c r="AE32" s="74">
        <f t="shared" si="31"/>
        <v>101.08141312821712</v>
      </c>
      <c r="AF32" s="74">
        <f t="shared" si="31"/>
        <v>115.16139465741135</v>
      </c>
      <c r="AG32" s="74">
        <f t="shared" si="31"/>
        <v>134.4645309726919</v>
      </c>
      <c r="AH32" s="74">
        <f t="shared" si="31"/>
        <v>149.41960374636989</v>
      </c>
      <c r="AI32" s="74">
        <f t="shared" si="31"/>
        <v>162.2407818649697</v>
      </c>
      <c r="AJ32" s="74">
        <f t="shared" si="31"/>
        <v>172.92553945485335</v>
      </c>
      <c r="AK32" s="74">
        <f t="shared" si="31"/>
        <v>182.58807185403214</v>
      </c>
      <c r="AL32" s="74">
        <f t="shared" si="31"/>
        <v>191.78040187300536</v>
      </c>
      <c r="AM32" s="74">
        <f t="shared" si="31"/>
        <v>200.76941874659903</v>
      </c>
      <c r="AN32" s="74">
        <f>AN180</f>
        <v>209.68076731974625</v>
      </c>
      <c r="AO32" s="7"/>
    </row>
    <row r="33" spans="5:42" outlineLevel="1">
      <c r="E33" s="3"/>
      <c r="F33" s="63"/>
      <c r="G33" s="63"/>
      <c r="H33" s="180"/>
      <c r="I33" s="180"/>
      <c r="J33" s="180"/>
      <c r="K33" s="180"/>
      <c r="L33" s="180"/>
      <c r="M33" s="179"/>
      <c r="N33" s="179"/>
      <c r="O33" s="179"/>
      <c r="P33" s="179"/>
      <c r="Q33" s="1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64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7"/>
    </row>
    <row r="34" spans="5:42" outlineLevel="1">
      <c r="E34" s="84" t="s">
        <v>261</v>
      </c>
      <c r="F34" s="63"/>
      <c r="G34" s="63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 t="str">
        <f t="shared" ref="Y34:AN34" si="32">IFERROR(Y8/X8-1,"na")</f>
        <v>na</v>
      </c>
      <c r="Z34" s="214">
        <f t="shared" si="32"/>
        <v>7.551440192762561</v>
      </c>
      <c r="AA34" s="214">
        <f t="shared" si="32"/>
        <v>0.39519415574595818</v>
      </c>
      <c r="AB34" s="214">
        <f t="shared" si="32"/>
        <v>0.3900418551134941</v>
      </c>
      <c r="AC34" s="214">
        <f t="shared" si="32"/>
        <v>0.62670594562465554</v>
      </c>
      <c r="AD34" s="214">
        <f t="shared" si="32"/>
        <v>0.40484030291085538</v>
      </c>
      <c r="AE34" s="214">
        <f t="shared" si="32"/>
        <v>0.32009578866368127</v>
      </c>
      <c r="AF34" s="214">
        <f t="shared" si="32"/>
        <v>0.31451445457317462</v>
      </c>
      <c r="AG34" s="214">
        <f t="shared" si="32"/>
        <v>0.27440519130444674</v>
      </c>
      <c r="AH34" s="214">
        <f t="shared" si="32"/>
        <v>0.22289682779837472</v>
      </c>
      <c r="AI34" s="214">
        <f t="shared" si="32"/>
        <v>0.18826480443095117</v>
      </c>
      <c r="AJ34" s="214">
        <f t="shared" si="32"/>
        <v>0.15937581973697013</v>
      </c>
      <c r="AK34" s="214">
        <f t="shared" si="32"/>
        <v>0.13835016088604002</v>
      </c>
      <c r="AL34" s="214">
        <f t="shared" si="32"/>
        <v>0.12053375389936627</v>
      </c>
      <c r="AM34" s="214">
        <f t="shared" si="32"/>
        <v>0.10956905413740392</v>
      </c>
      <c r="AN34" s="214">
        <f t="shared" si="32"/>
        <v>0.10050147124243014</v>
      </c>
      <c r="AO34" s="7"/>
    </row>
    <row r="35" spans="5:42" outlineLevel="1">
      <c r="E35" s="84" t="s">
        <v>262</v>
      </c>
      <c r="F35" s="63"/>
      <c r="G35" s="63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 t="str">
        <f t="shared" ref="Y35:AD35" si="33">IFERROR(Y7/X7-1,"na")</f>
        <v>na</v>
      </c>
      <c r="Z35" s="214">
        <f t="shared" si="33"/>
        <v>8.5817110316514373</v>
      </c>
      <c r="AA35" s="214">
        <f t="shared" si="33"/>
        <v>1.046619627789334</v>
      </c>
      <c r="AB35" s="214">
        <f t="shared" si="33"/>
        <v>0.34098030740970864</v>
      </c>
      <c r="AC35" s="214">
        <f t="shared" si="33"/>
        <v>0.50442149878614817</v>
      </c>
      <c r="AD35" s="214">
        <f t="shared" si="33"/>
        <v>0.45820269570461081</v>
      </c>
      <c r="AE35" s="214">
        <f>IFERROR(AE7/AD7-1,"na")</f>
        <v>0.35294783513613015</v>
      </c>
      <c r="AF35" s="214">
        <f t="shared" ref="AF35:AN35" si="34">IFERROR(AF7/AE7-1,"na")</f>
        <v>0.35486581752568269</v>
      </c>
      <c r="AG35" s="214">
        <f t="shared" si="34"/>
        <v>0.31284472268074226</v>
      </c>
      <c r="AH35" s="214">
        <f t="shared" si="34"/>
        <v>0.26647187504430003</v>
      </c>
      <c r="AI35" s="214">
        <f t="shared" si="34"/>
        <v>0.22978500901118504</v>
      </c>
      <c r="AJ35" s="214">
        <f t="shared" si="34"/>
        <v>0.20581934501850285</v>
      </c>
      <c r="AK35" s="214">
        <f t="shared" si="34"/>
        <v>0.18300547399595812</v>
      </c>
      <c r="AL35" s="214">
        <f t="shared" si="34"/>
        <v>0.16984094541457728</v>
      </c>
      <c r="AM35" s="214">
        <f t="shared" si="34"/>
        <v>0.15734513322953392</v>
      </c>
      <c r="AN35" s="214">
        <f t="shared" si="34"/>
        <v>0.14692210098210956</v>
      </c>
      <c r="AO35" s="7"/>
    </row>
    <row r="36" spans="5:42" outlineLevel="1">
      <c r="E36" s="84" t="s">
        <v>428</v>
      </c>
      <c r="F36" s="63"/>
      <c r="G36" s="63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>
        <f>IFERROR(Y7/Y9,"na")</f>
        <v>0.14304387360763809</v>
      </c>
      <c r="Z36" s="214">
        <f t="shared" ref="Z36:AE36" si="35">IFERROR(Z7/Z9,"na")</f>
        <v>0.15756228862373775</v>
      </c>
      <c r="AA36" s="214">
        <f t="shared" si="35"/>
        <v>0.21529089336212096</v>
      </c>
      <c r="AB36" s="214">
        <f t="shared" si="35"/>
        <v>0.20928247184071655</v>
      </c>
      <c r="AC36" s="214">
        <f t="shared" si="35"/>
        <v>0.19664374862655143</v>
      </c>
      <c r="AD36" s="214">
        <f t="shared" si="35"/>
        <v>0.20259988694506789</v>
      </c>
      <c r="AE36" s="214">
        <f t="shared" si="35"/>
        <v>0.20660014765766382</v>
      </c>
      <c r="AF36" s="248">
        <f>AE36+0.005</f>
        <v>0.21160014765766383</v>
      </c>
      <c r="AG36" s="248">
        <f>AF36+0.005</f>
        <v>0.21660014765766383</v>
      </c>
      <c r="AH36" s="248">
        <f>AG36+0.006</f>
        <v>0.22260014765766384</v>
      </c>
      <c r="AI36" s="248">
        <f>AH36+0.006</f>
        <v>0.22860014765766384</v>
      </c>
      <c r="AJ36" s="248">
        <f>AI36+0.007</f>
        <v>0.23560014765766385</v>
      </c>
      <c r="AK36" s="248">
        <f>AJ36+0.007</f>
        <v>0.24260014765766386</v>
      </c>
      <c r="AL36" s="248">
        <f>AK36+0.008</f>
        <v>0.25060014765766386</v>
      </c>
      <c r="AM36" s="248">
        <f>AL36+0.008</f>
        <v>0.25860014765766387</v>
      </c>
      <c r="AN36" s="248">
        <f>AM36+0.008</f>
        <v>0.26660014765766388</v>
      </c>
      <c r="AO36" s="7"/>
    </row>
    <row r="37" spans="5:42" outlineLevel="1">
      <c r="E37" s="3"/>
      <c r="F37" s="63"/>
      <c r="G37" s="6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326"/>
      <c r="AC37" s="326"/>
      <c r="AD37" s="326"/>
      <c r="AE37" s="326"/>
      <c r="AF37" s="326"/>
      <c r="AG37" s="326"/>
      <c r="AH37" s="326"/>
      <c r="AI37" s="326"/>
      <c r="AJ37" s="326"/>
      <c r="AK37" s="326"/>
      <c r="AL37" s="326"/>
      <c r="AM37" s="326"/>
      <c r="AN37" s="326"/>
      <c r="AO37" s="7"/>
    </row>
    <row r="38" spans="5:42" outlineLevel="1">
      <c r="E38" s="84" t="s">
        <v>153</v>
      </c>
      <c r="F38" s="63"/>
      <c r="G38" s="63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>
        <f t="shared" ref="Y38:AE38" si="36">IFERROR(Y11/Y9,"na")</f>
        <v>0.20178828521633704</v>
      </c>
      <c r="Z38" s="214">
        <f t="shared" si="36"/>
        <v>0.19997038282377996</v>
      </c>
      <c r="AA38" s="214">
        <f t="shared" si="36"/>
        <v>0.24195290747969975</v>
      </c>
      <c r="AB38" s="214">
        <f t="shared" si="36"/>
        <v>0.25146421950276082</v>
      </c>
      <c r="AC38" s="214">
        <f t="shared" si="36"/>
        <v>0.22757075025310017</v>
      </c>
      <c r="AD38" s="214">
        <f t="shared" si="36"/>
        <v>0.2315428996376096</v>
      </c>
      <c r="AE38" s="214">
        <f t="shared" si="36"/>
        <v>0.23494312124331615</v>
      </c>
      <c r="AF38" s="248">
        <f>MIN(AE38+0.00225,0.275)</f>
        <v>0.23719312124331615</v>
      </c>
      <c r="AG38" s="248">
        <f t="shared" ref="AG38:AN38" si="37">MIN(AF38+0.00225,0.275)</f>
        <v>0.23944312124331615</v>
      </c>
      <c r="AH38" s="248">
        <f t="shared" si="37"/>
        <v>0.24169312124331616</v>
      </c>
      <c r="AI38" s="248">
        <f t="shared" si="37"/>
        <v>0.24394312124331616</v>
      </c>
      <c r="AJ38" s="248">
        <f t="shared" si="37"/>
        <v>0.24619312124331616</v>
      </c>
      <c r="AK38" s="248">
        <f t="shared" si="37"/>
        <v>0.24844312124331616</v>
      </c>
      <c r="AL38" s="248">
        <f t="shared" si="37"/>
        <v>0.25069312124331616</v>
      </c>
      <c r="AM38" s="248">
        <f t="shared" si="37"/>
        <v>0.25294312124331614</v>
      </c>
      <c r="AN38" s="248">
        <f t="shared" si="37"/>
        <v>0.25519312124331611</v>
      </c>
      <c r="AO38" s="7"/>
      <c r="AP38" s="333">
        <f>AL38-AC38</f>
        <v>2.3122370990215996E-2</v>
      </c>
    </row>
    <row r="39" spans="5:42" outlineLevel="1">
      <c r="E39" s="84" t="s">
        <v>257</v>
      </c>
      <c r="F39" s="63"/>
      <c r="G39" s="63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>
        <f t="shared" ref="Y39:AE39" si="38">IFERROR(Y15/Y9,"na")</f>
        <v>-2.0819125558839097E-2</v>
      </c>
      <c r="Z39" s="270">
        <f t="shared" si="38"/>
        <v>2.0553449203276158E-2</v>
      </c>
      <c r="AA39" s="270">
        <f t="shared" si="38"/>
        <v>2.0222595395430476E-2</v>
      </c>
      <c r="AB39" s="270">
        <f t="shared" si="38"/>
        <v>3.3973475941690416E-2</v>
      </c>
      <c r="AC39" s="270">
        <f t="shared" si="38"/>
        <v>3.3401605902515313E-2</v>
      </c>
      <c r="AD39" s="270">
        <f t="shared" si="38"/>
        <v>3.5735209517549063E-2</v>
      </c>
      <c r="AE39" s="270">
        <f t="shared" si="38"/>
        <v>4.1095896750160968E-2</v>
      </c>
      <c r="AF39" s="270">
        <f t="shared" ref="AF39:AN39" ca="1" si="39">IFERROR(AF15/AF9,"na")</f>
        <v>5.0164827041371991E-2</v>
      </c>
      <c r="AG39" s="270">
        <f t="shared" ca="1" si="39"/>
        <v>5.5360521953975068E-2</v>
      </c>
      <c r="AH39" s="270">
        <f t="shared" ca="1" si="39"/>
        <v>5.9648921322114912E-2</v>
      </c>
      <c r="AI39" s="270">
        <f t="shared" ca="1" si="39"/>
        <v>6.4248541384556337E-2</v>
      </c>
      <c r="AJ39" s="270">
        <f t="shared" ca="1" si="39"/>
        <v>6.7967525160986836E-2</v>
      </c>
      <c r="AK39" s="270">
        <f t="shared" ca="1" si="39"/>
        <v>7.1795538235036344E-2</v>
      </c>
      <c r="AL39" s="270">
        <f t="shared" ca="1" si="39"/>
        <v>7.5179059668902995E-2</v>
      </c>
      <c r="AM39" s="270">
        <f t="shared" ca="1" si="39"/>
        <v>7.8634079296308335E-2</v>
      </c>
      <c r="AN39" s="270">
        <f t="shared" ca="1" si="39"/>
        <v>8.1625799299363422E-2</v>
      </c>
      <c r="AO39" s="7"/>
      <c r="AP39" s="14"/>
    </row>
    <row r="40" spans="5:42" outlineLevel="1">
      <c r="E40" s="80" t="s">
        <v>350</v>
      </c>
      <c r="F40" s="63"/>
      <c r="G40" s="63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>
        <f t="shared" ref="Y40:AE40" si="40">IFERROR(Y12/Y9,"na")</f>
        <v>0.20570963097673711</v>
      </c>
      <c r="Z40" s="270">
        <f t="shared" si="40"/>
        <v>0.16475643139159352</v>
      </c>
      <c r="AA40" s="270">
        <f t="shared" si="40"/>
        <v>0.19467864698056833</v>
      </c>
      <c r="AB40" s="270">
        <f t="shared" si="40"/>
        <v>0.18728624292394913</v>
      </c>
      <c r="AC40" s="270">
        <f t="shared" si="40"/>
        <v>0.17207586944679629</v>
      </c>
      <c r="AD40" s="270">
        <f t="shared" si="40"/>
        <v>0.16936004522197282</v>
      </c>
      <c r="AE40" s="270">
        <f t="shared" si="40"/>
        <v>0.16775994093693439</v>
      </c>
      <c r="AF40" s="248">
        <f>MAX(AE40-0.003,0.13)</f>
        <v>0.16475994093693438</v>
      </c>
      <c r="AG40" s="248">
        <f>MAX(AF40-0.003,0.13)</f>
        <v>0.16175994093693438</v>
      </c>
      <c r="AH40" s="248">
        <f>MAX(AG40-0.003,0.13)</f>
        <v>0.15875994093693438</v>
      </c>
      <c r="AI40" s="248">
        <f>MAX(AH40-0.003,0.13)</f>
        <v>0.15575994093693438</v>
      </c>
      <c r="AJ40" s="248">
        <f>MAX(AI40-0.002,0.13)</f>
        <v>0.15375994093693438</v>
      </c>
      <c r="AK40" s="248">
        <f>MAX(AJ40-0.002,0.13)</f>
        <v>0.15175994093693437</v>
      </c>
      <c r="AL40" s="248">
        <f>MAX(AK40-0.0015,0.13)</f>
        <v>0.15025994093693437</v>
      </c>
      <c r="AM40" s="248">
        <f>MAX(AL40-0.0015,0.13)</f>
        <v>0.14875994093693437</v>
      </c>
      <c r="AN40" s="248">
        <f>MAX(AM40-0.001,0.13)</f>
        <v>0.14775994093693437</v>
      </c>
      <c r="AO40" s="7"/>
      <c r="AP40" s="333">
        <f>AL40-AC40</f>
        <v>-2.1815928509861915E-2</v>
      </c>
    </row>
    <row r="41" spans="5:42" outlineLevel="1">
      <c r="E41" s="80" t="s">
        <v>351</v>
      </c>
      <c r="F41" s="63"/>
      <c r="G41" s="63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>
        <f t="shared" ref="Y41:AE41" si="41">IFERROR(Y14/Y9,"na")</f>
        <v>2.0648632264908691E-3</v>
      </c>
      <c r="Z41" s="270">
        <f t="shared" si="41"/>
        <v>-4.8781231421210697E-4</v>
      </c>
      <c r="AA41" s="270">
        <f t="shared" si="41"/>
        <v>1.0453696232162197E-3</v>
      </c>
      <c r="AB41" s="270">
        <f t="shared" si="41"/>
        <v>1.6958280942538937E-3</v>
      </c>
      <c r="AC41" s="270">
        <f t="shared" si="41"/>
        <v>-3.6106065946270288E-3</v>
      </c>
      <c r="AD41" s="270">
        <f t="shared" si="41"/>
        <v>0</v>
      </c>
      <c r="AE41" s="270">
        <f t="shared" si="41"/>
        <v>0</v>
      </c>
      <c r="AF41" s="248">
        <v>0</v>
      </c>
      <c r="AG41" s="248">
        <f>AF41</f>
        <v>0</v>
      </c>
      <c r="AH41" s="248">
        <f t="shared" ref="AH41:AN41" si="42">AG41</f>
        <v>0</v>
      </c>
      <c r="AI41" s="248">
        <f t="shared" si="42"/>
        <v>0</v>
      </c>
      <c r="AJ41" s="248">
        <f t="shared" si="42"/>
        <v>0</v>
      </c>
      <c r="AK41" s="248">
        <f t="shared" si="42"/>
        <v>0</v>
      </c>
      <c r="AL41" s="248">
        <f t="shared" si="42"/>
        <v>0</v>
      </c>
      <c r="AM41" s="248">
        <f t="shared" si="42"/>
        <v>0</v>
      </c>
      <c r="AN41" s="248">
        <f t="shared" si="42"/>
        <v>0</v>
      </c>
      <c r="AO41" s="7"/>
    </row>
    <row r="42" spans="5:42" outlineLevel="1">
      <c r="E42" s="84" t="s">
        <v>473</v>
      </c>
      <c r="F42" s="63"/>
      <c r="G42" s="63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>
        <f>(Y15+Y13)/Y9</f>
        <v>-5.986208986890929E-3</v>
      </c>
      <c r="Z42" s="270">
        <f t="shared" ref="Z42:AN42" si="43">(Z15+Z13)/Z9</f>
        <v>3.5701763746398545E-2</v>
      </c>
      <c r="AA42" s="270">
        <f t="shared" si="43"/>
        <v>4.622889087591521E-2</v>
      </c>
      <c r="AB42" s="270">
        <f t="shared" si="43"/>
        <v>6.2482148484557763E-2</v>
      </c>
      <c r="AC42" s="270">
        <f t="shared" si="43"/>
        <v>5.9105487400930946E-2</v>
      </c>
      <c r="AD42" s="270">
        <f t="shared" si="43"/>
        <v>6.2182854415636792E-2</v>
      </c>
      <c r="AE42" s="270">
        <f t="shared" si="43"/>
        <v>6.7183180306381762E-2</v>
      </c>
      <c r="AF42" s="270">
        <f t="shared" ca="1" si="43"/>
        <v>7.2433180306381767E-2</v>
      </c>
      <c r="AG42" s="270">
        <f t="shared" ca="1" si="43"/>
        <v>7.7683180306381758E-2</v>
      </c>
      <c r="AH42" s="270">
        <f t="shared" ca="1" si="43"/>
        <v>8.2933180306381762E-2</v>
      </c>
      <c r="AI42" s="270">
        <f t="shared" ca="1" si="43"/>
        <v>8.8183180306381795E-2</v>
      </c>
      <c r="AJ42" s="270">
        <f t="shared" ca="1" si="43"/>
        <v>9.2433180306381785E-2</v>
      </c>
      <c r="AK42" s="270">
        <f t="shared" ca="1" si="43"/>
        <v>9.6683180306381802E-2</v>
      </c>
      <c r="AL42" s="270">
        <f t="shared" ca="1" si="43"/>
        <v>0.10043318030638178</v>
      </c>
      <c r="AM42" s="270">
        <f t="shared" ca="1" si="43"/>
        <v>0.10418318030638174</v>
      </c>
      <c r="AN42" s="270">
        <f t="shared" ca="1" si="43"/>
        <v>0.10743318030638171</v>
      </c>
      <c r="AO42" s="7"/>
    </row>
    <row r="43" spans="5:42" outlineLevel="1">
      <c r="E43" s="84" t="s">
        <v>104</v>
      </c>
      <c r="F43" s="63"/>
      <c r="G43" s="63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>
        <f t="shared" ref="Z43:AE43" si="44">IFERROR((Z17+Z13)/Z9,"na")</f>
        <v>-2.358485429873739E-3</v>
      </c>
      <c r="AA43" s="270">
        <f t="shared" si="44"/>
        <v>3.0759165158223169E-2</v>
      </c>
      <c r="AB43" s="270">
        <f t="shared" si="44"/>
        <v>4.6606288581670006E-2</v>
      </c>
      <c r="AC43" s="270">
        <f t="shared" si="44"/>
        <v>3.9426749213725534E-2</v>
      </c>
      <c r="AD43" s="270">
        <f t="shared" si="44"/>
        <v>4.3881077898040854E-2</v>
      </c>
      <c r="AE43" s="270">
        <f t="shared" si="44"/>
        <v>5.4010872419534867E-2</v>
      </c>
      <c r="AF43" s="270">
        <f t="shared" ref="AF43:AN43" ca="1" si="45">IFERROR((AF17+AF13)/AF9,"na")</f>
        <v>5.8612467087610046E-2</v>
      </c>
      <c r="AG43" s="270">
        <f t="shared" ca="1" si="45"/>
        <v>6.4672481670425719E-2</v>
      </c>
      <c r="AH43" s="270">
        <f t="shared" ca="1" si="45"/>
        <v>7.1447266052508174E-2</v>
      </c>
      <c r="AI43" s="270">
        <f t="shared" ca="1" si="45"/>
        <v>7.778429337795513E-2</v>
      </c>
      <c r="AJ43" s="270">
        <f t="shared" ca="1" si="45"/>
        <v>8.2937934070811709E-2</v>
      </c>
      <c r="AK43" s="270">
        <f t="shared" ca="1" si="45"/>
        <v>8.7873747085179088E-2</v>
      </c>
      <c r="AL43" s="270">
        <f t="shared" ca="1" si="45"/>
        <v>9.2159388508106899E-2</v>
      </c>
      <c r="AM43" s="270">
        <f t="shared" ca="1" si="45"/>
        <v>9.6352042283067804E-2</v>
      </c>
      <c r="AN43" s="270">
        <f t="shared" ca="1" si="45"/>
        <v>9.9974588025368433E-2</v>
      </c>
      <c r="AO43" s="7"/>
    </row>
    <row r="44" spans="5:42" outlineLevel="1">
      <c r="E44" s="84" t="s">
        <v>168</v>
      </c>
      <c r="F44" s="63"/>
      <c r="G44" s="63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>
        <f t="shared" ref="Y44:AE44" si="46">IFERROR(Y17/Y9,"na")</f>
        <v>-5.4671516253693986E-2</v>
      </c>
      <c r="Z44" s="270">
        <f t="shared" si="46"/>
        <v>-1.7506799972996132E-2</v>
      </c>
      <c r="AA44" s="270">
        <f t="shared" si="46"/>
        <v>4.7528696777384321E-3</v>
      </c>
      <c r="AB44" s="270">
        <f t="shared" si="46"/>
        <v>1.8097616038802656E-2</v>
      </c>
      <c r="AC44" s="270">
        <f t="shared" si="46"/>
        <v>1.3722867715309906E-2</v>
      </c>
      <c r="AD44" s="270">
        <f t="shared" si="46"/>
        <v>1.7433432999953136E-2</v>
      </c>
      <c r="AE44" s="270">
        <f t="shared" si="46"/>
        <v>2.7923588863314062E-2</v>
      </c>
      <c r="AF44" s="270">
        <f t="shared" ref="AF44:AN44" ca="1" si="47">IFERROR(AF17/AF9,"na")</f>
        <v>3.6344113822600284E-2</v>
      </c>
      <c r="AG44" s="270">
        <f t="shared" ca="1" si="47"/>
        <v>4.2349823318019023E-2</v>
      </c>
      <c r="AH44" s="270">
        <f t="shared" ca="1" si="47"/>
        <v>4.816300706824133E-2</v>
      </c>
      <c r="AI44" s="270">
        <f t="shared" ca="1" si="47"/>
        <v>5.3849654456129679E-2</v>
      </c>
      <c r="AJ44" s="270">
        <f t="shared" ca="1" si="47"/>
        <v>5.8472278925416746E-2</v>
      </c>
      <c r="AK44" s="270">
        <f t="shared" ca="1" si="47"/>
        <v>6.2986105013833629E-2</v>
      </c>
      <c r="AL44" s="270">
        <f t="shared" ca="1" si="47"/>
        <v>6.6905267870628116E-2</v>
      </c>
      <c r="AM44" s="270">
        <f t="shared" ca="1" si="47"/>
        <v>7.0802941272994399E-2</v>
      </c>
      <c r="AN44" s="270">
        <f t="shared" ca="1" si="47"/>
        <v>7.416720701835014E-2</v>
      </c>
      <c r="AO44" s="7"/>
    </row>
    <row r="45" spans="5:42" outlineLevel="1">
      <c r="E45" s="80" t="s">
        <v>353</v>
      </c>
      <c r="F45" s="63"/>
      <c r="G45" s="63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 t="str">
        <f t="shared" ref="Y45:AE45" si="48">IFERROR(Y16/Y30,"na")</f>
        <v>na</v>
      </c>
      <c r="Z45" s="270">
        <f t="shared" si="48"/>
        <v>0.55023140131599657</v>
      </c>
      <c r="AA45" s="270">
        <f t="shared" si="48"/>
        <v>0.16744566671387881</v>
      </c>
      <c r="AB45" s="270">
        <f t="shared" si="48"/>
        <v>0.32735689138088414</v>
      </c>
      <c r="AC45" s="270">
        <f t="shared" si="48"/>
        <v>0.10466648558106763</v>
      </c>
      <c r="AD45" s="270">
        <f t="shared" si="48"/>
        <v>0.26430003725437851</v>
      </c>
      <c r="AE45" s="270">
        <f t="shared" si="48"/>
        <v>0.17754966887417217</v>
      </c>
      <c r="AF45" s="248">
        <v>0.2</v>
      </c>
      <c r="AG45" s="248">
        <f>AF45</f>
        <v>0.2</v>
      </c>
      <c r="AH45" s="248">
        <f t="shared" ref="AH45:AN45" si="49">AG45</f>
        <v>0.2</v>
      </c>
      <c r="AI45" s="248">
        <f t="shared" si="49"/>
        <v>0.2</v>
      </c>
      <c r="AJ45" s="248">
        <f t="shared" si="49"/>
        <v>0.2</v>
      </c>
      <c r="AK45" s="248">
        <f t="shared" si="49"/>
        <v>0.2</v>
      </c>
      <c r="AL45" s="248">
        <f t="shared" si="49"/>
        <v>0.2</v>
      </c>
      <c r="AM45" s="248">
        <f t="shared" si="49"/>
        <v>0.2</v>
      </c>
      <c r="AN45" s="248">
        <f t="shared" si="49"/>
        <v>0.2</v>
      </c>
      <c r="AO45" s="7"/>
    </row>
    <row r="46" spans="5:42" outlineLevel="1">
      <c r="E46" s="80" t="s">
        <v>352</v>
      </c>
      <c r="F46" s="63"/>
      <c r="G46" s="63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 t="str">
        <f t="shared" ref="Y46:AE46" si="50">IFERROR(Y16/Y32,"na")</f>
        <v>na</v>
      </c>
      <c r="Z46" s="270">
        <f t="shared" si="50"/>
        <v>0.90620138960904273</v>
      </c>
      <c r="AA46" s="270">
        <f t="shared" si="50"/>
        <v>0.30386977009852922</v>
      </c>
      <c r="AB46" s="270">
        <f t="shared" si="50"/>
        <v>0.48722344417130292</v>
      </c>
      <c r="AC46" s="270">
        <f t="shared" si="50"/>
        <v>0.29155351843744637</v>
      </c>
      <c r="AD46" s="270">
        <f t="shared" si="50"/>
        <v>0.41238872944818483</v>
      </c>
      <c r="AE46" s="270">
        <f t="shared" si="50"/>
        <v>0.37173674787787986</v>
      </c>
      <c r="AF46" s="270">
        <f t="shared" ref="AF46:AN46" si="51">IFERROR(AF16/AF32,"na")</f>
        <v>0.45287611203586992</v>
      </c>
      <c r="AG46" s="270">
        <f t="shared" si="51"/>
        <v>0.46829479507248356</v>
      </c>
      <c r="AH46" s="270">
        <f t="shared" si="51"/>
        <v>0.45847250318505467</v>
      </c>
      <c r="AI46" s="270">
        <f t="shared" si="51"/>
        <v>0.45778363801626593</v>
      </c>
      <c r="AJ46" s="270">
        <f t="shared" si="51"/>
        <v>0.45884259628074597</v>
      </c>
      <c r="AK46" s="270">
        <f t="shared" si="51"/>
        <v>0.46319456308012341</v>
      </c>
      <c r="AL46" s="270">
        <f t="shared" si="51"/>
        <v>0.46905612104404787</v>
      </c>
      <c r="AM46" s="270">
        <f t="shared" si="51"/>
        <v>0.47562777124681466</v>
      </c>
      <c r="AN46" s="270">
        <f t="shared" si="51"/>
        <v>0.48254793605465068</v>
      </c>
      <c r="AO46" s="7"/>
    </row>
    <row r="47" spans="5:42" outlineLevel="1">
      <c r="E47" s="84" t="s">
        <v>325</v>
      </c>
      <c r="F47" s="63"/>
      <c r="G47" s="63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>
        <f t="shared" ref="Y47:AE47" si="52">IFERROR(Y23/Y9,"na")</f>
        <v>-7.4240357657043232E-2</v>
      </c>
      <c r="Z47" s="270">
        <f t="shared" si="52"/>
        <v>-3.9713148937374952E-2</v>
      </c>
      <c r="AA47" s="270">
        <f t="shared" si="52"/>
        <v>-1.576051003569362E-2</v>
      </c>
      <c r="AB47" s="270">
        <f t="shared" si="52"/>
        <v>-4.4002997473649094E-3</v>
      </c>
      <c r="AC47" s="270">
        <f t="shared" si="52"/>
        <v>6.1291697802632172E-3</v>
      </c>
      <c r="AD47" s="270">
        <f t="shared" si="52"/>
        <v>1.0237935722717365E-2</v>
      </c>
      <c r="AE47" s="270">
        <f t="shared" si="52"/>
        <v>1.7739992143051726E-2</v>
      </c>
      <c r="AF47" s="270">
        <f t="shared" ref="AF47:AN47" ca="1" si="53">IFERROR(AF23/AF9,"na")</f>
        <v>2.3430125123727403E-2</v>
      </c>
      <c r="AG47" s="270">
        <f t="shared" ca="1" si="53"/>
        <v>2.7765176994595204E-2</v>
      </c>
      <c r="AH47" s="270">
        <f t="shared" ca="1" si="53"/>
        <v>3.2024883114370149E-2</v>
      </c>
      <c r="AI47" s="270">
        <f t="shared" ca="1" si="53"/>
        <v>3.6331749542218815E-2</v>
      </c>
      <c r="AJ47" s="270">
        <f t="shared" ca="1" si="53"/>
        <v>3.9985804644555825E-2</v>
      </c>
      <c r="AK47" s="270">
        <f t="shared" ca="1" si="53"/>
        <v>4.3598777945505492E-2</v>
      </c>
      <c r="AL47" s="270">
        <f t="shared" ca="1" si="53"/>
        <v>4.6791047878624509E-2</v>
      </c>
      <c r="AM47" s="270">
        <f t="shared" ca="1" si="53"/>
        <v>4.982201276961877E-2</v>
      </c>
      <c r="AN47" s="270">
        <f t="shared" ca="1" si="53"/>
        <v>5.2304180412668357E-2</v>
      </c>
      <c r="AO47" s="7"/>
    </row>
    <row r="48" spans="5:42" outlineLevel="1">
      <c r="E48" s="3"/>
      <c r="F48" s="63"/>
      <c r="G48" s="63"/>
      <c r="H48" s="180"/>
      <c r="I48" s="180"/>
      <c r="J48" s="180"/>
      <c r="K48" s="180"/>
      <c r="L48" s="180"/>
      <c r="M48" s="179"/>
      <c r="N48" s="179"/>
      <c r="O48" s="179"/>
      <c r="P48" s="179"/>
      <c r="Q48" s="1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7"/>
    </row>
    <row r="49" spans="1:44" outlineLevel="1">
      <c r="B49" s="109" t="s">
        <v>224</v>
      </c>
      <c r="E49" s="70" t="s">
        <v>224</v>
      </c>
      <c r="F49" s="63"/>
      <c r="G49" s="63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>
        <v>37.183</v>
      </c>
      <c r="Z49" s="225" cm="1">
        <f t="array" ref="Z49">INDEX(QRT!$1:$1048576,MATCH(Model!$B49,QRT!$A:$A,0),MATCH(Model!Z$3,QRT!$4:$4,0))+INDEX(QRT!$1:$1048576,MATCH(Model!$B49,QRT!$A:$A,0),MATCH(Model!Z$3,QRT!$4:$4,0)+1)+INDEX(QRT!$1:$1048576,MATCH(Model!$B49,QRT!$A:$A,0),MATCH(Model!Z$3,QRT!$4:$4,0)+2)+INDEX(QRT!$1:$1048576,MATCH(Model!$B49,QRT!$A:$A,0),MATCH(Model!Z$3,QRT!$4:$4,0)+3)</f>
        <v>291.14400000000001</v>
      </c>
      <c r="AA49" s="225" cm="1">
        <f t="array" ref="AA49">INDEX(QRT!$1:$1048576,MATCH(Model!$B49,QRT!$A:$A,0),MATCH(Model!AA$3,QRT!$4:$4,0))+INDEX(QRT!$1:$1048576,MATCH(Model!$B49,QRT!$A:$A,0),MATCH(Model!AA$3,QRT!$4:$4,0)+1)+INDEX(QRT!$1:$1048576,MATCH(Model!$B49,QRT!$A:$A,0),MATCH(Model!AA$3,QRT!$4:$4,0)+2)+INDEX(QRT!$1:$1048576,MATCH(Model!$B49,QRT!$A:$A,0),MATCH(Model!AA$3,QRT!$4:$4,0)+3)</f>
        <v>570.28399999999999</v>
      </c>
      <c r="AB49" s="225" cm="1">
        <f t="array" ref="AB49">INDEX(QRT!$1:$1048576,MATCH(Model!$B49,QRT!$A:$A,0),MATCH(Model!AB$3,QRT!$4:$4,0))+INDEX(QRT!$1:$1048576,MATCH(Model!$B49,QRT!$A:$A,0),MATCH(Model!AB$3,QRT!$4:$4,0)+1)+INDEX(QRT!$1:$1048576,MATCH(Model!$B49,QRT!$A:$A,0),MATCH(Model!AB$3,QRT!$4:$4,0)+2)+INDEX(QRT!$1:$1048576,MATCH(Model!$B49,QRT!$A:$A,0),MATCH(Model!AB$3,QRT!$4:$4,0)+3)</f>
        <v>738.14400000000001</v>
      </c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7"/>
    </row>
    <row r="50" spans="1:44" outlineLevel="1">
      <c r="B50" s="109" t="s">
        <v>217</v>
      </c>
      <c r="E50" s="70" t="s">
        <v>217</v>
      </c>
      <c r="F50" s="63"/>
      <c r="G50" s="63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>
        <v>15.605</v>
      </c>
      <c r="Z50" s="225" cm="1">
        <f t="array" ref="Z50">INDEX(QRT!$1:$1048576,MATCH(Model!$B50,QRT!$A:$A,0),MATCH(Model!Z$3,QRT!$4:$4,0))+INDEX(QRT!$1:$1048576,MATCH(Model!$B50,QRT!$A:$A,0),MATCH(Model!Z$3,QRT!$4:$4,0)+1)+INDEX(QRT!$1:$1048576,MATCH(Model!$B50,QRT!$A:$A,0),MATCH(Model!Z$3,QRT!$4:$4,0)+2)+INDEX(QRT!$1:$1048576,MATCH(Model!$B50,QRT!$A:$A,0),MATCH(Model!Z$3,QRT!$4:$4,0)+3)</f>
        <v>168.04900000000001</v>
      </c>
      <c r="AA50" s="225" cm="1">
        <f t="array" ref="AA50">INDEX(QRT!$1:$1048576,MATCH(Model!$B50,QRT!$A:$A,0),MATCH(Model!AA$3,QRT!$4:$4,0))+INDEX(QRT!$1:$1048576,MATCH(Model!$B50,QRT!$A:$A,0),MATCH(Model!AA$3,QRT!$4:$4,0)+1)+INDEX(QRT!$1:$1048576,MATCH(Model!$B50,QRT!$A:$A,0),MATCH(Model!AA$3,QRT!$4:$4,0)+2)+INDEX(QRT!$1:$1048576,MATCH(Model!$B50,QRT!$A:$A,0),MATCH(Model!AA$3,QRT!$4:$4,0)+3)</f>
        <v>117.511</v>
      </c>
      <c r="AB50" s="225" cm="1">
        <f t="array" ref="AB50">INDEX(QRT!$1:$1048576,MATCH(Model!$B50,QRT!$A:$A,0),MATCH(Model!AB$3,QRT!$4:$4,0))+INDEX(QRT!$1:$1048576,MATCH(Model!$B50,QRT!$A:$A,0),MATCH(Model!AB$3,QRT!$4:$4,0)+1)+INDEX(QRT!$1:$1048576,MATCH(Model!$B50,QRT!$A:$A,0),MATCH(Model!AB$3,QRT!$4:$4,0)+2)+INDEX(QRT!$1:$1048576,MATCH(Model!$B50,QRT!$A:$A,0),MATCH(Model!AB$3,QRT!$4:$4,0)+3)</f>
        <v>210.655</v>
      </c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7"/>
    </row>
    <row r="51" spans="1:44" outlineLevel="1">
      <c r="B51" s="109" t="s">
        <v>225</v>
      </c>
      <c r="E51" s="70" t="s">
        <v>225</v>
      </c>
      <c r="F51" s="63"/>
      <c r="G51" s="63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>
        <v>0</v>
      </c>
      <c r="Z51" s="225" cm="1">
        <f t="array" ref="Z51">INDEX(QRT!$1:$1048576,MATCH(Model!$B51,QRT!$A:$A,0),MATCH(Model!Z$3,QRT!$4:$4,0))+INDEX(QRT!$1:$1048576,MATCH(Model!$B51,QRT!$A:$A,0),MATCH(Model!Z$3,QRT!$4:$4,0)+1)+INDEX(QRT!$1:$1048576,MATCH(Model!$B51,QRT!$A:$A,0),MATCH(Model!Z$3,QRT!$4:$4,0)+2)+INDEX(QRT!$1:$1048576,MATCH(Model!$B51,QRT!$A:$A,0),MATCH(Model!Z$3,QRT!$4:$4,0)+3)</f>
        <v>0</v>
      </c>
      <c r="AA51" s="225" cm="1">
        <f t="array" ref="AA51">INDEX(QRT!$1:$1048576,MATCH(Model!$B51,QRT!$A:$A,0),MATCH(Model!AA$3,QRT!$4:$4,0))+INDEX(QRT!$1:$1048576,MATCH(Model!$B51,QRT!$A:$A,0),MATCH(Model!AA$3,QRT!$4:$4,0)+1)+INDEX(QRT!$1:$1048576,MATCH(Model!$B51,QRT!$A:$A,0),MATCH(Model!AA$3,QRT!$4:$4,0)+2)+INDEX(QRT!$1:$1048576,MATCH(Model!$B51,QRT!$A:$A,0),MATCH(Model!AA$3,QRT!$4:$4,0)+3)</f>
        <v>0</v>
      </c>
      <c r="AB51" s="225" cm="1">
        <f t="array" ref="AB51">INDEX(QRT!$1:$1048576,MATCH(Model!$B51,QRT!$A:$A,0),MATCH(Model!AB$3,QRT!$4:$4,0))+INDEX(QRT!$1:$1048576,MATCH(Model!$B51,QRT!$A:$A,0),MATCH(Model!AB$3,QRT!$4:$4,0)+1)+INDEX(QRT!$1:$1048576,MATCH(Model!$B51,QRT!$A:$A,0),MATCH(Model!AB$3,QRT!$4:$4,0)+2)+INDEX(QRT!$1:$1048576,MATCH(Model!$B51,QRT!$A:$A,0),MATCH(Model!AB$3,QRT!$4:$4,0)+3)</f>
        <v>0</v>
      </c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7"/>
    </row>
    <row r="52" spans="1:44" outlineLevel="1">
      <c r="E52" s="2" t="s">
        <v>219</v>
      </c>
      <c r="F52" s="193"/>
      <c r="G52" s="19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>
        <f>SUM(Y49:Y51)</f>
        <v>52.787999999999997</v>
      </c>
      <c r="Z52" s="163">
        <f>SUM(Z49:Z51)</f>
        <v>459.19299999999998</v>
      </c>
      <c r="AA52" s="163">
        <f>SUM(AA49:AA51)</f>
        <v>687.79499999999996</v>
      </c>
      <c r="AB52" s="163">
        <f>SUM(AB49:AB51)</f>
        <v>948.79899999999998</v>
      </c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7"/>
    </row>
    <row r="53" spans="1:44" outlineLevel="1">
      <c r="E53" s="84" t="s">
        <v>420</v>
      </c>
      <c r="F53" s="63"/>
      <c r="G53" s="63"/>
      <c r="H53" s="180"/>
      <c r="I53" s="180"/>
      <c r="J53" s="180"/>
      <c r="K53" s="180"/>
      <c r="L53" s="180"/>
      <c r="M53" s="179"/>
      <c r="N53" s="179"/>
      <c r="O53" s="179"/>
      <c r="P53" s="179"/>
      <c r="Q53" s="179"/>
      <c r="R53" s="79"/>
      <c r="S53" s="79"/>
      <c r="T53" s="79"/>
      <c r="U53" s="79"/>
      <c r="V53" s="79"/>
      <c r="W53" s="79"/>
      <c r="X53" s="79"/>
      <c r="Y53" s="194">
        <f>Y49/Y52</f>
        <v>0.70438357202394486</v>
      </c>
      <c r="Z53" s="194">
        <f>Z49/Z52</f>
        <v>0.63403405539718594</v>
      </c>
      <c r="AA53" s="194">
        <f>AA49/AA52</f>
        <v>0.82914822003649347</v>
      </c>
      <c r="AB53" s="194">
        <f>AB49/AB52</f>
        <v>0.77797721119014673</v>
      </c>
      <c r="AC53" s="76">
        <v>0.75</v>
      </c>
      <c r="AD53" s="76">
        <f>MAX(AC53-0.02,0.65)</f>
        <v>0.73</v>
      </c>
      <c r="AE53" s="76">
        <f t="shared" ref="AE53:AN53" si="54">MAX(AD53-0.02,0.65)</f>
        <v>0.71</v>
      </c>
      <c r="AF53" s="76">
        <f t="shared" si="54"/>
        <v>0.69</v>
      </c>
      <c r="AG53" s="76">
        <f t="shared" si="54"/>
        <v>0.66999999999999993</v>
      </c>
      <c r="AH53" s="76">
        <f t="shared" si="54"/>
        <v>0.65</v>
      </c>
      <c r="AI53" s="76">
        <f t="shared" si="54"/>
        <v>0.65</v>
      </c>
      <c r="AJ53" s="76">
        <f t="shared" si="54"/>
        <v>0.65</v>
      </c>
      <c r="AK53" s="76">
        <f t="shared" si="54"/>
        <v>0.65</v>
      </c>
      <c r="AL53" s="76">
        <f t="shared" si="54"/>
        <v>0.65</v>
      </c>
      <c r="AM53" s="76">
        <f t="shared" si="54"/>
        <v>0.65</v>
      </c>
      <c r="AN53" s="76">
        <f t="shared" si="54"/>
        <v>0.65</v>
      </c>
      <c r="AO53" s="7"/>
    </row>
    <row r="54" spans="1:44" outlineLevel="1">
      <c r="E54" s="84"/>
      <c r="F54" s="63"/>
      <c r="G54" s="63"/>
      <c r="H54" s="180"/>
      <c r="I54" s="180"/>
      <c r="J54" s="180"/>
      <c r="K54" s="180"/>
      <c r="L54" s="180"/>
      <c r="M54" s="179"/>
      <c r="N54" s="179"/>
      <c r="O54" s="179"/>
      <c r="P54" s="179"/>
      <c r="Q54" s="1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7"/>
    </row>
    <row r="55" spans="1:44" outlineLevel="1">
      <c r="B55" s="109" t="s">
        <v>416</v>
      </c>
      <c r="E55" s="211" t="s">
        <v>416</v>
      </c>
      <c r="F55" s="63"/>
      <c r="G55" s="63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92">
        <f>AVERAGE(INDEX(QRT!$1:$1048576,MATCH(Model!$B55,QRT!$A:$A,0),MATCH(Model!Z$3,QRT!$4:$4,0)),INDEX(QRT!$1:$1048576,MATCH(Model!$B55,QRT!$A:$A,0),MATCH(Model!Z$3,QRT!$4:$4,0)+1),INDEX(QRT!$1:$1048576,MATCH(Model!$B55,QRT!$A:$A,0),MATCH(Model!Z$3,QRT!$4:$4,0)+2),INDEX(QRT!$1:$1048576,MATCH(Model!$B55,QRT!$A:$A,0),MATCH(Model!Z$3,QRT!$4:$4,0)+3))</f>
        <v>1.296125</v>
      </c>
      <c r="AA55" s="292">
        <f>AVERAGE(INDEX(QRT!$1:$1048576,MATCH(Model!$B55,QRT!$A:$A,0),MATCH(Model!AA$3,QRT!$4:$4,0)),INDEX(QRT!$1:$1048576,MATCH(Model!$B55,QRT!$A:$A,0),MATCH(Model!AA$3,QRT!$4:$4,0)+1),INDEX(QRT!$1:$1048576,MATCH(Model!$B55,QRT!$A:$A,0),MATCH(Model!AA$3,QRT!$4:$4,0)+2),INDEX(QRT!$1:$1048576,MATCH(Model!$B55,QRT!$A:$A,0),MATCH(Model!AA$3,QRT!$4:$4,0)+3))</f>
        <v>1.3271000000000002</v>
      </c>
      <c r="AB55" s="292">
        <f>AVERAGE(INDEX(QRT!$1:$1048576,MATCH(Model!$B55,QRT!$A:$A,0),MATCH(Model!AB$3,QRT!$4:$4,0)),INDEX(QRT!$1:$1048576,MATCH(Model!$B55,QRT!$A:$A,0),MATCH(Model!AB$3,QRT!$4:$4,0)+1),INDEX(QRT!$1:$1048576,MATCH(Model!$B55,QRT!$A:$A,0),MATCH(Model!AB$3,QRT!$4:$4,0)+2),INDEX(QRT!$1:$1048576,MATCH(Model!$B55,QRT!$A:$A,0),MATCH(Model!AB$3,QRT!$4:$4,0)+3))</f>
        <v>1.3412999999999999</v>
      </c>
      <c r="AC55" s="298">
        <f>AVERAGE(INDEX(QRT!$1:$1048576,MATCH(Model!$B55,QRT!$A:$A,0),MATCH(Model!AC$3,QRT!$4:$4,0)),INDEX(QRT!$1:$1048576,MATCH(Model!$B55,QRT!$A:$A,0),MATCH(Model!AC$3,QRT!$4:$4,0)+1),INDEX(QRT!$1:$1048576,MATCH(Model!$B55,QRT!$A:$A,0),MATCH(Model!AC$3,QRT!$4:$4,0)+2),INDEX(QRT!$1:$1048576,MATCH(Model!$B55,QRT!$A:$A,0),MATCH(Model!AC$3,QRT!$4:$4,0)+3))</f>
        <v>1.2495500000000002</v>
      </c>
      <c r="AD55" s="298">
        <f>AVERAGE(INDEX(QRT!$1:$1048576,MATCH(Model!$B55,QRT!$A:$A,0),MATCH(Model!AD$3,QRT!$4:$4,0)),INDEX(QRT!$1:$1048576,MATCH(Model!$B55,QRT!$A:$A,0),MATCH(Model!AD$3,QRT!$4:$4,0)+1),INDEX(QRT!$1:$1048576,MATCH(Model!$B55,QRT!$A:$A,0),MATCH(Model!AD$3,QRT!$4:$4,0)+2),INDEX(QRT!$1:$1048576,MATCH(Model!$B55,QRT!$A:$A,0),MATCH(Model!AD$3,QRT!$4:$4,0)+3))</f>
        <v>1.2435</v>
      </c>
      <c r="AE55" s="298">
        <f>AVERAGE(INDEX(QRT!$1:$1048576,MATCH(Model!$B55,QRT!$A:$A,0),MATCH(Model!AE$3,QRT!$4:$4,0)),INDEX(QRT!$1:$1048576,MATCH(Model!$B55,QRT!$A:$A,0),MATCH(Model!AE$3,QRT!$4:$4,0)+1),INDEX(QRT!$1:$1048576,MATCH(Model!$B55,QRT!$A:$A,0),MATCH(Model!AE$3,QRT!$4:$4,0)+2),INDEX(QRT!$1:$1048576,MATCH(Model!$B55,QRT!$A:$A,0),MATCH(Model!AE$3,QRT!$4:$4,0)+3))</f>
        <v>1.2435</v>
      </c>
      <c r="AF55" s="298">
        <f>AE55</f>
        <v>1.2435</v>
      </c>
      <c r="AG55" s="298">
        <f t="shared" ref="AG55:AN55" si="55">AF55</f>
        <v>1.2435</v>
      </c>
      <c r="AH55" s="298">
        <f t="shared" si="55"/>
        <v>1.2435</v>
      </c>
      <c r="AI55" s="298">
        <f t="shared" si="55"/>
        <v>1.2435</v>
      </c>
      <c r="AJ55" s="298">
        <f t="shared" si="55"/>
        <v>1.2435</v>
      </c>
      <c r="AK55" s="298">
        <f t="shared" si="55"/>
        <v>1.2435</v>
      </c>
      <c r="AL55" s="298">
        <f t="shared" si="55"/>
        <v>1.2435</v>
      </c>
      <c r="AM55" s="298">
        <f t="shared" si="55"/>
        <v>1.2435</v>
      </c>
      <c r="AN55" s="298">
        <f t="shared" si="55"/>
        <v>1.2435</v>
      </c>
      <c r="AO55" s="7"/>
    </row>
    <row r="56" spans="1:44" outlineLevel="1">
      <c r="E56" s="84" t="s">
        <v>429</v>
      </c>
      <c r="F56" s="63"/>
      <c r="G56" s="63"/>
      <c r="H56" s="180"/>
      <c r="I56" s="180"/>
      <c r="J56" s="180"/>
      <c r="K56" s="180"/>
      <c r="L56" s="180"/>
      <c r="M56" s="179"/>
      <c r="N56" s="179"/>
      <c r="O56" s="179"/>
      <c r="P56" s="179"/>
      <c r="Q56" s="179"/>
      <c r="R56" s="79"/>
      <c r="S56" s="79"/>
      <c r="T56" s="79"/>
      <c r="U56" s="79"/>
      <c r="V56" s="79"/>
      <c r="W56" s="79"/>
      <c r="X56" s="79"/>
      <c r="Y56" s="79"/>
      <c r="Z56" s="79"/>
      <c r="AA56" s="179">
        <f t="shared" ref="AA56:AM56" si="56">AA55/Z55-1</f>
        <v>2.38981579708748E-2</v>
      </c>
      <c r="AB56" s="179">
        <f t="shared" si="56"/>
        <v>1.0700022605681481E-2</v>
      </c>
      <c r="AC56" s="179">
        <f t="shared" si="56"/>
        <v>-6.8403787370461377E-2</v>
      </c>
      <c r="AD56" s="179">
        <f t="shared" si="56"/>
        <v>-4.8417430274899642E-3</v>
      </c>
      <c r="AE56" s="179">
        <f t="shared" si="56"/>
        <v>0</v>
      </c>
      <c r="AF56" s="179">
        <f t="shared" si="56"/>
        <v>0</v>
      </c>
      <c r="AG56" s="179">
        <f t="shared" si="56"/>
        <v>0</v>
      </c>
      <c r="AH56" s="179">
        <f t="shared" si="56"/>
        <v>0</v>
      </c>
      <c r="AI56" s="179">
        <f t="shared" si="56"/>
        <v>0</v>
      </c>
      <c r="AJ56" s="179">
        <f t="shared" si="56"/>
        <v>0</v>
      </c>
      <c r="AK56" s="179">
        <f t="shared" si="56"/>
        <v>0</v>
      </c>
      <c r="AL56" s="179">
        <f t="shared" si="56"/>
        <v>0</v>
      </c>
      <c r="AM56" s="179">
        <f t="shared" si="56"/>
        <v>0</v>
      </c>
      <c r="AN56" s="179">
        <f>AN55/AM55-1</f>
        <v>0</v>
      </c>
      <c r="AO56" s="7"/>
    </row>
    <row r="57" spans="1:44" outlineLevel="1">
      <c r="E57" s="84"/>
      <c r="F57" s="63"/>
      <c r="G57" s="63"/>
      <c r="H57" s="180"/>
      <c r="I57" s="180"/>
      <c r="J57" s="180"/>
      <c r="K57" s="180"/>
      <c r="L57" s="180"/>
      <c r="M57" s="179"/>
      <c r="N57" s="179"/>
      <c r="O57" s="179"/>
      <c r="P57" s="179"/>
      <c r="Q57" s="1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7"/>
    </row>
    <row r="58" spans="1:44">
      <c r="C58" s="141" t="s">
        <v>172</v>
      </c>
      <c r="D58" s="52" t="s">
        <v>172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</row>
    <row r="59" spans="1:44">
      <c r="D59" s="104"/>
      <c r="E59" s="105" t="s">
        <v>105</v>
      </c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</row>
    <row r="60" spans="1:44" ht="5.0999999999999996" customHeight="1">
      <c r="C60" s="142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7"/>
      <c r="AP60" s="1"/>
    </row>
    <row r="61" spans="1:44" outlineLevel="1">
      <c r="A61" s="110" t="s">
        <v>173</v>
      </c>
      <c r="B61" s="110"/>
      <c r="E61" s="67" t="s">
        <v>201</v>
      </c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>
        <f t="shared" ref="Y61:AE61" si="57">Y9</f>
        <v>52.788000000000004</v>
      </c>
      <c r="Z61" s="78">
        <f t="shared" si="57"/>
        <v>459.19299999999998</v>
      </c>
      <c r="AA61" s="78">
        <f t="shared" si="57"/>
        <v>687.79500000000007</v>
      </c>
      <c r="AB61" s="78">
        <f t="shared" si="57"/>
        <v>948.79899999999998</v>
      </c>
      <c r="AC61" s="78">
        <f t="shared" si="57"/>
        <v>1519.1353187473455</v>
      </c>
      <c r="AD61" s="78">
        <f t="shared" si="57"/>
        <v>2150.083386972874</v>
      </c>
      <c r="AE61" s="78">
        <f t="shared" si="57"/>
        <v>2852.6265943650415</v>
      </c>
      <c r="AF61" s="78">
        <f t="shared" ref="AF61:AN61" si="58">AF9</f>
        <v>3773.6000916537305</v>
      </c>
      <c r="AG61" s="78">
        <f t="shared" si="58"/>
        <v>4839.7892948157842</v>
      </c>
      <c r="AH61" s="78">
        <f t="shared" si="58"/>
        <v>5964.2426576024818</v>
      </c>
      <c r="AI61" s="78">
        <f t="shared" si="58"/>
        <v>7142.2235733441521</v>
      </c>
      <c r="AJ61" s="78">
        <f t="shared" si="58"/>
        <v>8356.3502744644284</v>
      </c>
      <c r="AK61" s="78">
        <f t="shared" si="58"/>
        <v>9600.3681556398788</v>
      </c>
      <c r="AL61" s="78">
        <f t="shared" si="58"/>
        <v>10872.375518752677</v>
      </c>
      <c r="AM61" s="78">
        <f t="shared" si="58"/>
        <v>12193.82302912773</v>
      </c>
      <c r="AN61" s="78">
        <f t="shared" si="58"/>
        <v>13565.699489710285</v>
      </c>
      <c r="AO61" s="7"/>
      <c r="AP61" s="75"/>
      <c r="AQ61" s="75"/>
      <c r="AR61" s="75"/>
    </row>
    <row r="62" spans="1:44" outlineLevel="1">
      <c r="E62" s="70" t="s">
        <v>174</v>
      </c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>
        <f t="shared" ref="Y62:AE62" si="59">-Y10</f>
        <v>-42.136000000000003</v>
      </c>
      <c r="Z62" s="78">
        <f t="shared" si="59"/>
        <v>-367.36799999999999</v>
      </c>
      <c r="AA62" s="78">
        <f t="shared" si="59"/>
        <v>-521.38099999999997</v>
      </c>
      <c r="AB62" s="78">
        <f t="shared" si="59"/>
        <v>-710.21</v>
      </c>
      <c r="AC62" s="78">
        <f t="shared" si="59"/>
        <v>-1173.4245545240296</v>
      </c>
      <c r="AD62" s="78">
        <f t="shared" si="59"/>
        <v>-1652.2468450905221</v>
      </c>
      <c r="AE62" s="78">
        <f t="shared" si="59"/>
        <v>-2182.4215985432274</v>
      </c>
      <c r="AF62" s="78">
        <f t="shared" ref="AF62:AN62" si="60">-AF10</f>
        <v>-2878.5281075903181</v>
      </c>
      <c r="AG62" s="78">
        <f t="shared" si="60"/>
        <v>-3680.9350399051045</v>
      </c>
      <c r="AH62" s="78">
        <f t="shared" si="60"/>
        <v>-4522.726233834007</v>
      </c>
      <c r="AI62" s="78">
        <f t="shared" si="60"/>
        <v>-5399.9272622449889</v>
      </c>
      <c r="AJ62" s="78">
        <f t="shared" si="60"/>
        <v>-6299.0743181915896</v>
      </c>
      <c r="AK62" s="78">
        <f t="shared" si="60"/>
        <v>-7215.2227259677693</v>
      </c>
      <c r="AL62" s="78">
        <f t="shared" si="60"/>
        <v>-8146.7457646271496</v>
      </c>
      <c r="AM62" s="78">
        <f t="shared" si="60"/>
        <v>-9109.4793722515351</v>
      </c>
      <c r="AN62" s="78">
        <f t="shared" si="60"/>
        <v>-10103.826295082257</v>
      </c>
      <c r="AO62" s="7"/>
      <c r="AP62" s="75"/>
      <c r="AQ62" s="75"/>
    </row>
    <row r="63" spans="1:44" s="3" customFormat="1" outlineLevel="1">
      <c r="A63" s="110" t="s">
        <v>153</v>
      </c>
      <c r="B63" s="110"/>
      <c r="C63" s="143"/>
      <c r="E63" s="2" t="s">
        <v>153</v>
      </c>
      <c r="F63" s="2"/>
      <c r="G63" s="2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>
        <f>SUM(Y61:Y62)</f>
        <v>10.652000000000001</v>
      </c>
      <c r="Z63" s="8">
        <f>SUM(Z61:Z62)</f>
        <v>91.824999999999989</v>
      </c>
      <c r="AA63" s="8">
        <f>SUM(AA61:AA62)</f>
        <v>166.4140000000001</v>
      </c>
      <c r="AB63" s="8">
        <f>SUM(AB61:AB62)</f>
        <v>238.58899999999994</v>
      </c>
      <c r="AC63" s="8">
        <f t="shared" ref="AC63:AN63" si="61">SUM(AC61:AC62)</f>
        <v>345.71076422331589</v>
      </c>
      <c r="AD63" s="8">
        <f t="shared" si="61"/>
        <v>497.83654188235187</v>
      </c>
      <c r="AE63" s="8">
        <f t="shared" si="61"/>
        <v>670.20499582181401</v>
      </c>
      <c r="AF63" s="8">
        <f t="shared" si="61"/>
        <v>895.0719840634124</v>
      </c>
      <c r="AG63" s="8">
        <f t="shared" si="61"/>
        <v>1158.8542549106796</v>
      </c>
      <c r="AH63" s="8">
        <f t="shared" si="61"/>
        <v>1441.5164237684749</v>
      </c>
      <c r="AI63" s="8">
        <f t="shared" si="61"/>
        <v>1742.2963110991632</v>
      </c>
      <c r="AJ63" s="8">
        <f t="shared" si="61"/>
        <v>2057.2759562728388</v>
      </c>
      <c r="AK63" s="8">
        <f t="shared" si="61"/>
        <v>2385.1454296721095</v>
      </c>
      <c r="AL63" s="8">
        <f t="shared" si="61"/>
        <v>2725.6297541255271</v>
      </c>
      <c r="AM63" s="8">
        <f t="shared" si="61"/>
        <v>3084.3436568761954</v>
      </c>
      <c r="AN63" s="8">
        <f t="shared" si="61"/>
        <v>3461.8731946280277</v>
      </c>
      <c r="AO63" s="64"/>
      <c r="AP63" s="75"/>
      <c r="AQ63" s="75"/>
    </row>
    <row r="64" spans="1:44" outlineLevel="1">
      <c r="E64" s="70" t="s">
        <v>175</v>
      </c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>
        <v>0</v>
      </c>
      <c r="Z64" s="233">
        <v>0</v>
      </c>
      <c r="AA64" s="233">
        <v>0</v>
      </c>
      <c r="AB64" s="233">
        <v>0</v>
      </c>
      <c r="AC64" s="164">
        <v>0</v>
      </c>
      <c r="AD64" s="164">
        <f>AC64</f>
        <v>0</v>
      </c>
      <c r="AE64" s="164">
        <f t="shared" ref="AE64:AN64" si="62">AD64</f>
        <v>0</v>
      </c>
      <c r="AF64" s="164">
        <f t="shared" si="62"/>
        <v>0</v>
      </c>
      <c r="AG64" s="164">
        <f t="shared" si="62"/>
        <v>0</v>
      </c>
      <c r="AH64" s="164">
        <f t="shared" si="62"/>
        <v>0</v>
      </c>
      <c r="AI64" s="164">
        <f t="shared" si="62"/>
        <v>0</v>
      </c>
      <c r="AJ64" s="164">
        <f t="shared" si="62"/>
        <v>0</v>
      </c>
      <c r="AK64" s="164">
        <f t="shared" si="62"/>
        <v>0</v>
      </c>
      <c r="AL64" s="164">
        <f t="shared" si="62"/>
        <v>0</v>
      </c>
      <c r="AM64" s="164">
        <f t="shared" si="62"/>
        <v>0</v>
      </c>
      <c r="AN64" s="164">
        <f t="shared" si="62"/>
        <v>0</v>
      </c>
      <c r="AO64" s="7"/>
    </row>
    <row r="65" spans="1:44" outlineLevel="1">
      <c r="E65" s="70" t="s">
        <v>106</v>
      </c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>
        <f t="shared" ref="Y65:AE65" si="63">-Y12</f>
        <v>-10.859</v>
      </c>
      <c r="Z65" s="78">
        <f t="shared" si="63"/>
        <v>-75.655000000000001</v>
      </c>
      <c r="AA65" s="78">
        <f t="shared" si="63"/>
        <v>-133.899</v>
      </c>
      <c r="AB65" s="78">
        <f t="shared" si="63"/>
        <v>-177.697</v>
      </c>
      <c r="AC65" s="78">
        <f t="shared" si="63"/>
        <v>-261.40653078078549</v>
      </c>
      <c r="AD65" s="78">
        <f t="shared" si="63"/>
        <v>-364.13821964873841</v>
      </c>
      <c r="AE65" s="78">
        <f t="shared" si="63"/>
        <v>-478.55646898580767</v>
      </c>
      <c r="AF65" s="78">
        <f t="shared" ref="AF65:AN65" si="64">-AF12</f>
        <v>-621.73812822047887</v>
      </c>
      <c r="AG65" s="78">
        <f t="shared" si="64"/>
        <v>-782.88403047660859</v>
      </c>
      <c r="AH65" s="78">
        <f t="shared" si="64"/>
        <v>-946.8828120545146</v>
      </c>
      <c r="AI65" s="78">
        <f t="shared" si="64"/>
        <v>-1112.4723219424654</v>
      </c>
      <c r="AJ65" s="78">
        <f t="shared" si="64"/>
        <v>-1284.8719246499859</v>
      </c>
      <c r="AK65" s="78">
        <f t="shared" si="64"/>
        <v>-1456.9513042727335</v>
      </c>
      <c r="AL65" s="78">
        <f t="shared" si="64"/>
        <v>-1633.6825032919485</v>
      </c>
      <c r="AM65" s="78">
        <f t="shared" si="64"/>
        <v>-1813.9523936084713</v>
      </c>
      <c r="AN65" s="78">
        <f t="shared" si="64"/>
        <v>-2004.4669553677925</v>
      </c>
      <c r="AO65" s="7"/>
    </row>
    <row r="66" spans="1:44" outlineLevel="1">
      <c r="E66" s="70" t="s">
        <v>127</v>
      </c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>
        <f t="shared" ref="Y66:AE66" si="65">-Y14</f>
        <v>-0.109</v>
      </c>
      <c r="Z66" s="78">
        <f t="shared" si="65"/>
        <v>0.22400000000000003</v>
      </c>
      <c r="AA66" s="78">
        <f t="shared" si="65"/>
        <v>-0.71899999999999997</v>
      </c>
      <c r="AB66" s="78">
        <f t="shared" si="65"/>
        <v>-1.609</v>
      </c>
      <c r="AC66" s="78">
        <f t="shared" si="65"/>
        <v>5.4849999999999994</v>
      </c>
      <c r="AD66" s="78">
        <f t="shared" si="65"/>
        <v>0</v>
      </c>
      <c r="AE66" s="78">
        <f t="shared" si="65"/>
        <v>0</v>
      </c>
      <c r="AF66" s="78">
        <f t="shared" ref="AF66:AN66" si="66">-AF14</f>
        <v>0</v>
      </c>
      <c r="AG66" s="78">
        <f t="shared" si="66"/>
        <v>0</v>
      </c>
      <c r="AH66" s="78">
        <f t="shared" si="66"/>
        <v>0</v>
      </c>
      <c r="AI66" s="78">
        <f t="shared" si="66"/>
        <v>0</v>
      </c>
      <c r="AJ66" s="78">
        <f t="shared" si="66"/>
        <v>0</v>
      </c>
      <c r="AK66" s="78">
        <f t="shared" si="66"/>
        <v>0</v>
      </c>
      <c r="AL66" s="78">
        <f t="shared" si="66"/>
        <v>0</v>
      </c>
      <c r="AM66" s="78">
        <f t="shared" si="66"/>
        <v>0</v>
      </c>
      <c r="AN66" s="78">
        <f t="shared" si="66"/>
        <v>0</v>
      </c>
      <c r="AO66" s="7"/>
    </row>
    <row r="67" spans="1:44" s="3" customFormat="1" outlineLevel="1">
      <c r="A67" s="110" t="s">
        <v>103</v>
      </c>
      <c r="B67" s="110"/>
      <c r="C67" s="143"/>
      <c r="E67" s="2" t="s">
        <v>103</v>
      </c>
      <c r="F67" s="2"/>
      <c r="G67" s="2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>
        <f>SUM(Y63:Y66)</f>
        <v>-0.31599999999999895</v>
      </c>
      <c r="Z67" s="8">
        <f>SUM(Z63:Z66)</f>
        <v>16.393999999999988</v>
      </c>
      <c r="AA67" s="8">
        <f>SUM(AA63:AA66)</f>
        <v>31.796000000000099</v>
      </c>
      <c r="AB67" s="8">
        <f>SUM(AB63:AB66)</f>
        <v>59.282999999999937</v>
      </c>
      <c r="AC67" s="8">
        <f t="shared" ref="AC67:AN67" si="67">SUM(AC63:AC66)</f>
        <v>89.789233442530403</v>
      </c>
      <c r="AD67" s="8">
        <f t="shared" si="67"/>
        <v>133.69832223361345</v>
      </c>
      <c r="AE67" s="8">
        <f t="shared" si="67"/>
        <v>191.64852683600634</v>
      </c>
      <c r="AF67" s="8">
        <f t="shared" si="67"/>
        <v>273.33385584293353</v>
      </c>
      <c r="AG67" s="8">
        <f t="shared" si="67"/>
        <v>375.97022443407104</v>
      </c>
      <c r="AH67" s="8">
        <f t="shared" si="67"/>
        <v>494.63361171396025</v>
      </c>
      <c r="AI67" s="8">
        <f t="shared" si="67"/>
        <v>629.82398915669773</v>
      </c>
      <c r="AJ67" s="8">
        <f t="shared" si="67"/>
        <v>772.40403162285293</v>
      </c>
      <c r="AK67" s="8">
        <f t="shared" si="67"/>
        <v>928.19412539937593</v>
      </c>
      <c r="AL67" s="8">
        <f t="shared" si="67"/>
        <v>1091.9472508335787</v>
      </c>
      <c r="AM67" s="8">
        <f t="shared" si="67"/>
        <v>1270.3912632677241</v>
      </c>
      <c r="AN67" s="8">
        <f t="shared" si="67"/>
        <v>1457.4062392602352</v>
      </c>
      <c r="AO67" s="64"/>
      <c r="AP67" s="75"/>
      <c r="AQ67" s="75"/>
      <c r="AR67" s="75"/>
    </row>
    <row r="68" spans="1:44" outlineLevel="1">
      <c r="A68" s="110" t="s">
        <v>7</v>
      </c>
      <c r="B68" s="110"/>
      <c r="E68" s="70" t="s">
        <v>7</v>
      </c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>
        <f t="shared" ref="Y68:AE68" si="68">-Y13</f>
        <v>-0.78300000000000003</v>
      </c>
      <c r="Z68" s="78">
        <f t="shared" si="68"/>
        <v>-6.9560000000000004</v>
      </c>
      <c r="AA68" s="78">
        <f t="shared" si="68"/>
        <v>-17.887</v>
      </c>
      <c r="AB68" s="78">
        <f t="shared" si="68"/>
        <v>-27.048999999999999</v>
      </c>
      <c r="AC68" s="78">
        <f t="shared" si="68"/>
        <v>-39.047674213139622</v>
      </c>
      <c r="AD68" s="78">
        <f t="shared" si="68"/>
        <v>-56.864641919936297</v>
      </c>
      <c r="AE68" s="78">
        <f t="shared" si="68"/>
        <v>-74.41727884721729</v>
      </c>
      <c r="AF68" s="78">
        <f t="shared" ref="AF68:AN68" ca="1" si="69">-AF13</f>
        <v>-84.031859921818494</v>
      </c>
      <c r="AG68" s="78">
        <f t="shared" ca="1" si="69"/>
        <v>-108.03696292580806</v>
      </c>
      <c r="AH68" s="78">
        <f t="shared" ca="1" si="69"/>
        <v>-138.87297068462817</v>
      </c>
      <c r="AI68" s="78">
        <f t="shared" ca="1" si="69"/>
        <v>-170.94654232694222</v>
      </c>
      <c r="AJ68" s="78">
        <f t="shared" ca="1" si="69"/>
        <v>-204.44358408917316</v>
      </c>
      <c r="AK68" s="78">
        <f t="shared" ca="1" si="69"/>
        <v>-238.93052641070821</v>
      </c>
      <c r="AL68" s="78">
        <f t="shared" ca="1" si="69"/>
        <v>-274.57228296655109</v>
      </c>
      <c r="AM68" s="78">
        <f t="shared" ca="1" si="69"/>
        <v>-311.54121627014371</v>
      </c>
      <c r="AN68" s="78">
        <f t="shared" ca="1" si="69"/>
        <v>-350.09517535766702</v>
      </c>
      <c r="AO68" s="7"/>
    </row>
    <row r="69" spans="1:44" outlineLevel="1">
      <c r="E69" s="70" t="s">
        <v>107</v>
      </c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>
        <v>0</v>
      </c>
      <c r="Z69" s="233">
        <v>0</v>
      </c>
      <c r="AA69" s="233">
        <v>0</v>
      </c>
      <c r="AB69" s="233">
        <v>0</v>
      </c>
      <c r="AC69" s="164">
        <v>0</v>
      </c>
      <c r="AD69" s="164">
        <v>0</v>
      </c>
      <c r="AE69" s="164">
        <v>0</v>
      </c>
      <c r="AF69" s="164">
        <v>0</v>
      </c>
      <c r="AG69" s="164">
        <v>0</v>
      </c>
      <c r="AH69" s="164">
        <v>0</v>
      </c>
      <c r="AI69" s="164">
        <v>0</v>
      </c>
      <c r="AJ69" s="164">
        <v>0</v>
      </c>
      <c r="AK69" s="164">
        <v>0</v>
      </c>
      <c r="AL69" s="164">
        <v>0</v>
      </c>
      <c r="AM69" s="164">
        <v>0</v>
      </c>
      <c r="AN69" s="164">
        <v>0</v>
      </c>
      <c r="AO69" s="7"/>
    </row>
    <row r="70" spans="1:44" outlineLevel="1">
      <c r="E70" s="70" t="s">
        <v>200</v>
      </c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>
        <v>0</v>
      </c>
      <c r="Z70" s="233">
        <v>0</v>
      </c>
      <c r="AA70" s="233">
        <v>0</v>
      </c>
      <c r="AB70" s="233">
        <v>0</v>
      </c>
      <c r="AC70" s="164">
        <v>0</v>
      </c>
      <c r="AD70" s="164">
        <v>0</v>
      </c>
      <c r="AE70" s="164">
        <v>0</v>
      </c>
      <c r="AF70" s="164">
        <v>0</v>
      </c>
      <c r="AG70" s="164">
        <v>0</v>
      </c>
      <c r="AH70" s="164">
        <v>0</v>
      </c>
      <c r="AI70" s="164">
        <v>0</v>
      </c>
      <c r="AJ70" s="164">
        <v>0</v>
      </c>
      <c r="AK70" s="164">
        <v>0</v>
      </c>
      <c r="AL70" s="164">
        <v>0</v>
      </c>
      <c r="AM70" s="164">
        <v>0</v>
      </c>
      <c r="AN70" s="164">
        <v>0</v>
      </c>
      <c r="AO70" s="7"/>
    </row>
    <row r="71" spans="1:44" outlineLevel="1">
      <c r="E71" s="70" t="s">
        <v>252</v>
      </c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78">
        <f t="shared" ref="Y71:AE71" si="70">-Y16</f>
        <v>-1.7869999999999999</v>
      </c>
      <c r="Z71" s="78">
        <f t="shared" si="70"/>
        <v>-17.477</v>
      </c>
      <c r="AA71" s="78">
        <f t="shared" si="70"/>
        <v>-10.64</v>
      </c>
      <c r="AB71" s="78">
        <f t="shared" si="70"/>
        <v>-15.063000000000001</v>
      </c>
      <c r="AC71" s="78">
        <f t="shared" si="70"/>
        <v>-29.894666208565845</v>
      </c>
      <c r="AD71" s="78">
        <f t="shared" si="70"/>
        <v>-39.350345642573267</v>
      </c>
      <c r="AE71" s="78">
        <f t="shared" si="70"/>
        <v>-37.575675787183862</v>
      </c>
      <c r="AF71" s="78">
        <f t="shared" ref="AF71:AN71" si="71">-AF16</f>
        <v>-52.153844669076854</v>
      </c>
      <c r="AG71" s="78">
        <f t="shared" si="71"/>
        <v>-62.969039976374376</v>
      </c>
      <c r="AH71" s="78">
        <f t="shared" si="71"/>
        <v>-68.504779754517173</v>
      </c>
      <c r="AI71" s="78">
        <f t="shared" si="71"/>
        <v>-74.271175356749254</v>
      </c>
      <c r="AJ71" s="78">
        <f t="shared" si="71"/>
        <v>-79.345603486713486</v>
      </c>
      <c r="AK71" s="78">
        <f t="shared" si="71"/>
        <v>-84.573802166070593</v>
      </c>
      <c r="AL71" s="78">
        <f t="shared" si="71"/>
        <v>-89.955771394820545</v>
      </c>
      <c r="AM71" s="78">
        <f t="shared" si="71"/>
        <v>-95.491511172963342</v>
      </c>
      <c r="AN71" s="78">
        <f t="shared" si="71"/>
        <v>-101.181021500499</v>
      </c>
      <c r="AO71" s="7"/>
    </row>
    <row r="72" spans="1:44" outlineLevel="1">
      <c r="E72" s="70" t="s">
        <v>127</v>
      </c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>
        <v>0</v>
      </c>
      <c r="Z72" s="164">
        <v>0</v>
      </c>
      <c r="AA72" s="164">
        <v>0</v>
      </c>
      <c r="AB72" s="164">
        <v>0</v>
      </c>
      <c r="AC72" s="164">
        <v>0</v>
      </c>
      <c r="AD72" s="164">
        <v>0</v>
      </c>
      <c r="AE72" s="164">
        <v>0</v>
      </c>
      <c r="AF72" s="164">
        <v>0</v>
      </c>
      <c r="AG72" s="164">
        <v>0</v>
      </c>
      <c r="AH72" s="164">
        <v>0</v>
      </c>
      <c r="AI72" s="164">
        <v>0</v>
      </c>
      <c r="AJ72" s="164">
        <v>0</v>
      </c>
      <c r="AK72" s="164">
        <v>0</v>
      </c>
      <c r="AL72" s="164">
        <v>0</v>
      </c>
      <c r="AM72" s="164">
        <v>0</v>
      </c>
      <c r="AN72" s="164">
        <v>0</v>
      </c>
      <c r="AO72" s="7"/>
    </row>
    <row r="73" spans="1:44" s="3" customFormat="1" outlineLevel="1">
      <c r="A73" s="110" t="s">
        <v>4</v>
      </c>
      <c r="B73" s="110"/>
      <c r="C73" s="143"/>
      <c r="E73" s="2" t="s">
        <v>4</v>
      </c>
      <c r="F73" s="2"/>
      <c r="G73" s="2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>
        <f>SUM(Y67:Y72)</f>
        <v>-2.8859999999999988</v>
      </c>
      <c r="Z73" s="8">
        <f>SUM(Z67:Z72)</f>
        <v>-8.0390000000000121</v>
      </c>
      <c r="AA73" s="8">
        <f>SUM(AA67:AA72)</f>
        <v>3.2690000000000978</v>
      </c>
      <c r="AB73" s="8">
        <f>SUM(AB67:AB72)</f>
        <v>17.170999999999935</v>
      </c>
      <c r="AC73" s="8">
        <f t="shared" ref="AC73:AN73" si="72">SUM(AC67:AC72)</f>
        <v>20.846893020824936</v>
      </c>
      <c r="AD73" s="8">
        <f t="shared" si="72"/>
        <v>37.483334671103883</v>
      </c>
      <c r="AE73" s="8">
        <f t="shared" si="72"/>
        <v>79.655572201605196</v>
      </c>
      <c r="AF73" s="8">
        <f t="shared" ca="1" si="72"/>
        <v>137.14815125203819</v>
      </c>
      <c r="AG73" s="8">
        <f t="shared" ca="1" si="72"/>
        <v>204.96422153188863</v>
      </c>
      <c r="AH73" s="8">
        <f t="shared" ca="1" si="72"/>
        <v>287.25586127481489</v>
      </c>
      <c r="AI73" s="8">
        <f t="shared" ca="1" si="72"/>
        <v>384.60627147300625</v>
      </c>
      <c r="AJ73" s="8">
        <f t="shared" ca="1" si="72"/>
        <v>488.61484404696637</v>
      </c>
      <c r="AK73" s="8">
        <f t="shared" ca="1" si="72"/>
        <v>604.68979682259715</v>
      </c>
      <c r="AL73" s="8">
        <f t="shared" ca="1" si="72"/>
        <v>727.41919647220709</v>
      </c>
      <c r="AM73" s="8">
        <f t="shared" ca="1" si="72"/>
        <v>863.35853582461709</v>
      </c>
      <c r="AN73" s="8">
        <f t="shared" ca="1" si="72"/>
        <v>1006.1300424020691</v>
      </c>
      <c r="AO73" s="64"/>
      <c r="AP73" s="75"/>
      <c r="AQ73" s="75"/>
      <c r="AR73" s="75"/>
    </row>
    <row r="74" spans="1:44" outlineLevel="1">
      <c r="E74" s="70" t="s">
        <v>108</v>
      </c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>
        <v>0</v>
      </c>
      <c r="Z74" s="233">
        <v>0</v>
      </c>
      <c r="AA74" s="233">
        <v>0</v>
      </c>
      <c r="AB74" s="233">
        <v>0</v>
      </c>
      <c r="AC74" s="164">
        <v>0</v>
      </c>
      <c r="AD74" s="164">
        <f>AC74</f>
        <v>0</v>
      </c>
      <c r="AE74" s="164">
        <f t="shared" ref="AE74:AN74" si="73">AD74</f>
        <v>0</v>
      </c>
      <c r="AF74" s="164">
        <f t="shared" si="73"/>
        <v>0</v>
      </c>
      <c r="AG74" s="164">
        <f t="shared" si="73"/>
        <v>0</v>
      </c>
      <c r="AH74" s="164">
        <f t="shared" si="73"/>
        <v>0</v>
      </c>
      <c r="AI74" s="164">
        <f t="shared" si="73"/>
        <v>0</v>
      </c>
      <c r="AJ74" s="164">
        <f t="shared" si="73"/>
        <v>0</v>
      </c>
      <c r="AK74" s="164">
        <f t="shared" si="73"/>
        <v>0</v>
      </c>
      <c r="AL74" s="164">
        <f t="shared" si="73"/>
        <v>0</v>
      </c>
      <c r="AM74" s="164">
        <f t="shared" si="73"/>
        <v>0</v>
      </c>
      <c r="AN74" s="164">
        <f t="shared" si="73"/>
        <v>0</v>
      </c>
      <c r="AO74" s="7"/>
    </row>
    <row r="75" spans="1:44" outlineLevel="1">
      <c r="E75" s="70" t="s">
        <v>109</v>
      </c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78">
        <f t="shared" ref="Y75:AE75" si="74">-SUM(Y18:Y19)</f>
        <v>-1.1439999999999999</v>
      </c>
      <c r="Z75" s="78">
        <f t="shared" si="74"/>
        <v>-7.5490000000000013</v>
      </c>
      <c r="AA75" s="78">
        <f t="shared" si="74"/>
        <v>-16.026</v>
      </c>
      <c r="AB75" s="78">
        <f t="shared" si="74"/>
        <v>-19.672000000000001</v>
      </c>
      <c r="AC75" s="78">
        <f t="shared" si="74"/>
        <v>-7.405841970429341</v>
      </c>
      <c r="AD75" s="78">
        <f t="shared" si="74"/>
        <v>-8.5196300470108497</v>
      </c>
      <c r="AE75" s="78">
        <f t="shared" si="74"/>
        <v>-13.069291450162861</v>
      </c>
      <c r="AF75" s="78">
        <f t="shared" ref="AF75:AN75" si="75">-SUM(AF18:AF19)</f>
        <v>-20.811411364727356</v>
      </c>
      <c r="AG75" s="78">
        <f t="shared" si="75"/>
        <v>-28.151581548852246</v>
      </c>
      <c r="AH75" s="78">
        <f t="shared" si="75"/>
        <v>-35.934579728157026</v>
      </c>
      <c r="AI75" s="78">
        <f t="shared" si="75"/>
        <v>-43.172747734492113</v>
      </c>
      <c r="AJ75" s="78">
        <f t="shared" si="75"/>
        <v>-48.9630156045787</v>
      </c>
      <c r="AK75" s="78">
        <f t="shared" si="75"/>
        <v>-53.94727127938048</v>
      </c>
      <c r="AL75" s="78">
        <f t="shared" si="75"/>
        <v>-58.037823508599899</v>
      </c>
      <c r="AM75" s="78">
        <f t="shared" si="75"/>
        <v>-63.989053367152565</v>
      </c>
      <c r="AN75" s="78">
        <f t="shared" si="75"/>
        <v>-72.521103541740999</v>
      </c>
      <c r="AO75" s="7"/>
    </row>
    <row r="76" spans="1:44" s="3" customFormat="1" outlineLevel="1">
      <c r="A76" s="110" t="s">
        <v>110</v>
      </c>
      <c r="B76" s="110"/>
      <c r="C76" s="143"/>
      <c r="E76" s="2" t="s">
        <v>110</v>
      </c>
      <c r="F76" s="2"/>
      <c r="G76" s="2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>
        <f>SUM(Y73:Y75)</f>
        <v>-4.0299999999999985</v>
      </c>
      <c r="Z76" s="8">
        <f>SUM(Z73:Z75)</f>
        <v>-15.588000000000013</v>
      </c>
      <c r="AA76" s="8">
        <f>SUM(AA73:AA75)</f>
        <v>-12.756999999999902</v>
      </c>
      <c r="AB76" s="8">
        <f>SUM(AB73:AB75)</f>
        <v>-2.5010000000000652</v>
      </c>
      <c r="AC76" s="8">
        <f t="shared" ref="AC76:AM76" si="76">SUM(AC73:AC75)</f>
        <v>13.441051050395595</v>
      </c>
      <c r="AD76" s="8">
        <f t="shared" si="76"/>
        <v>28.963704624093033</v>
      </c>
      <c r="AE76" s="8">
        <f t="shared" si="76"/>
        <v>66.586280751442331</v>
      </c>
      <c r="AF76" s="8">
        <f t="shared" ca="1" si="76"/>
        <v>116.33673988731084</v>
      </c>
      <c r="AG76" s="8">
        <f t="shared" ca="1" si="76"/>
        <v>176.81263998303638</v>
      </c>
      <c r="AH76" s="8">
        <f t="shared" ca="1" si="76"/>
        <v>251.32128154665787</v>
      </c>
      <c r="AI76" s="8">
        <f t="shared" ca="1" si="76"/>
        <v>341.43352373851411</v>
      </c>
      <c r="AJ76" s="8">
        <f t="shared" ca="1" si="76"/>
        <v>439.65182844238768</v>
      </c>
      <c r="AK76" s="8">
        <f t="shared" ca="1" si="76"/>
        <v>550.74252554321663</v>
      </c>
      <c r="AL76" s="8">
        <f t="shared" ca="1" si="76"/>
        <v>669.38137296360719</v>
      </c>
      <c r="AM76" s="8">
        <f t="shared" ca="1" si="76"/>
        <v>799.36948245746453</v>
      </c>
      <c r="AN76" s="8">
        <f ca="1">SUM(AN73:AN75)</f>
        <v>933.60893886032807</v>
      </c>
      <c r="AO76" s="64"/>
      <c r="AP76" s="75"/>
      <c r="AQ76" s="75"/>
      <c r="AR76" s="7"/>
    </row>
    <row r="77" spans="1:44" outlineLevel="1">
      <c r="E77" s="70" t="s">
        <v>111</v>
      </c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8">
        <f t="shared" ref="Y77:AE78" si="77">-Y21</f>
        <v>0</v>
      </c>
      <c r="Z77" s="78">
        <f t="shared" si="77"/>
        <v>0</v>
      </c>
      <c r="AA77" s="78">
        <f t="shared" si="77"/>
        <v>0</v>
      </c>
      <c r="AB77" s="78">
        <f t="shared" si="77"/>
        <v>0</v>
      </c>
      <c r="AC77" s="78">
        <f t="shared" si="77"/>
        <v>-8.0127625988702443E-5</v>
      </c>
      <c r="AD77" s="78">
        <f t="shared" si="77"/>
        <v>-2.7110240398710381</v>
      </c>
      <c r="AE77" s="78">
        <f t="shared" si="77"/>
        <v>-12.822067004081273</v>
      </c>
      <c r="AF77" s="69">
        <f t="shared" ref="AF77:AN77" ca="1" si="78">-AF76*AF79</f>
        <v>-25.892276594070871</v>
      </c>
      <c r="AG77" s="69">
        <f t="shared" ca="1" si="78"/>
        <v>-42.435033595928729</v>
      </c>
      <c r="AH77" s="69">
        <f t="shared" ca="1" si="78"/>
        <v>-60.317107571197887</v>
      </c>
      <c r="AI77" s="69">
        <f t="shared" ca="1" si="78"/>
        <v>-81.944045697243382</v>
      </c>
      <c r="AJ77" s="69">
        <f t="shared" ca="1" si="78"/>
        <v>-105.51643882617304</v>
      </c>
      <c r="AK77" s="69">
        <f t="shared" ca="1" si="78"/>
        <v>-132.17820613037199</v>
      </c>
      <c r="AL77" s="69">
        <f t="shared" ca="1" si="78"/>
        <v>-160.65152951126572</v>
      </c>
      <c r="AM77" s="69">
        <f t="shared" ca="1" si="78"/>
        <v>-191.84867578979149</v>
      </c>
      <c r="AN77" s="69">
        <f t="shared" ca="1" si="78"/>
        <v>-224.06614532647873</v>
      </c>
      <c r="AO77" s="7"/>
    </row>
    <row r="78" spans="1:44" s="70" customFormat="1" outlineLevel="1">
      <c r="A78" s="111"/>
      <c r="B78" s="111"/>
      <c r="C78" s="144"/>
      <c r="E78" s="70" t="s">
        <v>113</v>
      </c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8">
        <f t="shared" si="77"/>
        <v>0.111</v>
      </c>
      <c r="Z78" s="78">
        <f t="shared" si="77"/>
        <v>-2.6480000000000001</v>
      </c>
      <c r="AA78" s="78">
        <f t="shared" si="77"/>
        <v>1.917</v>
      </c>
      <c r="AB78" s="78">
        <f t="shared" si="77"/>
        <v>-1.6739999999999997</v>
      </c>
      <c r="AC78" s="78">
        <f t="shared" si="77"/>
        <v>-4.1299326349728815</v>
      </c>
      <c r="AD78" s="78">
        <f t="shared" si="77"/>
        <v>-4.24026506991129</v>
      </c>
      <c r="AE78" s="78">
        <f t="shared" si="77"/>
        <v>-3.1586403762648181</v>
      </c>
      <c r="AF78" s="69">
        <f t="shared" ref="AF78:AN78" ca="1" si="79">-AF76*AF80</f>
        <v>-2.0285409788837319</v>
      </c>
      <c r="AG78" s="69">
        <f t="shared" ca="1" si="79"/>
        <v>0</v>
      </c>
      <c r="AH78" s="69">
        <f t="shared" ca="1" si="79"/>
        <v>0</v>
      </c>
      <c r="AI78" s="69">
        <f t="shared" ca="1" si="79"/>
        <v>0</v>
      </c>
      <c r="AJ78" s="69">
        <f t="shared" ca="1" si="79"/>
        <v>0</v>
      </c>
      <c r="AK78" s="69">
        <f t="shared" ca="1" si="79"/>
        <v>0</v>
      </c>
      <c r="AL78" s="69">
        <f t="shared" ca="1" si="79"/>
        <v>0</v>
      </c>
      <c r="AM78" s="69">
        <f t="shared" ca="1" si="79"/>
        <v>0</v>
      </c>
      <c r="AN78" s="69">
        <f t="shared" ca="1" si="79"/>
        <v>0</v>
      </c>
      <c r="AO78" s="83"/>
    </row>
    <row r="79" spans="1:44" outlineLevel="1">
      <c r="A79" s="110" t="s">
        <v>112</v>
      </c>
      <c r="B79" s="110"/>
      <c r="E79" s="80" t="s">
        <v>112</v>
      </c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>
        <f t="shared" ref="Y79:AB80" si="80">-Y77/Y$76</f>
        <v>0</v>
      </c>
      <c r="Z79" s="81">
        <f t="shared" si="80"/>
        <v>0</v>
      </c>
      <c r="AA79" s="81">
        <f t="shared" si="80"/>
        <v>0</v>
      </c>
      <c r="AB79" s="81">
        <f t="shared" si="80"/>
        <v>0</v>
      </c>
      <c r="AC79" s="81">
        <f t="shared" ref="AC79:AE80" si="81">-AC77/AC$76</f>
        <v>5.9614107325590534E-6</v>
      </c>
      <c r="AD79" s="81">
        <f t="shared" si="81"/>
        <v>9.360073495625669E-2</v>
      </c>
      <c r="AE79" s="81">
        <f t="shared" si="81"/>
        <v>0.19256319559196183</v>
      </c>
      <c r="AF79" s="82">
        <f>DCF!$C$31-AF80</f>
        <v>0.22256319559196286</v>
      </c>
      <c r="AG79" s="82">
        <f>DCF!$C$31-AG80</f>
        <v>0.24</v>
      </c>
      <c r="AH79" s="82">
        <f>DCF!$C$31-AH80</f>
        <v>0.24</v>
      </c>
      <c r="AI79" s="82">
        <f>DCF!$C$31-AI80</f>
        <v>0.24</v>
      </c>
      <c r="AJ79" s="82">
        <f>DCF!$C$31-AJ80</f>
        <v>0.24</v>
      </c>
      <c r="AK79" s="82">
        <f>DCF!$C$31-AK80</f>
        <v>0.24</v>
      </c>
      <c r="AL79" s="82">
        <f>DCF!$C$31-AL80</f>
        <v>0.24</v>
      </c>
      <c r="AM79" s="82">
        <f>DCF!$C$31-AM80</f>
        <v>0.24</v>
      </c>
      <c r="AN79" s="82">
        <f>DCF!$C$31-AN80</f>
        <v>0.24</v>
      </c>
      <c r="AO79" s="7"/>
    </row>
    <row r="80" spans="1:44" s="70" customFormat="1" outlineLevel="1">
      <c r="A80" s="110" t="s">
        <v>114</v>
      </c>
      <c r="B80" s="110"/>
      <c r="C80" s="144"/>
      <c r="E80" s="80" t="s">
        <v>114</v>
      </c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>
        <f t="shared" si="80"/>
        <v>2.7543424317617877E-2</v>
      </c>
      <c r="Z80" s="81">
        <f t="shared" si="80"/>
        <v>-0.169874262253015</v>
      </c>
      <c r="AA80" s="81">
        <f t="shared" si="80"/>
        <v>0.15027043975856508</v>
      </c>
      <c r="AB80" s="81">
        <f t="shared" si="80"/>
        <v>-0.66933226709314519</v>
      </c>
      <c r="AC80" s="81">
        <f t="shared" si="81"/>
        <v>0.30726262548131084</v>
      </c>
      <c r="AD80" s="81">
        <f t="shared" si="81"/>
        <v>0.14639926504374332</v>
      </c>
      <c r="AE80" s="81">
        <f t="shared" si="81"/>
        <v>4.7436804408037138E-2</v>
      </c>
      <c r="AF80" s="82">
        <f>MAX(AE80-0.03,0)</f>
        <v>1.7436804408037139E-2</v>
      </c>
      <c r="AG80" s="82">
        <f t="shared" ref="AG80:AN80" si="82">MAX(AF80-0.03,0)</f>
        <v>0</v>
      </c>
      <c r="AH80" s="82">
        <f t="shared" si="82"/>
        <v>0</v>
      </c>
      <c r="AI80" s="82">
        <f t="shared" si="82"/>
        <v>0</v>
      </c>
      <c r="AJ80" s="82">
        <f t="shared" si="82"/>
        <v>0</v>
      </c>
      <c r="AK80" s="82">
        <f t="shared" si="82"/>
        <v>0</v>
      </c>
      <c r="AL80" s="82">
        <f t="shared" si="82"/>
        <v>0</v>
      </c>
      <c r="AM80" s="82">
        <f t="shared" si="82"/>
        <v>0</v>
      </c>
      <c r="AN80" s="82">
        <f t="shared" si="82"/>
        <v>0</v>
      </c>
      <c r="AO80" s="83"/>
    </row>
    <row r="81" spans="1:43" s="3" customFormat="1" outlineLevel="1">
      <c r="A81" s="110" t="s">
        <v>115</v>
      </c>
      <c r="B81" s="110"/>
      <c r="C81" s="143"/>
      <c r="E81" s="2" t="s">
        <v>115</v>
      </c>
      <c r="F81" s="2"/>
      <c r="G81" s="2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>
        <f t="shared" ref="Y81:AN81" si="83">+Y76+Y77+Y78</f>
        <v>-3.9189999999999983</v>
      </c>
      <c r="Z81" s="8">
        <f t="shared" si="83"/>
        <v>-18.236000000000015</v>
      </c>
      <c r="AA81" s="8">
        <f t="shared" si="83"/>
        <v>-10.839999999999902</v>
      </c>
      <c r="AB81" s="8">
        <f t="shared" si="83"/>
        <v>-4.1750000000000647</v>
      </c>
      <c r="AC81" s="8">
        <f t="shared" si="83"/>
        <v>9.311038287796725</v>
      </c>
      <c r="AD81" s="8">
        <f t="shared" si="83"/>
        <v>22.012415514310703</v>
      </c>
      <c r="AE81" s="8">
        <f t="shared" si="83"/>
        <v>50.605573371096234</v>
      </c>
      <c r="AF81" s="8">
        <f t="shared" ca="1" si="83"/>
        <v>88.415922314356251</v>
      </c>
      <c r="AG81" s="8">
        <f t="shared" ca="1" si="83"/>
        <v>134.37760638710765</v>
      </c>
      <c r="AH81" s="8">
        <f t="shared" ca="1" si="83"/>
        <v>191.00417397545999</v>
      </c>
      <c r="AI81" s="8">
        <f t="shared" ca="1" si="83"/>
        <v>259.48947804127073</v>
      </c>
      <c r="AJ81" s="8">
        <f t="shared" ca="1" si="83"/>
        <v>334.13538961621464</v>
      </c>
      <c r="AK81" s="8">
        <f t="shared" ca="1" si="83"/>
        <v>418.56431941284461</v>
      </c>
      <c r="AL81" s="8">
        <f t="shared" ca="1" si="83"/>
        <v>508.72984345234147</v>
      </c>
      <c r="AM81" s="8">
        <f t="shared" ca="1" si="83"/>
        <v>607.52080666767301</v>
      </c>
      <c r="AN81" s="8">
        <f t="shared" ca="1" si="83"/>
        <v>709.54279353384936</v>
      </c>
      <c r="AO81" s="64"/>
      <c r="AP81" s="75"/>
      <c r="AQ81" s="75"/>
    </row>
    <row r="82" spans="1:43" outlineLevel="1">
      <c r="E82" s="70" t="s">
        <v>116</v>
      </c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>
        <v>0</v>
      </c>
      <c r="Z82" s="225">
        <v>0</v>
      </c>
      <c r="AA82" s="225">
        <v>0</v>
      </c>
      <c r="AB82" s="225">
        <v>0</v>
      </c>
      <c r="AC82" s="79">
        <v>0</v>
      </c>
      <c r="AD82" s="79">
        <f>AC82</f>
        <v>0</v>
      </c>
      <c r="AE82" s="79">
        <f t="shared" ref="AE82:AN82" si="84">AD82</f>
        <v>0</v>
      </c>
      <c r="AF82" s="79">
        <f t="shared" si="84"/>
        <v>0</v>
      </c>
      <c r="AG82" s="79">
        <f t="shared" si="84"/>
        <v>0</v>
      </c>
      <c r="AH82" s="79">
        <f t="shared" si="84"/>
        <v>0</v>
      </c>
      <c r="AI82" s="79">
        <f t="shared" si="84"/>
        <v>0</v>
      </c>
      <c r="AJ82" s="79">
        <f t="shared" si="84"/>
        <v>0</v>
      </c>
      <c r="AK82" s="79">
        <f t="shared" si="84"/>
        <v>0</v>
      </c>
      <c r="AL82" s="79">
        <f t="shared" si="84"/>
        <v>0</v>
      </c>
      <c r="AM82" s="79">
        <f t="shared" si="84"/>
        <v>0</v>
      </c>
      <c r="AN82" s="79">
        <f t="shared" si="84"/>
        <v>0</v>
      </c>
      <c r="AO82" s="7"/>
    </row>
    <row r="83" spans="1:43" outlineLevel="1">
      <c r="E83" s="70" t="s">
        <v>117</v>
      </c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25"/>
      <c r="Y83" s="225">
        <v>0</v>
      </c>
      <c r="Z83" s="225">
        <v>0</v>
      </c>
      <c r="AA83" s="225">
        <v>0</v>
      </c>
      <c r="AB83" s="225">
        <v>0</v>
      </c>
      <c r="AC83" s="79">
        <v>0</v>
      </c>
      <c r="AD83" s="79">
        <f t="shared" ref="AD83:AN83" si="85">AC83</f>
        <v>0</v>
      </c>
      <c r="AE83" s="79">
        <f t="shared" si="85"/>
        <v>0</v>
      </c>
      <c r="AF83" s="79">
        <f t="shared" si="85"/>
        <v>0</v>
      </c>
      <c r="AG83" s="79">
        <f t="shared" si="85"/>
        <v>0</v>
      </c>
      <c r="AH83" s="79">
        <f t="shared" si="85"/>
        <v>0</v>
      </c>
      <c r="AI83" s="79">
        <f t="shared" si="85"/>
        <v>0</v>
      </c>
      <c r="AJ83" s="79">
        <f t="shared" si="85"/>
        <v>0</v>
      </c>
      <c r="AK83" s="79">
        <f t="shared" si="85"/>
        <v>0</v>
      </c>
      <c r="AL83" s="79">
        <f t="shared" si="85"/>
        <v>0</v>
      </c>
      <c r="AM83" s="79">
        <f t="shared" si="85"/>
        <v>0</v>
      </c>
      <c r="AN83" s="79">
        <f t="shared" si="85"/>
        <v>0</v>
      </c>
      <c r="AO83" s="7"/>
    </row>
    <row r="84" spans="1:43" outlineLevel="1">
      <c r="E84" s="70" t="s">
        <v>118</v>
      </c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25"/>
      <c r="Y84" s="225">
        <v>0</v>
      </c>
      <c r="Z84" s="225">
        <v>0</v>
      </c>
      <c r="AA84" s="225">
        <v>0</v>
      </c>
      <c r="AB84" s="225">
        <v>0</v>
      </c>
      <c r="AC84" s="79">
        <v>0</v>
      </c>
      <c r="AD84" s="79">
        <f t="shared" ref="AD84:AN84" si="86">AC84</f>
        <v>0</v>
      </c>
      <c r="AE84" s="79">
        <f t="shared" si="86"/>
        <v>0</v>
      </c>
      <c r="AF84" s="79">
        <f t="shared" si="86"/>
        <v>0</v>
      </c>
      <c r="AG84" s="79">
        <f t="shared" si="86"/>
        <v>0</v>
      </c>
      <c r="AH84" s="79">
        <f t="shared" si="86"/>
        <v>0</v>
      </c>
      <c r="AI84" s="79">
        <f t="shared" si="86"/>
        <v>0</v>
      </c>
      <c r="AJ84" s="79">
        <f t="shared" si="86"/>
        <v>0</v>
      </c>
      <c r="AK84" s="79">
        <f t="shared" si="86"/>
        <v>0</v>
      </c>
      <c r="AL84" s="79">
        <f t="shared" si="86"/>
        <v>0</v>
      </c>
      <c r="AM84" s="79">
        <f t="shared" si="86"/>
        <v>0</v>
      </c>
      <c r="AN84" s="79">
        <f t="shared" si="86"/>
        <v>0</v>
      </c>
      <c r="AO84" s="7"/>
    </row>
    <row r="85" spans="1:43" s="3" customFormat="1" outlineLevel="1">
      <c r="A85" s="110" t="s">
        <v>119</v>
      </c>
      <c r="B85" s="110"/>
      <c r="C85" s="143"/>
      <c r="E85" s="2" t="s">
        <v>119</v>
      </c>
      <c r="F85" s="2"/>
      <c r="G85" s="2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>
        <f>SUM(Y81:Y84)</f>
        <v>-3.9189999999999983</v>
      </c>
      <c r="Z85" s="8">
        <f>SUM(Z81:Z84)</f>
        <v>-18.236000000000015</v>
      </c>
      <c r="AA85" s="8">
        <f>SUM(AA81:AA84)</f>
        <v>-10.839999999999902</v>
      </c>
      <c r="AB85" s="8">
        <f>SUM(AB81:AB84)</f>
        <v>-4.1750000000000647</v>
      </c>
      <c r="AC85" s="8">
        <f t="shared" ref="AC85:AM85" si="87">SUM(AC81:AC84)</f>
        <v>9.311038287796725</v>
      </c>
      <c r="AD85" s="8">
        <f t="shared" si="87"/>
        <v>22.012415514310703</v>
      </c>
      <c r="AE85" s="8">
        <f t="shared" si="87"/>
        <v>50.605573371096234</v>
      </c>
      <c r="AF85" s="8">
        <f t="shared" ca="1" si="87"/>
        <v>88.415922314356251</v>
      </c>
      <c r="AG85" s="8">
        <f t="shared" ca="1" si="87"/>
        <v>134.37760638710765</v>
      </c>
      <c r="AH85" s="8">
        <f t="shared" ca="1" si="87"/>
        <v>191.00417397545999</v>
      </c>
      <c r="AI85" s="8">
        <f t="shared" ca="1" si="87"/>
        <v>259.48947804127073</v>
      </c>
      <c r="AJ85" s="8">
        <f t="shared" ca="1" si="87"/>
        <v>334.13538961621464</v>
      </c>
      <c r="AK85" s="8">
        <f t="shared" ca="1" si="87"/>
        <v>418.56431941284461</v>
      </c>
      <c r="AL85" s="8">
        <f t="shared" ca="1" si="87"/>
        <v>508.72984345234147</v>
      </c>
      <c r="AM85" s="8">
        <f t="shared" ca="1" si="87"/>
        <v>607.52080666767301</v>
      </c>
      <c r="AN85" s="8">
        <f ca="1">SUM(AN81:AN84)</f>
        <v>709.54279353384936</v>
      </c>
      <c r="AO85" s="64"/>
      <c r="AP85" s="75"/>
      <c r="AQ85" s="75"/>
    </row>
    <row r="86" spans="1:43" outlineLevel="1"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7"/>
    </row>
    <row r="87" spans="1:43" s="3" customFormat="1" outlineLevel="1">
      <c r="A87" s="110"/>
      <c r="B87" s="110" t="s">
        <v>161</v>
      </c>
      <c r="C87" s="36"/>
      <c r="D87"/>
      <c r="E87" s="148" t="s">
        <v>161</v>
      </c>
      <c r="F87" s="36"/>
      <c r="G87" s="36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>
        <v>18.91</v>
      </c>
      <c r="Z87" s="225">
        <v>64.335999999999999</v>
      </c>
      <c r="AA87" s="225">
        <f>AVERAGE(INDEX(QRT!$1:$1048576,MATCH(Model!$B87,QRT!$A:$A,0),MATCH(Model!AA$3,QRT!$4:$4,0)),INDEX(QRT!$1:$1048576,MATCH(Model!$B87,QRT!$A:$A,0),MATCH(Model!AA$3,QRT!$4:$4,0)+1),INDEX(QRT!$1:$1048576,MATCH(Model!$B87,QRT!$A:$A,0),MATCH(Model!AA$3,QRT!$4:$4,0)+2),INDEX(QRT!$1:$1048576,MATCH(Model!$B87,QRT!$A:$A,0),MATCH(Model!AA$3,QRT!$4:$4,0)+3))</f>
        <v>77.411000000000001</v>
      </c>
      <c r="AB87" s="225">
        <f>AVERAGE(INDEX(QRT!$1:$1048576,MATCH(Model!$B87,QRT!$A:$A,0),MATCH(Model!AB$3,QRT!$4:$4,0)),INDEX(QRT!$1:$1048576,MATCH(Model!$B87,QRT!$A:$A,0),MATCH(Model!AB$3,QRT!$4:$4,0)+1),INDEX(QRT!$1:$1048576,MATCH(Model!$B87,QRT!$A:$A,0),MATCH(Model!AB$3,QRT!$4:$4,0)+2),INDEX(QRT!$1:$1048576,MATCH(Model!$B87,QRT!$A:$A,0),MATCH(Model!AB$3,QRT!$4:$4,0)+3))</f>
        <v>102.95</v>
      </c>
      <c r="AC87" s="69">
        <f>AVERAGE(INDEX(QRT!$1:$1048576,MATCH(Model!$B87,QRT!$A:$A,0),MATCH(Model!AC$3,QRT!$4:$4,0)),INDEX(QRT!$1:$1048576,MATCH(Model!$B87,QRT!$A:$A,0),MATCH(Model!AC$3,QRT!$4:$4,0)+1),INDEX(QRT!$1:$1048576,MATCH(Model!$B87,QRT!$A:$A,0),MATCH(Model!AC$3,QRT!$4:$4,0)+2),INDEX(QRT!$1:$1048576,MATCH(Model!$B87,QRT!$A:$A,0),MATCH(Model!AC$3,QRT!$4:$4,0)+3))</f>
        <v>181.31574999999998</v>
      </c>
      <c r="AD87" s="69">
        <f>AVERAGE(INDEX(QRT!$1:$1048576,MATCH(Model!$B87,QRT!$A:$A,0),MATCH(Model!AD$3,QRT!$4:$4,0)),INDEX(QRT!$1:$1048576,MATCH(Model!$B87,QRT!$A:$A,0),MATCH(Model!AD$3,QRT!$4:$4,0)+1),INDEX(QRT!$1:$1048576,MATCH(Model!$B87,QRT!$A:$A,0),MATCH(Model!AD$3,QRT!$4:$4,0)+2),INDEX(QRT!$1:$1048576,MATCH(Model!$B87,QRT!$A:$A,0),MATCH(Model!AD$3,QRT!$4:$4,0)+3))</f>
        <v>197.03</v>
      </c>
      <c r="AE87" s="69">
        <f>AVERAGE(INDEX(QRT!$1:$1048576,MATCH(Model!$B87,QRT!$A:$A,0),MATCH(Model!AE$3,QRT!$4:$4,0)),INDEX(QRT!$1:$1048576,MATCH(Model!$B87,QRT!$A:$A,0),MATCH(Model!AE$3,QRT!$4:$4,0)+1),INDEX(QRT!$1:$1048576,MATCH(Model!$B87,QRT!$A:$A,0),MATCH(Model!AE$3,QRT!$4:$4,0)+2),INDEX(QRT!$1:$1048576,MATCH(Model!$B87,QRT!$A:$A,0),MATCH(Model!AE$3,QRT!$4:$4,0)+3))</f>
        <v>197.03</v>
      </c>
      <c r="AF87" s="79">
        <f>AE87</f>
        <v>197.03</v>
      </c>
      <c r="AG87" s="79">
        <f t="shared" ref="AG87:AN87" si="88">AF87</f>
        <v>197.03</v>
      </c>
      <c r="AH87" s="79">
        <f t="shared" si="88"/>
        <v>197.03</v>
      </c>
      <c r="AI87" s="79">
        <f t="shared" si="88"/>
        <v>197.03</v>
      </c>
      <c r="AJ87" s="79">
        <f t="shared" si="88"/>
        <v>197.03</v>
      </c>
      <c r="AK87" s="79">
        <f t="shared" si="88"/>
        <v>197.03</v>
      </c>
      <c r="AL87" s="79">
        <f t="shared" si="88"/>
        <v>197.03</v>
      </c>
      <c r="AM87" s="79">
        <f t="shared" si="88"/>
        <v>197.03</v>
      </c>
      <c r="AN87" s="79">
        <f t="shared" si="88"/>
        <v>197.03</v>
      </c>
      <c r="AO87" s="64"/>
    </row>
    <row r="88" spans="1:43" s="3" customFormat="1" outlineLevel="1">
      <c r="A88" s="110"/>
      <c r="B88" s="110" t="s">
        <v>162</v>
      </c>
      <c r="C88" s="36"/>
      <c r="D88"/>
      <c r="E88" s="148" t="s">
        <v>162</v>
      </c>
      <c r="F88" s="36"/>
      <c r="G88" s="36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25"/>
      <c r="Y88" s="225">
        <v>18.91</v>
      </c>
      <c r="Z88" s="225">
        <f>Z87</f>
        <v>64.335999999999999</v>
      </c>
      <c r="AA88" s="225">
        <f>AVERAGE(INDEX(QRT!$1:$1048576,MATCH(Model!$B88,QRT!$A:$A,0),MATCH(Model!AA$3,QRT!$4:$4,0)),INDEX(QRT!$1:$1048576,MATCH(Model!$B88,QRT!$A:$A,0),MATCH(Model!AA$3,QRT!$4:$4,0)+1),INDEX(QRT!$1:$1048576,MATCH(Model!$B88,QRT!$A:$A,0),MATCH(Model!AA$3,QRT!$4:$4,0)+2),INDEX(QRT!$1:$1048576,MATCH(Model!$B88,QRT!$A:$A,0),MATCH(Model!AA$3,QRT!$4:$4,0)+3))</f>
        <v>77.411000000000001</v>
      </c>
      <c r="AB88" s="225">
        <f>AVERAGE(INDEX(QRT!$1:$1048576,MATCH(Model!$B88,QRT!$A:$A,0),MATCH(Model!AB$3,QRT!$4:$4,0)),INDEX(QRT!$1:$1048576,MATCH(Model!$B88,QRT!$A:$A,0),MATCH(Model!AB$3,QRT!$4:$4,0)+1),INDEX(QRT!$1:$1048576,MATCH(Model!$B88,QRT!$A:$A,0),MATCH(Model!AB$3,QRT!$4:$4,0)+2),INDEX(QRT!$1:$1048576,MATCH(Model!$B88,QRT!$A:$A,0),MATCH(Model!AB$3,QRT!$4:$4,0)+3))</f>
        <v>102.95</v>
      </c>
      <c r="AC88" s="69">
        <f>AVERAGE(INDEX(QRT!$1:$1048576,MATCH(Model!$B88,QRT!$A:$A,0),MATCH(Model!AC$3,QRT!$4:$4,0)),INDEX(QRT!$1:$1048576,MATCH(Model!$B88,QRT!$A:$A,0),MATCH(Model!AC$3,QRT!$4:$4,0)+1),INDEX(QRT!$1:$1048576,MATCH(Model!$B88,QRT!$A:$A,0),MATCH(Model!AC$3,QRT!$4:$4,0)+2),INDEX(QRT!$1:$1048576,MATCH(Model!$B88,QRT!$A:$A,0),MATCH(Model!AC$3,QRT!$4:$4,0)+3))</f>
        <v>184.78074999999998</v>
      </c>
      <c r="AD88" s="69">
        <f>AVERAGE(INDEX(QRT!$1:$1048576,MATCH(Model!$B88,QRT!$A:$A,0),MATCH(Model!AD$3,QRT!$4:$4,0)),INDEX(QRT!$1:$1048576,MATCH(Model!$B88,QRT!$A:$A,0),MATCH(Model!AD$3,QRT!$4:$4,0)+1),INDEX(QRT!$1:$1048576,MATCH(Model!$B88,QRT!$A:$A,0),MATCH(Model!AD$3,QRT!$4:$4,0)+2),INDEX(QRT!$1:$1048576,MATCH(Model!$B88,QRT!$A:$A,0),MATCH(Model!AD$3,QRT!$4:$4,0)+3))</f>
        <v>200.16900000000001</v>
      </c>
      <c r="AE88" s="69">
        <f>AVERAGE(INDEX(QRT!$1:$1048576,MATCH(Model!$B88,QRT!$A:$A,0),MATCH(Model!AE$3,QRT!$4:$4,0)),INDEX(QRT!$1:$1048576,MATCH(Model!$B88,QRT!$A:$A,0),MATCH(Model!AE$3,QRT!$4:$4,0)+1),INDEX(QRT!$1:$1048576,MATCH(Model!$B88,QRT!$A:$A,0),MATCH(Model!AE$3,QRT!$4:$4,0)+2),INDEX(QRT!$1:$1048576,MATCH(Model!$B88,QRT!$A:$A,0),MATCH(Model!AE$3,QRT!$4:$4,0)+3))</f>
        <v>200.16900000000001</v>
      </c>
      <c r="AF88" s="79">
        <f t="shared" ref="AF88:AN88" si="89">AE88</f>
        <v>200.16900000000001</v>
      </c>
      <c r="AG88" s="79">
        <f t="shared" si="89"/>
        <v>200.16900000000001</v>
      </c>
      <c r="AH88" s="79">
        <f t="shared" si="89"/>
        <v>200.16900000000001</v>
      </c>
      <c r="AI88" s="79">
        <f t="shared" si="89"/>
        <v>200.16900000000001</v>
      </c>
      <c r="AJ88" s="79">
        <f t="shared" si="89"/>
        <v>200.16900000000001</v>
      </c>
      <c r="AK88" s="79">
        <f t="shared" si="89"/>
        <v>200.16900000000001</v>
      </c>
      <c r="AL88" s="79">
        <f t="shared" si="89"/>
        <v>200.16900000000001</v>
      </c>
      <c r="AM88" s="79">
        <f t="shared" si="89"/>
        <v>200.16900000000001</v>
      </c>
      <c r="AN88" s="79">
        <f t="shared" si="89"/>
        <v>200.16900000000001</v>
      </c>
      <c r="AO88" s="64"/>
    </row>
    <row r="89" spans="1:43" s="3" customFormat="1" outlineLevel="1">
      <c r="A89" s="110"/>
      <c r="B89" s="110"/>
      <c r="C89" s="36"/>
      <c r="D89"/>
      <c r="E89" s="148"/>
      <c r="F89" s="36"/>
      <c r="G89" s="36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68"/>
      <c r="Y89" s="68"/>
      <c r="Z89" s="68"/>
      <c r="AA89" s="68"/>
      <c r="AB89" s="68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64"/>
    </row>
    <row r="90" spans="1:43" s="3" customFormat="1" outlineLevel="1">
      <c r="A90" s="110"/>
      <c r="B90" s="110"/>
      <c r="C90" s="36"/>
      <c r="D90"/>
      <c r="E90" t="s">
        <v>495</v>
      </c>
      <c r="F90" s="36"/>
      <c r="G90" s="36"/>
      <c r="H90" s="314"/>
      <c r="I90" s="314"/>
      <c r="J90" s="314"/>
      <c r="K90" s="314"/>
      <c r="L90" s="314"/>
      <c r="M90" s="314"/>
      <c r="N90" s="314"/>
      <c r="O90" s="314"/>
      <c r="P90" s="314"/>
      <c r="Q90" s="314"/>
      <c r="R90" s="314"/>
      <c r="S90" s="314"/>
      <c r="T90" s="314"/>
      <c r="U90" s="314"/>
      <c r="V90" s="314"/>
      <c r="W90" s="314"/>
      <c r="X90" s="314"/>
      <c r="Y90" s="314"/>
      <c r="Z90" s="314"/>
      <c r="AA90" s="314"/>
      <c r="AB90" s="314"/>
      <c r="AC90" s="68">
        <f>DCF!$C$35</f>
        <v>9.0500000000000007</v>
      </c>
      <c r="AD90" s="68">
        <f>DCF!$C$35</f>
        <v>9.0500000000000007</v>
      </c>
      <c r="AE90" s="68">
        <f>DCF!$C$35</f>
        <v>9.0500000000000007</v>
      </c>
      <c r="AF90" s="68">
        <f>DCF!$C$35</f>
        <v>9.0500000000000007</v>
      </c>
      <c r="AG90" s="68">
        <f>DCF!$C$35</f>
        <v>9.0500000000000007</v>
      </c>
      <c r="AH90" s="68">
        <f>DCF!$C$35</f>
        <v>9.0500000000000007</v>
      </c>
      <c r="AI90" s="68">
        <f>DCF!$C$35</f>
        <v>9.0500000000000007</v>
      </c>
      <c r="AJ90" s="68">
        <f>DCF!$C$35</f>
        <v>9.0500000000000007</v>
      </c>
      <c r="AK90" s="68">
        <f>DCF!$C$35</f>
        <v>9.0500000000000007</v>
      </c>
      <c r="AL90" s="68">
        <f>DCF!$C$35</f>
        <v>9.0500000000000007</v>
      </c>
      <c r="AM90" s="68">
        <f>DCF!$C$35</f>
        <v>9.0500000000000007</v>
      </c>
      <c r="AN90" s="68">
        <f>DCF!$C$35</f>
        <v>9.0500000000000007</v>
      </c>
      <c r="AO90" s="64"/>
    </row>
    <row r="91" spans="1:43" outlineLevel="1">
      <c r="A91" s="110" t="s">
        <v>176</v>
      </c>
      <c r="B91" s="110"/>
      <c r="E91" t="s">
        <v>121</v>
      </c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>
        <f t="shared" ref="Y91:AN91" si="90">+Y88</f>
        <v>18.91</v>
      </c>
      <c r="Z91" s="74">
        <f t="shared" si="90"/>
        <v>64.335999999999999</v>
      </c>
      <c r="AA91" s="74">
        <f t="shared" si="90"/>
        <v>77.411000000000001</v>
      </c>
      <c r="AB91" s="74">
        <f t="shared" si="90"/>
        <v>102.95</v>
      </c>
      <c r="AC91" s="74">
        <f t="shared" si="90"/>
        <v>184.78074999999998</v>
      </c>
      <c r="AD91" s="74">
        <f t="shared" si="90"/>
        <v>200.16900000000001</v>
      </c>
      <c r="AE91" s="74">
        <f t="shared" si="90"/>
        <v>200.16900000000001</v>
      </c>
      <c r="AF91" s="74">
        <f t="shared" si="90"/>
        <v>200.16900000000001</v>
      </c>
      <c r="AG91" s="74">
        <f t="shared" si="90"/>
        <v>200.16900000000001</v>
      </c>
      <c r="AH91" s="74">
        <f t="shared" si="90"/>
        <v>200.16900000000001</v>
      </c>
      <c r="AI91" s="74">
        <f t="shared" si="90"/>
        <v>200.16900000000001</v>
      </c>
      <c r="AJ91" s="74">
        <f t="shared" si="90"/>
        <v>200.16900000000001</v>
      </c>
      <c r="AK91" s="74">
        <f t="shared" si="90"/>
        <v>200.16900000000001</v>
      </c>
      <c r="AL91" s="74">
        <f t="shared" si="90"/>
        <v>200.16900000000001</v>
      </c>
      <c r="AM91" s="74">
        <f t="shared" si="90"/>
        <v>200.16900000000001</v>
      </c>
      <c r="AN91" s="74">
        <f t="shared" si="90"/>
        <v>200.16900000000001</v>
      </c>
      <c r="AO91" s="7"/>
      <c r="AP91" s="75"/>
      <c r="AQ91" s="174"/>
    </row>
    <row r="92" spans="1:43" outlineLevel="1">
      <c r="A92" s="110" t="s">
        <v>25</v>
      </c>
      <c r="B92" s="110"/>
      <c r="E92" s="3" t="s">
        <v>122</v>
      </c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>
        <f t="shared" ref="Y92:AN92" si="91">+Y85/Y91</f>
        <v>-0.20724484399788462</v>
      </c>
      <c r="Z92" s="86">
        <f t="shared" si="91"/>
        <v>-0.28344939069883135</v>
      </c>
      <c r="AA92" s="86">
        <f t="shared" si="91"/>
        <v>-0.14003177842942091</v>
      </c>
      <c r="AB92" s="86">
        <f t="shared" si="91"/>
        <v>-4.0553666828558182E-2</v>
      </c>
      <c r="AC92" s="86">
        <f t="shared" si="91"/>
        <v>5.0389655241667358E-2</v>
      </c>
      <c r="AD92" s="86">
        <f t="shared" si="91"/>
        <v>0.10996915363673047</v>
      </c>
      <c r="AE92" s="86">
        <f t="shared" si="91"/>
        <v>0.25281423882367515</v>
      </c>
      <c r="AF92" s="86">
        <f t="shared" ca="1" si="91"/>
        <v>0.4417063696893937</v>
      </c>
      <c r="AG92" s="86">
        <f t="shared" ca="1" si="91"/>
        <v>0.67132076588836254</v>
      </c>
      <c r="AH92" s="86">
        <f t="shared" ca="1" si="91"/>
        <v>0.9542145585753038</v>
      </c>
      <c r="AI92" s="86">
        <f t="shared" ca="1" si="91"/>
        <v>1.2963519727893467</v>
      </c>
      <c r="AJ92" s="86">
        <f t="shared" ca="1" si="91"/>
        <v>1.6692664179578987</v>
      </c>
      <c r="AK92" s="86">
        <f t="shared" ca="1" si="91"/>
        <v>2.0910546558800043</v>
      </c>
      <c r="AL92" s="86">
        <f t="shared" ca="1" si="91"/>
        <v>2.5415016483688357</v>
      </c>
      <c r="AM92" s="86">
        <f t="shared" ca="1" si="91"/>
        <v>3.0350394250242196</v>
      </c>
      <c r="AN92" s="86">
        <f t="shared" ca="1" si="91"/>
        <v>3.5447186803843218</v>
      </c>
      <c r="AO92" s="56"/>
      <c r="AP92" s="75"/>
      <c r="AQ92" s="75"/>
    </row>
    <row r="93" spans="1:43" outlineLevel="1">
      <c r="A93" s="110" t="s">
        <v>177</v>
      </c>
      <c r="B93" s="110"/>
      <c r="E93" t="s">
        <v>123</v>
      </c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 t="str">
        <f t="shared" ref="Y93:AN93" si="92">IFERROR(Y92/X92-1,"na")</f>
        <v>na</v>
      </c>
      <c r="Z93" s="87">
        <f t="shared" si="92"/>
        <v>0.367702979871116</v>
      </c>
      <c r="AA93" s="87">
        <f t="shared" si="92"/>
        <v>-0.50597255445079969</v>
      </c>
      <c r="AB93" s="87">
        <f t="shared" si="92"/>
        <v>-0.71039668792753274</v>
      </c>
      <c r="AC93" s="87">
        <f t="shared" si="92"/>
        <v>-2.2425425166777422</v>
      </c>
      <c r="AD93" s="87">
        <f t="shared" si="92"/>
        <v>1.1823755909684541</v>
      </c>
      <c r="AE93" s="87">
        <f t="shared" si="92"/>
        <v>1.2989559386699998</v>
      </c>
      <c r="AF93" s="87">
        <f t="shared" ca="1" si="92"/>
        <v>0.74715780149337641</v>
      </c>
      <c r="AG93" s="87">
        <f t="shared" ca="1" si="92"/>
        <v>0.5198349219198104</v>
      </c>
      <c r="AH93" s="87">
        <f t="shared" ca="1" si="92"/>
        <v>0.421398841003505</v>
      </c>
      <c r="AI93" s="87">
        <f t="shared" ca="1" si="92"/>
        <v>0.35855396581338406</v>
      </c>
      <c r="AJ93" s="87">
        <f t="shared" ca="1" si="92"/>
        <v>0.2876645023852249</v>
      </c>
      <c r="AK93" s="87">
        <f t="shared" ca="1" si="92"/>
        <v>0.25267880152893829</v>
      </c>
      <c r="AL93" s="87">
        <f t="shared" ca="1" si="92"/>
        <v>0.21541617347121145</v>
      </c>
      <c r="AM93" s="87">
        <f t="shared" ca="1" si="92"/>
        <v>0.1941914052946383</v>
      </c>
      <c r="AN93" s="87">
        <f t="shared" ca="1" si="92"/>
        <v>0.1679316753376392</v>
      </c>
      <c r="AO93" s="56"/>
      <c r="AP93" s="57"/>
    </row>
    <row r="94" spans="1:43"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7"/>
    </row>
    <row r="95" spans="1:43">
      <c r="D95" s="104"/>
      <c r="E95" s="105" t="s">
        <v>124</v>
      </c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272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</row>
    <row r="96" spans="1:43" ht="5.0999999999999996" customHeight="1">
      <c r="C96" s="142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7"/>
      <c r="AP96" s="1"/>
    </row>
    <row r="97" spans="1:44" outlineLevel="1">
      <c r="E97" t="s">
        <v>115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>
        <f t="shared" ref="Y97:AN97" si="93">+Y81</f>
        <v>-3.9189999999999983</v>
      </c>
      <c r="Z97" s="7">
        <f t="shared" si="93"/>
        <v>-18.236000000000015</v>
      </c>
      <c r="AA97" s="7">
        <f t="shared" si="93"/>
        <v>-10.839999999999902</v>
      </c>
      <c r="AB97" s="7">
        <f t="shared" si="93"/>
        <v>-4.1750000000000647</v>
      </c>
      <c r="AC97" s="7">
        <f t="shared" si="93"/>
        <v>9.311038287796725</v>
      </c>
      <c r="AD97" s="7">
        <f t="shared" si="93"/>
        <v>22.012415514310703</v>
      </c>
      <c r="AE97" s="7">
        <f t="shared" si="93"/>
        <v>50.605573371096234</v>
      </c>
      <c r="AF97" s="7">
        <f t="shared" ca="1" si="93"/>
        <v>88.415922314356251</v>
      </c>
      <c r="AG97" s="7">
        <f t="shared" ca="1" si="93"/>
        <v>134.37760638710765</v>
      </c>
      <c r="AH97" s="7">
        <f t="shared" ca="1" si="93"/>
        <v>191.00417397545999</v>
      </c>
      <c r="AI97" s="7">
        <f t="shared" ca="1" si="93"/>
        <v>259.48947804127073</v>
      </c>
      <c r="AJ97" s="7">
        <f t="shared" ca="1" si="93"/>
        <v>334.13538961621464</v>
      </c>
      <c r="AK97" s="7">
        <f t="shared" ca="1" si="93"/>
        <v>418.56431941284461</v>
      </c>
      <c r="AL97" s="7">
        <f t="shared" ca="1" si="93"/>
        <v>508.72984345234147</v>
      </c>
      <c r="AM97" s="7">
        <f t="shared" ca="1" si="93"/>
        <v>607.52080666767301</v>
      </c>
      <c r="AN97" s="7">
        <f t="shared" ca="1" si="93"/>
        <v>709.54279353384936</v>
      </c>
      <c r="AO97" s="7"/>
    </row>
    <row r="98" spans="1:44" outlineLevel="1">
      <c r="E98" s="70" t="s">
        <v>7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>
        <f t="shared" ref="Y98:AN98" si="94">-Y68</f>
        <v>0.78300000000000003</v>
      </c>
      <c r="Z98" s="7">
        <f t="shared" si="94"/>
        <v>6.9560000000000004</v>
      </c>
      <c r="AA98" s="7">
        <f t="shared" si="94"/>
        <v>17.887</v>
      </c>
      <c r="AB98" s="7">
        <f t="shared" si="94"/>
        <v>27.048999999999999</v>
      </c>
      <c r="AC98" s="7">
        <f t="shared" si="94"/>
        <v>39.047674213139622</v>
      </c>
      <c r="AD98" s="7">
        <f t="shared" si="94"/>
        <v>56.864641919936297</v>
      </c>
      <c r="AE98" s="7">
        <f t="shared" si="94"/>
        <v>74.41727884721729</v>
      </c>
      <c r="AF98" s="7">
        <f t="shared" ca="1" si="94"/>
        <v>84.031859921818494</v>
      </c>
      <c r="AG98" s="7">
        <f t="shared" ca="1" si="94"/>
        <v>108.03696292580806</v>
      </c>
      <c r="AH98" s="7">
        <f t="shared" ca="1" si="94"/>
        <v>138.87297068462817</v>
      </c>
      <c r="AI98" s="7">
        <f t="shared" ca="1" si="94"/>
        <v>170.94654232694222</v>
      </c>
      <c r="AJ98" s="7">
        <f t="shared" ca="1" si="94"/>
        <v>204.44358408917316</v>
      </c>
      <c r="AK98" s="7">
        <f t="shared" ca="1" si="94"/>
        <v>238.93052641070821</v>
      </c>
      <c r="AL98" s="7">
        <f t="shared" ca="1" si="94"/>
        <v>274.57228296655109</v>
      </c>
      <c r="AM98" s="7">
        <f t="shared" ca="1" si="94"/>
        <v>311.54121627014371</v>
      </c>
      <c r="AN98" s="7">
        <f t="shared" ca="1" si="94"/>
        <v>350.09517535766702</v>
      </c>
      <c r="AO98" s="7"/>
    </row>
    <row r="99" spans="1:44" outlineLevel="1">
      <c r="E99" s="70" t="s">
        <v>212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>
        <f t="shared" ref="Y99:AN99" si="95">-Y69</f>
        <v>0</v>
      </c>
      <c r="Z99" s="7">
        <f t="shared" si="95"/>
        <v>0</v>
      </c>
      <c r="AA99" s="7">
        <f t="shared" si="95"/>
        <v>0</v>
      </c>
      <c r="AB99" s="7">
        <f t="shared" si="95"/>
        <v>0</v>
      </c>
      <c r="AC99" s="7">
        <f t="shared" si="95"/>
        <v>0</v>
      </c>
      <c r="AD99" s="7">
        <f t="shared" si="95"/>
        <v>0</v>
      </c>
      <c r="AE99" s="7">
        <f t="shared" si="95"/>
        <v>0</v>
      </c>
      <c r="AF99" s="7">
        <f t="shared" si="95"/>
        <v>0</v>
      </c>
      <c r="AG99" s="7">
        <f t="shared" si="95"/>
        <v>0</v>
      </c>
      <c r="AH99" s="7">
        <f t="shared" si="95"/>
        <v>0</v>
      </c>
      <c r="AI99" s="7">
        <f t="shared" si="95"/>
        <v>0</v>
      </c>
      <c r="AJ99" s="7">
        <f t="shared" si="95"/>
        <v>0</v>
      </c>
      <c r="AK99" s="7">
        <f t="shared" si="95"/>
        <v>0</v>
      </c>
      <c r="AL99" s="7">
        <f t="shared" si="95"/>
        <v>0</v>
      </c>
      <c r="AM99" s="7">
        <f t="shared" si="95"/>
        <v>0</v>
      </c>
      <c r="AN99" s="7">
        <f t="shared" si="95"/>
        <v>0</v>
      </c>
      <c r="AO99" s="7"/>
    </row>
    <row r="100" spans="1:44" outlineLevel="1">
      <c r="A100" s="110" t="s">
        <v>125</v>
      </c>
      <c r="B100" s="110"/>
      <c r="E100" s="70" t="s">
        <v>125</v>
      </c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">
        <f t="shared" ref="Y100:AN100" si="96">-Y78</f>
        <v>-0.111</v>
      </c>
      <c r="Z100" s="7">
        <f t="shared" si="96"/>
        <v>2.6480000000000001</v>
      </c>
      <c r="AA100" s="7">
        <f t="shared" si="96"/>
        <v>-1.917</v>
      </c>
      <c r="AB100" s="7">
        <f t="shared" si="96"/>
        <v>1.6739999999999997</v>
      </c>
      <c r="AC100" s="7">
        <f t="shared" si="96"/>
        <v>4.1299326349728815</v>
      </c>
      <c r="AD100" s="7">
        <f t="shared" si="96"/>
        <v>4.24026506991129</v>
      </c>
      <c r="AE100" s="7">
        <f t="shared" si="96"/>
        <v>3.1586403762648181</v>
      </c>
      <c r="AF100" s="7">
        <f t="shared" ca="1" si="96"/>
        <v>2.0285409788837319</v>
      </c>
      <c r="AG100" s="7">
        <f t="shared" ca="1" si="96"/>
        <v>0</v>
      </c>
      <c r="AH100" s="7">
        <f t="shared" ca="1" si="96"/>
        <v>0</v>
      </c>
      <c r="AI100" s="7">
        <f t="shared" ca="1" si="96"/>
        <v>0</v>
      </c>
      <c r="AJ100" s="7">
        <f t="shared" ca="1" si="96"/>
        <v>0</v>
      </c>
      <c r="AK100" s="7">
        <f t="shared" ca="1" si="96"/>
        <v>0</v>
      </c>
      <c r="AL100" s="7">
        <f t="shared" ca="1" si="96"/>
        <v>0</v>
      </c>
      <c r="AM100" s="7">
        <f t="shared" ca="1" si="96"/>
        <v>0</v>
      </c>
      <c r="AN100" s="7">
        <f t="shared" ca="1" si="96"/>
        <v>0</v>
      </c>
      <c r="AO100" s="7"/>
    </row>
    <row r="101" spans="1:44" outlineLevel="1">
      <c r="B101" s="109" t="s">
        <v>492</v>
      </c>
      <c r="E101" s="70" t="s">
        <v>126</v>
      </c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25"/>
      <c r="Y101" s="225"/>
      <c r="Z101" s="225" cm="1">
        <f t="array" ref="Z101">INDEX(QRT!$1:$1048576,MATCH(Model!$B101,QRT!$A:$A,0),MATCH(Model!Z$3,QRT!$4:$4,0))+INDEX(QRT!$1:$1048576,MATCH(Model!$B101,QRT!$A:$A,0),MATCH(Model!Z$3,QRT!$4:$4,0)+1)+INDEX(QRT!$1:$1048576,MATCH(Model!$B101,QRT!$A:$A,0),MATCH(Model!Z$3,QRT!$4:$4,0)+2)+INDEX(QRT!$1:$1048576,MATCH(Model!$B101,QRT!$A:$A,0),MATCH(Model!Z$3,QRT!$4:$4,0)+3)</f>
        <v>7.4470000000000001</v>
      </c>
      <c r="AA101" s="225" cm="1">
        <f t="array" ref="AA101">INDEX(QRT!$1:$1048576,MATCH(Model!$B101,QRT!$A:$A,0),MATCH(Model!AA$3,QRT!$4:$4,0))+INDEX(QRT!$1:$1048576,MATCH(Model!$B101,QRT!$A:$A,0),MATCH(Model!AA$3,QRT!$4:$4,0)+1)+INDEX(QRT!$1:$1048576,MATCH(Model!$B101,QRT!$A:$A,0),MATCH(Model!AA$3,QRT!$4:$4,0)+2)+INDEX(QRT!$1:$1048576,MATCH(Model!$B101,QRT!$A:$A,0),MATCH(Model!AA$3,QRT!$4:$4,0)+3)</f>
        <v>1.2989999999999999</v>
      </c>
      <c r="AB101" s="225" cm="1">
        <f t="array" ref="AB101">INDEX(QRT!$1:$1048576,MATCH(Model!$B101,QRT!$A:$A,0),MATCH(Model!AB$3,QRT!$4:$4,0))+INDEX(QRT!$1:$1048576,MATCH(Model!$B101,QRT!$A:$A,0),MATCH(Model!AB$3,QRT!$4:$4,0)+1)+INDEX(QRT!$1:$1048576,MATCH(Model!$B101,QRT!$A:$A,0),MATCH(Model!AB$3,QRT!$4:$4,0)+2)+INDEX(QRT!$1:$1048576,MATCH(Model!$B101,QRT!$A:$A,0),MATCH(Model!AB$3,QRT!$4:$4,0)+3)</f>
        <v>1.127</v>
      </c>
      <c r="AC101" s="206" cm="1">
        <f t="array" ref="AC101">INDEX(QRT!$1:$1048576,MATCH(Model!$B101,QRT!$A:$A,0),MATCH(Model!AC$3,QRT!$4:$4,0))+INDEX(QRT!$1:$1048576,MATCH(Model!$B101,QRT!$A:$A,0),MATCH(Model!AC$3,QRT!$4:$4,0)+1)+INDEX(QRT!$1:$1048576,MATCH(Model!$B101,QRT!$A:$A,0),MATCH(Model!AC$3,QRT!$4:$4,0)+2)+INDEX(QRT!$1:$1048576,MATCH(Model!$B101,QRT!$A:$A,0),MATCH(Model!AC$3,QRT!$4:$4,0)+3)</f>
        <v>3.8079999999999998</v>
      </c>
      <c r="AD101" s="206" cm="1">
        <f t="array" ref="AD101">INDEX(QRT!$1:$1048576,MATCH(Model!$B101,QRT!$A:$A,0),MATCH(Model!AD$3,QRT!$4:$4,0))+INDEX(QRT!$1:$1048576,MATCH(Model!$B101,QRT!$A:$A,0),MATCH(Model!AD$3,QRT!$4:$4,0)+1)+INDEX(QRT!$1:$1048576,MATCH(Model!$B101,QRT!$A:$A,0),MATCH(Model!AD$3,QRT!$4:$4,0)+2)+INDEX(QRT!$1:$1048576,MATCH(Model!$B101,QRT!$A:$A,0),MATCH(Model!AD$3,QRT!$4:$4,0)+3)</f>
        <v>0</v>
      </c>
      <c r="AE101" s="206" cm="1">
        <f t="array" ref="AE101">INDEX(QRT!$1:$1048576,MATCH(Model!$B101,QRT!$A:$A,0),MATCH(Model!AE$3,QRT!$4:$4,0))+INDEX(QRT!$1:$1048576,MATCH(Model!$B101,QRT!$A:$A,0),MATCH(Model!AE$3,QRT!$4:$4,0)+1)+INDEX(QRT!$1:$1048576,MATCH(Model!$B101,QRT!$A:$A,0),MATCH(Model!AE$3,QRT!$4:$4,0)+2)+INDEX(QRT!$1:$1048576,MATCH(Model!$B101,QRT!$A:$A,0),MATCH(Model!AE$3,QRT!$4:$4,0)+3)</f>
        <v>0</v>
      </c>
      <c r="AF101" s="79">
        <v>0</v>
      </c>
      <c r="AG101" s="79">
        <v>0</v>
      </c>
      <c r="AH101" s="79">
        <v>0</v>
      </c>
      <c r="AI101" s="79">
        <v>0</v>
      </c>
      <c r="AJ101" s="79">
        <v>0</v>
      </c>
      <c r="AK101" s="79">
        <v>0</v>
      </c>
      <c r="AL101" s="79">
        <v>0</v>
      </c>
      <c r="AM101" s="79">
        <v>0</v>
      </c>
      <c r="AN101" s="79">
        <v>0</v>
      </c>
      <c r="AO101" s="7"/>
    </row>
    <row r="102" spans="1:44" outlineLevel="1">
      <c r="B102" s="109" t="s">
        <v>498</v>
      </c>
      <c r="E102" s="70" t="s">
        <v>127</v>
      </c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25"/>
      <c r="Y102" s="225"/>
      <c r="Z102" s="225" cm="1">
        <f t="array" ref="Z102">INDEX(QRT!$1:$1048576,MATCH(Model!$B102,QRT!$A:$A,0),MATCH(Model!Z$3,QRT!$4:$4,0))+INDEX(QRT!$1:$1048576,MATCH(Model!$B102,QRT!$A:$A,0),MATCH(Model!Z$3,QRT!$4:$4,0)+1)+INDEX(QRT!$1:$1048576,MATCH(Model!$B102,QRT!$A:$A,0),MATCH(Model!Z$3,QRT!$4:$4,0)+2)+INDEX(QRT!$1:$1048576,MATCH(Model!$B102,QRT!$A:$A,0),MATCH(Model!Z$3,QRT!$4:$4,0)+3)</f>
        <v>0</v>
      </c>
      <c r="AA102" s="225" cm="1">
        <f t="array" ref="AA102">INDEX(QRT!$1:$1048576,MATCH(Model!$B102,QRT!$A:$A,0),MATCH(Model!AA$3,QRT!$4:$4,0))+INDEX(QRT!$1:$1048576,MATCH(Model!$B102,QRT!$A:$A,0),MATCH(Model!AA$3,QRT!$4:$4,0)+1)+INDEX(QRT!$1:$1048576,MATCH(Model!$B102,QRT!$A:$A,0),MATCH(Model!AA$3,QRT!$4:$4,0)+2)+INDEX(QRT!$1:$1048576,MATCH(Model!$B102,QRT!$A:$A,0),MATCH(Model!AA$3,QRT!$4:$4,0)+3)</f>
        <v>0</v>
      </c>
      <c r="AB102" s="225" cm="1">
        <f t="array" ref="AB102">INDEX(QRT!$1:$1048576,MATCH(Model!$B102,QRT!$A:$A,0),MATCH(Model!AB$3,QRT!$4:$4,0))+INDEX(QRT!$1:$1048576,MATCH(Model!$B102,QRT!$A:$A,0),MATCH(Model!AB$3,QRT!$4:$4,0)+1)+INDEX(QRT!$1:$1048576,MATCH(Model!$B102,QRT!$A:$A,0),MATCH(Model!AB$3,QRT!$4:$4,0)+2)+INDEX(QRT!$1:$1048576,MATCH(Model!$B102,QRT!$A:$A,0),MATCH(Model!AB$3,QRT!$4:$4,0)+3)</f>
        <v>0</v>
      </c>
      <c r="AC102" s="206" cm="1">
        <f t="array" ref="AC102">INDEX(QRT!$1:$1048576,MATCH(Model!$B102,QRT!$A:$A,0),MATCH(Model!AC$3,QRT!$4:$4,0))+INDEX(QRT!$1:$1048576,MATCH(Model!$B102,QRT!$A:$A,0),MATCH(Model!AC$3,QRT!$4:$4,0)+1)+INDEX(QRT!$1:$1048576,MATCH(Model!$B102,QRT!$A:$A,0),MATCH(Model!AC$3,QRT!$4:$4,0)+2)+INDEX(QRT!$1:$1048576,MATCH(Model!$B102,QRT!$A:$A,0),MATCH(Model!AC$3,QRT!$4:$4,0)+3)</f>
        <v>-7.3940000000000001</v>
      </c>
      <c r="AD102" s="206" cm="1">
        <f t="array" ref="AD102">INDEX(QRT!$1:$1048576,MATCH(Model!$B102,QRT!$A:$A,0),MATCH(Model!AD$3,QRT!$4:$4,0))+INDEX(QRT!$1:$1048576,MATCH(Model!$B102,QRT!$A:$A,0),MATCH(Model!AD$3,QRT!$4:$4,0)+1)+INDEX(QRT!$1:$1048576,MATCH(Model!$B102,QRT!$A:$A,0),MATCH(Model!AD$3,QRT!$4:$4,0)+2)+INDEX(QRT!$1:$1048576,MATCH(Model!$B102,QRT!$A:$A,0),MATCH(Model!AD$3,QRT!$4:$4,0)+3)</f>
        <v>0</v>
      </c>
      <c r="AE102" s="206" cm="1">
        <f t="array" ref="AE102">INDEX(QRT!$1:$1048576,MATCH(Model!$B102,QRT!$A:$A,0),MATCH(Model!AE$3,QRT!$4:$4,0))+INDEX(QRT!$1:$1048576,MATCH(Model!$B102,QRT!$A:$A,0),MATCH(Model!AE$3,QRT!$4:$4,0)+1)+INDEX(QRT!$1:$1048576,MATCH(Model!$B102,QRT!$A:$A,0),MATCH(Model!AE$3,QRT!$4:$4,0)+2)+INDEX(QRT!$1:$1048576,MATCH(Model!$B102,QRT!$A:$A,0),MATCH(Model!AE$3,QRT!$4:$4,0)+3)</f>
        <v>0</v>
      </c>
      <c r="AF102" s="79">
        <v>0</v>
      </c>
      <c r="AG102" s="79">
        <v>0</v>
      </c>
      <c r="AH102" s="79">
        <v>0</v>
      </c>
      <c r="AI102" s="79">
        <v>0</v>
      </c>
      <c r="AJ102" s="79">
        <v>0</v>
      </c>
      <c r="AK102" s="79">
        <v>0</v>
      </c>
      <c r="AL102" s="79">
        <v>0</v>
      </c>
      <c r="AM102" s="79">
        <v>0</v>
      </c>
      <c r="AN102" s="79">
        <v>0</v>
      </c>
      <c r="AO102" s="7"/>
    </row>
    <row r="103" spans="1:44" s="3" customFormat="1" outlineLevel="1">
      <c r="A103" s="110"/>
      <c r="B103" s="110"/>
      <c r="C103" s="143"/>
      <c r="E103" s="2" t="s">
        <v>197</v>
      </c>
      <c r="F103" s="2"/>
      <c r="G103" s="2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>
        <f>SUM(Y97:Y102)</f>
        <v>-3.2469999999999986</v>
      </c>
      <c r="Z103" s="8">
        <f t="shared" ref="Z103:AN103" si="97">SUM(Z97:Z102)</f>
        <v>-1.1850000000000156</v>
      </c>
      <c r="AA103" s="8">
        <f t="shared" si="97"/>
        <v>6.429000000000098</v>
      </c>
      <c r="AB103" s="8">
        <f t="shared" si="97"/>
        <v>25.674999999999933</v>
      </c>
      <c r="AC103" s="8">
        <f t="shared" si="97"/>
        <v>48.902645135909232</v>
      </c>
      <c r="AD103" s="8">
        <f t="shared" si="97"/>
        <v>83.117322504158295</v>
      </c>
      <c r="AE103" s="8">
        <f t="shared" si="97"/>
        <v>128.18149259457834</v>
      </c>
      <c r="AF103" s="8">
        <f t="shared" ca="1" si="97"/>
        <v>174.4763232150585</v>
      </c>
      <c r="AG103" s="8">
        <f t="shared" ca="1" si="97"/>
        <v>242.41456931291572</v>
      </c>
      <c r="AH103" s="8">
        <f t="shared" ca="1" si="97"/>
        <v>329.87714466008816</v>
      </c>
      <c r="AI103" s="8">
        <f t="shared" ca="1" si="97"/>
        <v>430.43602036821295</v>
      </c>
      <c r="AJ103" s="8">
        <f t="shared" ca="1" si="97"/>
        <v>538.57897370538785</v>
      </c>
      <c r="AK103" s="8">
        <f t="shared" ca="1" si="97"/>
        <v>657.49484582355285</v>
      </c>
      <c r="AL103" s="8">
        <f t="shared" ca="1" si="97"/>
        <v>783.30212641889261</v>
      </c>
      <c r="AM103" s="8">
        <f t="shared" ca="1" si="97"/>
        <v>919.06202293781666</v>
      </c>
      <c r="AN103" s="8">
        <f t="shared" ca="1" si="97"/>
        <v>1059.6379688915163</v>
      </c>
      <c r="AO103" s="64"/>
    </row>
    <row r="104" spans="1:44" outlineLevel="1">
      <c r="A104" s="110" t="s">
        <v>128</v>
      </c>
      <c r="B104" s="110" t="s">
        <v>128</v>
      </c>
      <c r="E104" s="70" t="s">
        <v>128</v>
      </c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>
        <f>-3.726-8.544+5.004+15.137-0.508+1.472-0.042</f>
        <v>8.793000000000001</v>
      </c>
      <c r="Z104" s="225" cm="1">
        <f t="array" ref="Z104">INDEX(QRT!$1:$1048576,MATCH(Model!$B104,QRT!$A:$A,0),MATCH(Model!Z$3,QRT!$4:$4,0))+INDEX(QRT!$1:$1048576,MATCH(Model!$B104,QRT!$A:$A,0),MATCH(Model!Z$3,QRT!$4:$4,0)+1)+INDEX(QRT!$1:$1048576,MATCH(Model!$B104,QRT!$A:$A,0),MATCH(Model!Z$3,QRT!$4:$4,0)+2)+INDEX(QRT!$1:$1048576,MATCH(Model!$B104,QRT!$A:$A,0),MATCH(Model!Z$3,QRT!$4:$4,0)+3)</f>
        <v>2.1510000000000051</v>
      </c>
      <c r="AA104" s="225" cm="1">
        <f t="array" ref="AA104">INDEX(QRT!$1:$1048576,MATCH(Model!$B104,QRT!$A:$A,0),MATCH(Model!AA$3,QRT!$4:$4,0))+INDEX(QRT!$1:$1048576,MATCH(Model!$B104,QRT!$A:$A,0),MATCH(Model!AA$3,QRT!$4:$4,0)+1)+INDEX(QRT!$1:$1048576,MATCH(Model!$B104,QRT!$A:$A,0),MATCH(Model!AA$3,QRT!$4:$4,0)+2)+INDEX(QRT!$1:$1048576,MATCH(Model!$B104,QRT!$A:$A,0),MATCH(Model!AA$3,QRT!$4:$4,0)+3)</f>
        <v>3.0739999999999945</v>
      </c>
      <c r="AB104" s="225" cm="1">
        <f t="array" ref="AB104">INDEX(QRT!$1:$1048576,MATCH(Model!$B104,QRT!$A:$A,0),MATCH(Model!AB$3,QRT!$4:$4,0))+INDEX(QRT!$1:$1048576,MATCH(Model!$B104,QRT!$A:$A,0),MATCH(Model!AB$3,QRT!$4:$4,0)+1)+INDEX(QRT!$1:$1048576,MATCH(Model!$B104,QRT!$A:$A,0),MATCH(Model!AB$3,QRT!$4:$4,0)+2)+INDEX(QRT!$1:$1048576,MATCH(Model!$B104,QRT!$A:$A,0),MATCH(Model!AB$3,QRT!$4:$4,0)+3)</f>
        <v>7.3849999999999909</v>
      </c>
      <c r="AC104" s="206" cm="1">
        <f t="array" ref="AC104">INDEX(QRT!$1:$1048576,MATCH(Model!$B104,QRT!$A:$A,0),MATCH(Model!AC$3,QRT!$4:$4,0))+INDEX(QRT!$1:$1048576,MATCH(Model!$B104,QRT!$A:$A,0),MATCH(Model!AC$3,QRT!$4:$4,0)+1)+INDEX(QRT!$1:$1048576,MATCH(Model!$B104,QRT!$A:$A,0),MATCH(Model!AC$3,QRT!$4:$4,0)+2)+INDEX(QRT!$1:$1048576,MATCH(Model!$B104,QRT!$A:$A,0),MATCH(Model!AC$3,QRT!$4:$4,0)+3)</f>
        <v>-8.5477025601875845</v>
      </c>
      <c r="AD104" s="206" cm="1">
        <f t="array" ref="AD104">INDEX(QRT!$1:$1048576,MATCH(Model!$B104,QRT!$A:$A,0),MATCH(Model!AD$3,QRT!$4:$4,0))+INDEX(QRT!$1:$1048576,MATCH(Model!$B104,QRT!$A:$A,0),MATCH(Model!AD$3,QRT!$4:$4,0)+1)+INDEX(QRT!$1:$1048576,MATCH(Model!$B104,QRT!$A:$A,0),MATCH(Model!AD$3,QRT!$4:$4,0)+2)+INDEX(QRT!$1:$1048576,MATCH(Model!$B104,QRT!$A:$A,0),MATCH(Model!AD$3,QRT!$4:$4,0)+3)</f>
        <v>10.042231077064429</v>
      </c>
      <c r="AE104" s="206" cm="1">
        <f t="array" ref="AE104">INDEX(QRT!$1:$1048576,MATCH(Model!$B104,QRT!$A:$A,0),MATCH(Model!AE$3,QRT!$4:$4,0))+INDEX(QRT!$1:$1048576,MATCH(Model!$B104,QRT!$A:$A,0),MATCH(Model!AE$3,QRT!$4:$4,0)+1)+INDEX(QRT!$1:$1048576,MATCH(Model!$B104,QRT!$A:$A,0),MATCH(Model!AE$3,QRT!$4:$4,0)+2)+INDEX(QRT!$1:$1048576,MATCH(Model!$B104,QRT!$A:$A,0),MATCH(Model!AE$3,QRT!$4:$4,0)+3)</f>
        <v>14.514483149941503</v>
      </c>
      <c r="AF104" s="74">
        <f>-AF162+AF248</f>
        <v>11.459863653025376</v>
      </c>
      <c r="AG104" s="74">
        <f t="shared" ref="AG104:AN104" si="98">-AG162+AG248</f>
        <v>9.3436815635995298</v>
      </c>
      <c r="AH104" s="74">
        <f t="shared" si="98"/>
        <v>4.8288049680515819</v>
      </c>
      <c r="AI104" s="74">
        <f t="shared" si="98"/>
        <v>-0.19848680008092057</v>
      </c>
      <c r="AJ104" s="74">
        <f t="shared" si="98"/>
        <v>-5.8132887028799392</v>
      </c>
      <c r="AK104" s="74">
        <f t="shared" si="98"/>
        <v>-11.762882519317488</v>
      </c>
      <c r="AL104" s="74">
        <f t="shared" si="98"/>
        <v>-17.954564372243283</v>
      </c>
      <c r="AM104" s="74">
        <f t="shared" si="98"/>
        <v>-24.265908279156005</v>
      </c>
      <c r="AN104" s="74">
        <f t="shared" si="98"/>
        <v>-30.950875513760483</v>
      </c>
      <c r="AO104" s="7"/>
    </row>
    <row r="105" spans="1:44" s="3" customFormat="1" outlineLevel="1">
      <c r="A105" s="110" t="s">
        <v>129</v>
      </c>
      <c r="B105" s="110"/>
      <c r="C105" s="143"/>
      <c r="E105" s="2" t="s">
        <v>129</v>
      </c>
      <c r="F105" s="2"/>
      <c r="G105" s="2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8">
        <f>SUM(Y103:Y104)</f>
        <v>5.5460000000000029</v>
      </c>
      <c r="Z105" s="8">
        <f>SUM(Z103:Z104)</f>
        <v>0.96599999999998953</v>
      </c>
      <c r="AA105" s="8">
        <f>SUM(AA103:AA104)</f>
        <v>9.5030000000000925</v>
      </c>
      <c r="AB105" s="8">
        <f>SUM(AB103:AB104)</f>
        <v>33.059999999999924</v>
      </c>
      <c r="AC105" s="8">
        <f>SUM(AC103:AC104)</f>
        <v>40.354942575721651</v>
      </c>
      <c r="AD105" s="8">
        <f t="shared" ref="AD105:AM105" si="99">SUM(AD103:AD104)</f>
        <v>93.159553581222724</v>
      </c>
      <c r="AE105" s="8">
        <f t="shared" si="99"/>
        <v>142.69597574451984</v>
      </c>
      <c r="AF105" s="8">
        <f t="shared" ca="1" si="99"/>
        <v>185.93618686808387</v>
      </c>
      <c r="AG105" s="8">
        <f t="shared" ca="1" si="99"/>
        <v>251.75825087651523</v>
      </c>
      <c r="AH105" s="8">
        <f t="shared" ca="1" si="99"/>
        <v>334.70594962813976</v>
      </c>
      <c r="AI105" s="8">
        <f t="shared" ca="1" si="99"/>
        <v>430.23753356813205</v>
      </c>
      <c r="AJ105" s="8">
        <f t="shared" ca="1" si="99"/>
        <v>532.76568500250789</v>
      </c>
      <c r="AK105" s="8">
        <f t="shared" ca="1" si="99"/>
        <v>645.73196330423536</v>
      </c>
      <c r="AL105" s="8">
        <f t="shared" ca="1" si="99"/>
        <v>765.34756204664927</v>
      </c>
      <c r="AM105" s="8">
        <f t="shared" ca="1" si="99"/>
        <v>894.79611465866071</v>
      </c>
      <c r="AN105" s="8">
        <f ca="1">SUM(AN103:AN104)</f>
        <v>1028.6870933777557</v>
      </c>
      <c r="AO105" s="64"/>
      <c r="AP105" s="75"/>
      <c r="AQ105" s="75"/>
      <c r="AR105" s="75"/>
    </row>
    <row r="106" spans="1:44" s="5" customFormat="1" outlineLevel="1">
      <c r="A106" s="109"/>
      <c r="B106" s="109"/>
      <c r="C106" s="146"/>
      <c r="E106" s="71" t="s">
        <v>202</v>
      </c>
      <c r="F106" s="71"/>
      <c r="G106" s="71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>
        <f t="shared" ref="Y106:AN106" si="100">+Y105/Y91</f>
        <v>0.29328397673188805</v>
      </c>
      <c r="Z106" s="169">
        <f t="shared" si="100"/>
        <v>1.5014921661278127E-2</v>
      </c>
      <c r="AA106" s="169">
        <f t="shared" si="100"/>
        <v>0.12276033121907859</v>
      </c>
      <c r="AB106" s="169">
        <f t="shared" si="100"/>
        <v>0.32112676056337952</v>
      </c>
      <c r="AC106" s="169">
        <f t="shared" si="100"/>
        <v>0.21839365072239211</v>
      </c>
      <c r="AD106" s="169">
        <f t="shared" si="100"/>
        <v>0.46540450110268183</v>
      </c>
      <c r="AE106" s="169">
        <f t="shared" si="100"/>
        <v>0.71287749723743354</v>
      </c>
      <c r="AF106" s="169">
        <f t="shared" ca="1" si="100"/>
        <v>0.92889601720588033</v>
      </c>
      <c r="AG106" s="169">
        <f t="shared" ca="1" si="100"/>
        <v>1.2577284738221963</v>
      </c>
      <c r="AH106" s="169">
        <f t="shared" ca="1" si="100"/>
        <v>1.6721168094367247</v>
      </c>
      <c r="AI106" s="169">
        <f t="shared" ca="1" si="100"/>
        <v>2.1493714489662836</v>
      </c>
      <c r="AJ106" s="169">
        <f t="shared" ca="1" si="100"/>
        <v>2.6615793904276281</v>
      </c>
      <c r="AK106" s="169">
        <f t="shared" ca="1" si="100"/>
        <v>3.2259339023736708</v>
      </c>
      <c r="AL106" s="169">
        <f t="shared" ca="1" si="100"/>
        <v>3.8235069468631466</v>
      </c>
      <c r="AM106" s="169">
        <f t="shared" ca="1" si="100"/>
        <v>4.4702032515457475</v>
      </c>
      <c r="AN106" s="169">
        <f t="shared" ca="1" si="100"/>
        <v>5.1390929333600885</v>
      </c>
      <c r="AO106" s="72"/>
      <c r="AP106" s="75"/>
      <c r="AQ106" s="75"/>
      <c r="AR106" s="75"/>
    </row>
    <row r="107" spans="1:44" outlineLevel="1"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</row>
    <row r="108" spans="1:44" outlineLevel="1">
      <c r="A108" s="110" t="s">
        <v>130</v>
      </c>
      <c r="B108" s="110" t="s">
        <v>130</v>
      </c>
      <c r="E108" s="70" t="s">
        <v>130</v>
      </c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  <c r="Y108" s="225">
        <v>-0.32</v>
      </c>
      <c r="Z108" s="225" cm="1">
        <f t="array" ref="Z108">INDEX(QRT!$1:$1048576,MATCH(Model!$B108,QRT!$A:$A,0),MATCH(Model!Z$3,QRT!$4:$4,0))+INDEX(QRT!$1:$1048576,MATCH(Model!$B108,QRT!$A:$A,0),MATCH(Model!Z$3,QRT!$4:$4,0)+1)+INDEX(QRT!$1:$1048576,MATCH(Model!$B108,QRT!$A:$A,0),MATCH(Model!Z$3,QRT!$4:$4,0)+2)+INDEX(QRT!$1:$1048576,MATCH(Model!$B108,QRT!$A:$A,0),MATCH(Model!Z$3,QRT!$4:$4,0)+3)</f>
        <v>-7.391</v>
      </c>
      <c r="AA108" s="225" cm="1">
        <f t="array" ref="AA108">INDEX(QRT!$1:$1048576,MATCH(Model!$B108,QRT!$A:$A,0),MATCH(Model!AA$3,QRT!$4:$4,0))+INDEX(QRT!$1:$1048576,MATCH(Model!$B108,QRT!$A:$A,0),MATCH(Model!AA$3,QRT!$4:$4,0)+1)+INDEX(QRT!$1:$1048576,MATCH(Model!$B108,QRT!$A:$A,0),MATCH(Model!AA$3,QRT!$4:$4,0)+2)+INDEX(QRT!$1:$1048576,MATCH(Model!$B108,QRT!$A:$A,0),MATCH(Model!AA$3,QRT!$4:$4,0)+3)</f>
        <v>-1.802</v>
      </c>
      <c r="AB108" s="225" cm="1">
        <f t="array" ref="AB108">INDEX(QRT!$1:$1048576,MATCH(Model!$B108,QRT!$A:$A,0),MATCH(Model!AB$3,QRT!$4:$4,0))+INDEX(QRT!$1:$1048576,MATCH(Model!$B108,QRT!$A:$A,0),MATCH(Model!AB$3,QRT!$4:$4,0)+1)+INDEX(QRT!$1:$1048576,MATCH(Model!$B108,QRT!$A:$A,0),MATCH(Model!AB$3,QRT!$4:$4,0)+2)+INDEX(QRT!$1:$1048576,MATCH(Model!$B108,QRT!$A:$A,0),MATCH(Model!AB$3,QRT!$4:$4,0)+3)</f>
        <v>-4.9909999999999997</v>
      </c>
      <c r="AC108" s="239" cm="1">
        <f t="array" ref="AC108">INDEX(QRT!$1:$1048576,MATCH(Model!$B108,QRT!$A:$A,0),MATCH(Model!AC$3,QRT!$4:$4,0))+INDEX(QRT!$1:$1048576,MATCH(Model!$B108,QRT!$A:$A,0),MATCH(Model!AC$3,QRT!$4:$4,0)+1)+INDEX(QRT!$1:$1048576,MATCH(Model!$B108,QRT!$A:$A,0),MATCH(Model!AC$3,QRT!$4:$4,0)+2)+INDEX(QRT!$1:$1048576,MATCH(Model!$B108,QRT!$A:$A,0),MATCH(Model!AC$3,QRT!$4:$4,0)+3)</f>
        <v>-5.3248477928617746</v>
      </c>
      <c r="AD108" s="239" cm="1">
        <f t="array" ref="AD108">INDEX(QRT!$1:$1048576,MATCH(Model!$B108,QRT!$A:$A,0),MATCH(Model!AD$3,QRT!$4:$4,0))+INDEX(QRT!$1:$1048576,MATCH(Model!$B108,QRT!$A:$A,0),MATCH(Model!AD$3,QRT!$4:$4,0)+1)+INDEX(QRT!$1:$1048576,MATCH(Model!$B108,QRT!$A:$A,0),MATCH(Model!AD$3,QRT!$4:$4,0)+2)+INDEX(QRT!$1:$1048576,MATCH(Model!$B108,QRT!$A:$A,0),MATCH(Model!AD$3,QRT!$4:$4,0)+3)</f>
        <v>-8.4732746615813479</v>
      </c>
      <c r="AE108" s="239" cm="1">
        <f t="array" ref="AE108">INDEX(QRT!$1:$1048576,MATCH(Model!$B108,QRT!$A:$A,0),MATCH(Model!AE$3,QRT!$4:$4,0))+INDEX(QRT!$1:$1048576,MATCH(Model!$B108,QRT!$A:$A,0),MATCH(Model!AE$3,QRT!$4:$4,0)+1)+INDEX(QRT!$1:$1048576,MATCH(Model!$B108,QRT!$A:$A,0),MATCH(Model!AE$3,QRT!$4:$4,0)+2)+INDEX(QRT!$1:$1048576,MATCH(Model!$B108,QRT!$A:$A,0),MATCH(Model!AE$3,QRT!$4:$4,0)+3)</f>
        <v>-12.880328704202077</v>
      </c>
      <c r="AF108" s="88">
        <f ca="1">-SUM(AF198,AF217)</f>
        <v>-14.8600596930899</v>
      </c>
      <c r="AG108" s="88">
        <f t="shared" ref="AG108:AN108" ca="1" si="101">-SUM(AG198,AG217)</f>
        <v>-20.896036030065932</v>
      </c>
      <c r="AH108" s="88">
        <f t="shared" ca="1" si="101"/>
        <v>-28.541155561324107</v>
      </c>
      <c r="AI108" s="88">
        <f t="shared" ca="1" si="101"/>
        <v>-37.356199166201193</v>
      </c>
      <c r="AJ108" s="88">
        <f t="shared" ca="1" si="101"/>
        <v>-47.41666299511175</v>
      </c>
      <c r="AK108" s="88">
        <f t="shared" ca="1" si="101"/>
        <v>-58.694393864405768</v>
      </c>
      <c r="AL108" s="88">
        <f t="shared" ca="1" si="101"/>
        <v>-71.257089427404438</v>
      </c>
      <c r="AM108" s="88">
        <f t="shared" ca="1" si="101"/>
        <v>-85.179504146766163</v>
      </c>
      <c r="AN108" s="88">
        <f t="shared" ca="1" si="101"/>
        <v>-98.210763317507158</v>
      </c>
      <c r="AO108" s="7"/>
    </row>
    <row r="109" spans="1:44" outlineLevel="1">
      <c r="A109" s="110" t="s">
        <v>131</v>
      </c>
      <c r="B109" s="110" t="s">
        <v>131</v>
      </c>
      <c r="E109" s="70" t="s">
        <v>131</v>
      </c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25"/>
      <c r="Y109" s="225">
        <v>-34.07</v>
      </c>
      <c r="Z109" s="225" cm="1">
        <f t="array" ref="Z109">INDEX(QRT!$1:$1048576,MATCH(Model!$B109,QRT!$A:$A,0),MATCH(Model!Z$3,QRT!$4:$4,0))+INDEX(QRT!$1:$1048576,MATCH(Model!$B109,QRT!$A:$A,0),MATCH(Model!Z$3,QRT!$4:$4,0)+1)+INDEX(QRT!$1:$1048576,MATCH(Model!$B109,QRT!$A:$A,0),MATCH(Model!Z$3,QRT!$4:$4,0)+2)+INDEX(QRT!$1:$1048576,MATCH(Model!$B109,QRT!$A:$A,0),MATCH(Model!Z$3,QRT!$4:$4,0)+3)</f>
        <v>-26.135999999999999</v>
      </c>
      <c r="AA109" s="225" cm="1">
        <f t="array" ref="AA109">INDEX(QRT!$1:$1048576,MATCH(Model!$B109,QRT!$A:$A,0),MATCH(Model!AA$3,QRT!$4:$4,0))+INDEX(QRT!$1:$1048576,MATCH(Model!$B109,QRT!$A:$A,0),MATCH(Model!AA$3,QRT!$4:$4,0)+1)+INDEX(QRT!$1:$1048576,MATCH(Model!$B109,QRT!$A:$A,0),MATCH(Model!AA$3,QRT!$4:$4,0)+2)+INDEX(QRT!$1:$1048576,MATCH(Model!$B109,QRT!$A:$A,0),MATCH(Model!AA$3,QRT!$4:$4,0)+3)</f>
        <v>-55.166000000000004</v>
      </c>
      <c r="AB109" s="225" cm="1">
        <f t="array" ref="AB109">INDEX(QRT!$1:$1048576,MATCH(Model!$B109,QRT!$A:$A,0),MATCH(Model!AB$3,QRT!$4:$4,0))+INDEX(QRT!$1:$1048576,MATCH(Model!$B109,QRT!$A:$A,0),MATCH(Model!AB$3,QRT!$4:$4,0)+1)+INDEX(QRT!$1:$1048576,MATCH(Model!$B109,QRT!$A:$A,0),MATCH(Model!AB$3,QRT!$4:$4,0)+2)+INDEX(QRT!$1:$1048576,MATCH(Model!$B109,QRT!$A:$A,0),MATCH(Model!AB$3,QRT!$4:$4,0)+3)</f>
        <v>-43.702999999999996</v>
      </c>
      <c r="AC109" s="206" cm="1">
        <f t="array" ref="AC109">INDEX(QRT!$1:$1048576,MATCH(Model!$B109,QRT!$A:$A,0),MATCH(Model!AC$3,QRT!$4:$4,0))+INDEX(QRT!$1:$1048576,MATCH(Model!$B109,QRT!$A:$A,0),MATCH(Model!AC$3,QRT!$4:$4,0)+1)+INDEX(QRT!$1:$1048576,MATCH(Model!$B109,QRT!$A:$A,0),MATCH(Model!AC$3,QRT!$4:$4,0)+2)+INDEX(QRT!$1:$1048576,MATCH(Model!$B109,QRT!$A:$A,0),MATCH(Model!AC$3,QRT!$4:$4,0)+3)</f>
        <v>-255.75332417131685</v>
      </c>
      <c r="AD109" s="206" cm="1">
        <f t="array" ref="AD109">INDEX(QRT!$1:$1048576,MATCH(Model!$B109,QRT!$A:$A,0),MATCH(Model!AD$3,QRT!$4:$4,0))+INDEX(QRT!$1:$1048576,MATCH(Model!$B109,QRT!$A:$A,0),MATCH(Model!AD$3,QRT!$4:$4,0)+1)+INDEX(QRT!$1:$1048576,MATCH(Model!$B109,QRT!$A:$A,0),MATCH(Model!AD$3,QRT!$4:$4,0)+2)+INDEX(QRT!$1:$1048576,MATCH(Model!$B109,QRT!$A:$A,0),MATCH(Model!AD$3,QRT!$4:$4,0)+3)</f>
        <v>-148.88513089652005</v>
      </c>
      <c r="AE109" s="206" cm="1">
        <f t="array" ref="AE109">INDEX(QRT!$1:$1048576,MATCH(Model!$B109,QRT!$A:$A,0),MATCH(Model!AE$3,QRT!$4:$4,0))+INDEX(QRT!$1:$1048576,MATCH(Model!$B109,QRT!$A:$A,0),MATCH(Model!AE$3,QRT!$4:$4,0)+1)+INDEX(QRT!$1:$1048576,MATCH(Model!$B109,QRT!$A:$A,0),MATCH(Model!AE$3,QRT!$4:$4,0)+2)+INDEX(QRT!$1:$1048576,MATCH(Model!$B109,QRT!$A:$A,0),MATCH(Model!AE$3,QRT!$4:$4,0)+3)</f>
        <v>-211.63472748469835</v>
      </c>
      <c r="AF109" s="88">
        <f>-AF255</f>
        <v>-260.76922334538426</v>
      </c>
      <c r="AG109" s="88">
        <f t="shared" ref="AG109:AN109" si="102">-AG255</f>
        <v>-314.84519988187185</v>
      </c>
      <c r="AH109" s="88">
        <f t="shared" si="102"/>
        <v>-342.52389877258582</v>
      </c>
      <c r="AI109" s="88">
        <f t="shared" si="102"/>
        <v>-371.35587678374623</v>
      </c>
      <c r="AJ109" s="88">
        <f t="shared" si="102"/>
        <v>-396.7280174335674</v>
      </c>
      <c r="AK109" s="88">
        <f t="shared" si="102"/>
        <v>-422.86901083035292</v>
      </c>
      <c r="AL109" s="88">
        <f t="shared" si="102"/>
        <v>-449.77885697410267</v>
      </c>
      <c r="AM109" s="88">
        <f t="shared" si="102"/>
        <v>-477.4575558648167</v>
      </c>
      <c r="AN109" s="88">
        <f t="shared" si="102"/>
        <v>-505.90510750249496</v>
      </c>
      <c r="AO109" s="7"/>
    </row>
    <row r="110" spans="1:44" outlineLevel="1">
      <c r="A110" s="110" t="s">
        <v>259</v>
      </c>
      <c r="B110" s="110" t="s">
        <v>259</v>
      </c>
      <c r="E110" s="70" t="s">
        <v>259</v>
      </c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25"/>
      <c r="Y110" s="225">
        <v>0</v>
      </c>
      <c r="Z110" s="225" cm="1">
        <f t="array" ref="Z110">INDEX(QRT!$1:$1048576,MATCH(Model!$B110,QRT!$A:$A,0),MATCH(Model!Z$3,QRT!$4:$4,0))+INDEX(QRT!$1:$1048576,MATCH(Model!$B110,QRT!$A:$A,0),MATCH(Model!Z$3,QRT!$4:$4,0)+1)+INDEX(QRT!$1:$1048576,MATCH(Model!$B110,QRT!$A:$A,0),MATCH(Model!Z$3,QRT!$4:$4,0)+2)+INDEX(QRT!$1:$1048576,MATCH(Model!$B110,QRT!$A:$A,0),MATCH(Model!Z$3,QRT!$4:$4,0)+3)</f>
        <v>-9.3990000000000009</v>
      </c>
      <c r="AA110" s="225" cm="1">
        <f t="array" ref="AA110">INDEX(QRT!$1:$1048576,MATCH(Model!$B110,QRT!$A:$A,0),MATCH(Model!AA$3,QRT!$4:$4,0))+INDEX(QRT!$1:$1048576,MATCH(Model!$B110,QRT!$A:$A,0),MATCH(Model!AA$3,QRT!$4:$4,0)+1)+INDEX(QRT!$1:$1048576,MATCH(Model!$B110,QRT!$A:$A,0),MATCH(Model!AA$3,QRT!$4:$4,0)+2)+INDEX(QRT!$1:$1048576,MATCH(Model!$B110,QRT!$A:$A,0),MATCH(Model!AA$3,QRT!$4:$4,0)+3)</f>
        <v>-5.883</v>
      </c>
      <c r="AB110" s="225" cm="1">
        <f t="array" ref="AB110">INDEX(QRT!$1:$1048576,MATCH(Model!$B110,QRT!$A:$A,0),MATCH(Model!AB$3,QRT!$4:$4,0))+INDEX(QRT!$1:$1048576,MATCH(Model!$B110,QRT!$A:$A,0),MATCH(Model!AB$3,QRT!$4:$4,0)+1)+INDEX(QRT!$1:$1048576,MATCH(Model!$B110,QRT!$A:$A,0),MATCH(Model!AB$3,QRT!$4:$4,0)+2)+INDEX(QRT!$1:$1048576,MATCH(Model!$B110,QRT!$A:$A,0),MATCH(Model!AB$3,QRT!$4:$4,0)+3)</f>
        <v>-17.898</v>
      </c>
      <c r="AC110" s="239" cm="1">
        <f t="array" ref="AC110">INDEX(QRT!$1:$1048576,MATCH(Model!$B110,QRT!$A:$A,0),MATCH(Model!AC$3,QRT!$4:$4,0))+INDEX(QRT!$1:$1048576,MATCH(Model!$B110,QRT!$A:$A,0),MATCH(Model!AC$3,QRT!$4:$4,0)+1)+INDEX(QRT!$1:$1048576,MATCH(Model!$B110,QRT!$A:$A,0),MATCH(Model!AC$3,QRT!$4:$4,0)+2)+INDEX(QRT!$1:$1048576,MATCH(Model!$B110,QRT!$A:$A,0),MATCH(Model!AC$3,QRT!$4:$4,0)+3)</f>
        <v>-17.865899999999996</v>
      </c>
      <c r="AD110" s="239" cm="1">
        <f t="array" ref="AD110">INDEX(QRT!$1:$1048576,MATCH(Model!$B110,QRT!$A:$A,0),MATCH(Model!AD$3,QRT!$4:$4,0))+INDEX(QRT!$1:$1048576,MATCH(Model!$B110,QRT!$A:$A,0),MATCH(Model!AD$3,QRT!$4:$4,0)+1)+INDEX(QRT!$1:$1048576,MATCH(Model!$B110,QRT!$A:$A,0),MATCH(Model!AD$3,QRT!$4:$4,0)+2)+INDEX(QRT!$1:$1048576,MATCH(Model!$B110,QRT!$A:$A,0),MATCH(Model!AD$3,QRT!$4:$4,0)+3)</f>
        <v>-44.130128238538262</v>
      </c>
      <c r="AE110" s="239" cm="1">
        <f t="array" ref="AE110">INDEX(QRT!$1:$1048576,MATCH(Model!$B110,QRT!$A:$A,0),MATCH(Model!AE$3,QRT!$4:$4,0))+INDEX(QRT!$1:$1048576,MATCH(Model!$B110,QRT!$A:$A,0),MATCH(Model!AE$3,QRT!$4:$4,0)+1)+INDEX(QRT!$1:$1048576,MATCH(Model!$B110,QRT!$A:$A,0),MATCH(Model!AE$3,QRT!$4:$4,0)+2)+INDEX(QRT!$1:$1048576,MATCH(Model!$B110,QRT!$A:$A,0),MATCH(Model!AE$3,QRT!$4:$4,0)+3)</f>
        <v>-46.954376080709373</v>
      </c>
      <c r="AF110" s="88">
        <f>AF237</f>
        <v>-50.750795125421547</v>
      </c>
      <c r="AG110" s="88">
        <f t="shared" ref="AG110:AN110" si="103">AG237</f>
        <v>-58.971663802847679</v>
      </c>
      <c r="AH110" s="88">
        <f t="shared" si="103"/>
        <v>-70.201028453736257</v>
      </c>
      <c r="AI110" s="88">
        <f t="shared" si="103"/>
        <v>-79.502945097653992</v>
      </c>
      <c r="AJ110" s="88">
        <f t="shared" si="103"/>
        <v>-87.947224976548995</v>
      </c>
      <c r="AK110" s="88">
        <f t="shared" si="103"/>
        <v>-95.468456770468421</v>
      </c>
      <c r="AL110" s="88">
        <f t="shared" si="103"/>
        <v>-102.62881300692428</v>
      </c>
      <c r="AM110" s="88">
        <f t="shared" si="103"/>
        <v>-109.71342726158983</v>
      </c>
      <c r="AN110" s="88">
        <f t="shared" si="103"/>
        <v>-116.86354392435798</v>
      </c>
      <c r="AO110" s="7"/>
    </row>
    <row r="111" spans="1:44" outlineLevel="1">
      <c r="B111" s="110" t="s">
        <v>216</v>
      </c>
      <c r="E111" s="70" t="s">
        <v>127</v>
      </c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25"/>
      <c r="Y111" s="225">
        <v>0</v>
      </c>
      <c r="Z111" s="225" cm="1">
        <f t="array" ref="Z111">INDEX(QRT!$1:$1048576,MATCH(Model!$B111,QRT!$A:$A,0),MATCH(Model!Z$3,QRT!$4:$4,0))+INDEX(QRT!$1:$1048576,MATCH(Model!$B111,QRT!$A:$A,0),MATCH(Model!Z$3,QRT!$4:$4,0)+1)+INDEX(QRT!$1:$1048576,MATCH(Model!$B111,QRT!$A:$A,0),MATCH(Model!Z$3,QRT!$4:$4,0)+2)+INDEX(QRT!$1:$1048576,MATCH(Model!$B111,QRT!$A:$A,0),MATCH(Model!Z$3,QRT!$4:$4,0)+3)</f>
        <v>-0.13500000000000001</v>
      </c>
      <c r="AA111" s="225" cm="1">
        <f t="array" ref="AA111">INDEX(QRT!$1:$1048576,MATCH(Model!$B111,QRT!$A:$A,0),MATCH(Model!AA$3,QRT!$4:$4,0))+INDEX(QRT!$1:$1048576,MATCH(Model!$B111,QRT!$A:$A,0),MATCH(Model!AA$3,QRT!$4:$4,0)+1)+INDEX(QRT!$1:$1048576,MATCH(Model!$B111,QRT!$A:$A,0),MATCH(Model!AA$3,QRT!$4:$4,0)+2)+INDEX(QRT!$1:$1048576,MATCH(Model!$B111,QRT!$A:$A,0),MATCH(Model!AA$3,QRT!$4:$4,0)+3)</f>
        <v>0</v>
      </c>
      <c r="AB111" s="225" cm="1">
        <f t="array" ref="AB111">INDEX(QRT!$1:$1048576,MATCH(Model!$B111,QRT!$A:$A,0),MATCH(Model!AB$3,QRT!$4:$4,0))+INDEX(QRT!$1:$1048576,MATCH(Model!$B111,QRT!$A:$A,0),MATCH(Model!AB$3,QRT!$4:$4,0)+1)+INDEX(QRT!$1:$1048576,MATCH(Model!$B111,QRT!$A:$A,0),MATCH(Model!AB$3,QRT!$4:$4,0)+2)+INDEX(QRT!$1:$1048576,MATCH(Model!$B111,QRT!$A:$A,0),MATCH(Model!AB$3,QRT!$4:$4,0)+3)</f>
        <v>0</v>
      </c>
      <c r="AC111" s="206" cm="1">
        <f t="array" ref="AC111">INDEX(QRT!$1:$1048576,MATCH(Model!$B111,QRT!$A:$A,0),MATCH(Model!AC$3,QRT!$4:$4,0))+INDEX(QRT!$1:$1048576,MATCH(Model!$B111,QRT!$A:$A,0),MATCH(Model!AC$3,QRT!$4:$4,0)+1)+INDEX(QRT!$1:$1048576,MATCH(Model!$B111,QRT!$A:$A,0),MATCH(Model!AC$3,QRT!$4:$4,0)+2)+INDEX(QRT!$1:$1048576,MATCH(Model!$B111,QRT!$A:$A,0),MATCH(Model!AC$3,QRT!$4:$4,0)+3)</f>
        <v>0</v>
      </c>
      <c r="AD111" s="206" cm="1">
        <f t="array" ref="AD111">INDEX(QRT!$1:$1048576,MATCH(Model!$B111,QRT!$A:$A,0),MATCH(Model!AD$3,QRT!$4:$4,0))+INDEX(QRT!$1:$1048576,MATCH(Model!$B111,QRT!$A:$A,0),MATCH(Model!AD$3,QRT!$4:$4,0)+1)+INDEX(QRT!$1:$1048576,MATCH(Model!$B111,QRT!$A:$A,0),MATCH(Model!AD$3,QRT!$4:$4,0)+2)+INDEX(QRT!$1:$1048576,MATCH(Model!$B111,QRT!$A:$A,0),MATCH(Model!AD$3,QRT!$4:$4,0)+3)</f>
        <v>0</v>
      </c>
      <c r="AE111" s="206" cm="1">
        <f t="array" ref="AE111">INDEX(QRT!$1:$1048576,MATCH(Model!$B111,QRT!$A:$A,0),MATCH(Model!AE$3,QRT!$4:$4,0))+INDEX(QRT!$1:$1048576,MATCH(Model!$B111,QRT!$A:$A,0),MATCH(Model!AE$3,QRT!$4:$4,0)+1)+INDEX(QRT!$1:$1048576,MATCH(Model!$B111,QRT!$A:$A,0),MATCH(Model!AE$3,QRT!$4:$4,0)+2)+INDEX(QRT!$1:$1048576,MATCH(Model!$B111,QRT!$A:$A,0),MATCH(Model!AE$3,QRT!$4:$4,0)+3)</f>
        <v>0</v>
      </c>
      <c r="AF111" s="79">
        <v>0</v>
      </c>
      <c r="AG111" s="79">
        <v>0</v>
      </c>
      <c r="AH111" s="79">
        <v>0</v>
      </c>
      <c r="AI111" s="79">
        <v>0</v>
      </c>
      <c r="AJ111" s="79">
        <v>0</v>
      </c>
      <c r="AK111" s="79">
        <v>0</v>
      </c>
      <c r="AL111" s="79">
        <v>0</v>
      </c>
      <c r="AM111" s="79">
        <v>0</v>
      </c>
      <c r="AN111" s="79">
        <v>0</v>
      </c>
      <c r="AO111" s="7"/>
    </row>
    <row r="112" spans="1:44" s="3" customFormat="1" outlineLevel="1">
      <c r="A112" s="110" t="s">
        <v>178</v>
      </c>
      <c r="B112" s="110"/>
      <c r="C112" s="143"/>
      <c r="E112" s="2" t="s">
        <v>132</v>
      </c>
      <c r="F112" s="2"/>
      <c r="G112" s="2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>
        <f>SUM(Y108:Y111)</f>
        <v>-34.39</v>
      </c>
      <c r="Z112" s="8">
        <f>SUM(Z108:Z111)</f>
        <v>-43.061</v>
      </c>
      <c r="AA112" s="8">
        <f>SUM(AA108:AA111)</f>
        <v>-62.851000000000006</v>
      </c>
      <c r="AB112" s="8">
        <f>SUM(AB108:AB111)</f>
        <v>-66.591999999999999</v>
      </c>
      <c r="AC112" s="8">
        <f>SUM(AC108:AC111)</f>
        <v>-278.94407196417865</v>
      </c>
      <c r="AD112" s="8">
        <f t="shared" ref="AD112:AM112" si="104">SUM(AD108:AD111)</f>
        <v>-201.48853379663967</v>
      </c>
      <c r="AE112" s="8">
        <f t="shared" si="104"/>
        <v>-271.4694322696098</v>
      </c>
      <c r="AF112" s="8">
        <f t="shared" ca="1" si="104"/>
        <v>-326.38007816389575</v>
      </c>
      <c r="AG112" s="8">
        <f t="shared" ca="1" si="104"/>
        <v>-394.71289971478546</v>
      </c>
      <c r="AH112" s="8">
        <f t="shared" ca="1" si="104"/>
        <v>-441.26608278764616</v>
      </c>
      <c r="AI112" s="8">
        <f t="shared" ca="1" si="104"/>
        <v>-488.2150210476014</v>
      </c>
      <c r="AJ112" s="8">
        <f t="shared" ca="1" si="104"/>
        <v>-532.0919054052282</v>
      </c>
      <c r="AK112" s="8">
        <f t="shared" ca="1" si="104"/>
        <v>-577.03186146522705</v>
      </c>
      <c r="AL112" s="8">
        <f t="shared" ca="1" si="104"/>
        <v>-623.66475940843134</v>
      </c>
      <c r="AM112" s="8">
        <f t="shared" ca="1" si="104"/>
        <v>-672.35048727317269</v>
      </c>
      <c r="AN112" s="8">
        <f ca="1">SUM(AN108:AN111)</f>
        <v>-720.97941474436004</v>
      </c>
      <c r="AO112" s="64"/>
    </row>
    <row r="113" spans="1:44" outlineLevel="1"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</row>
    <row r="114" spans="1:44" outlineLevel="1">
      <c r="B114" s="110" t="s">
        <v>133</v>
      </c>
      <c r="E114" s="70" t="s">
        <v>133</v>
      </c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25"/>
      <c r="Y114" s="225">
        <f>3.816+35.243+0.242</f>
        <v>39.301000000000002</v>
      </c>
      <c r="Z114" s="225" cm="1">
        <f t="array" ref="Z114">INDEX(QRT!$1:$1048576,MATCH(Model!$B114,QRT!$A:$A,0),MATCH(Model!Z$3,QRT!$4:$4,0))+INDEX(QRT!$1:$1048576,MATCH(Model!$B114,QRT!$A:$A,0),MATCH(Model!Z$3,QRT!$4:$4,0)+1)+INDEX(QRT!$1:$1048576,MATCH(Model!$B114,QRT!$A:$A,0),MATCH(Model!Z$3,QRT!$4:$4,0)+2)+INDEX(QRT!$1:$1048576,MATCH(Model!$B114,QRT!$A:$A,0),MATCH(Model!Z$3,QRT!$4:$4,0)+3)</f>
        <v>45.013999999999982</v>
      </c>
      <c r="AA114" s="225" cm="1">
        <f t="array" ref="AA114">INDEX(QRT!$1:$1048576,MATCH(Model!$B114,QRT!$A:$A,0),MATCH(Model!AA$3,QRT!$4:$4,0))+INDEX(QRT!$1:$1048576,MATCH(Model!$B114,QRT!$A:$A,0),MATCH(Model!AA$3,QRT!$4:$4,0)+1)+INDEX(QRT!$1:$1048576,MATCH(Model!$B114,QRT!$A:$A,0),MATCH(Model!AA$3,QRT!$4:$4,0)+2)+INDEX(QRT!$1:$1048576,MATCH(Model!$B114,QRT!$A:$A,0),MATCH(Model!AA$3,QRT!$4:$4,0)+3)</f>
        <v>74.575000000000017</v>
      </c>
      <c r="AB114" s="225" cm="1">
        <f t="array" ref="AB114">INDEX(QRT!$1:$1048576,MATCH(Model!$B114,QRT!$A:$A,0),MATCH(Model!AB$3,QRT!$4:$4,0))+INDEX(QRT!$1:$1048576,MATCH(Model!$B114,QRT!$A:$A,0),MATCH(Model!AB$3,QRT!$4:$4,0)+1)+INDEX(QRT!$1:$1048576,MATCH(Model!$B114,QRT!$A:$A,0),MATCH(Model!AB$3,QRT!$4:$4,0)+2)+INDEX(QRT!$1:$1048576,MATCH(Model!$B114,QRT!$A:$A,0),MATCH(Model!AB$3,QRT!$4:$4,0)+3)</f>
        <v>-21.674999999999851</v>
      </c>
      <c r="AC114" s="239" cm="1">
        <f t="array" ref="AC114">INDEX(QRT!$1:$1048576,MATCH(Model!$B114,QRT!$A:$A,0),MATCH(Model!AC$3,QRT!$4:$4,0))+INDEX(QRT!$1:$1048576,MATCH(Model!$B114,QRT!$A:$A,0),MATCH(Model!AC$3,QRT!$4:$4,0)+1)+INDEX(QRT!$1:$1048576,MATCH(Model!$B114,QRT!$A:$A,0),MATCH(Model!AC$3,QRT!$4:$4,0)+2)+INDEX(QRT!$1:$1048576,MATCH(Model!$B114,QRT!$A:$A,0),MATCH(Model!AC$3,QRT!$4:$4,0)+3)</f>
        <v>-113.5867665574697</v>
      </c>
      <c r="AD114" s="239" cm="1">
        <f t="array" ref="AD114">INDEX(QRT!$1:$1048576,MATCH(Model!$B114,QRT!$A:$A,0),MATCH(Model!AD$3,QRT!$4:$4,0))+INDEX(QRT!$1:$1048576,MATCH(Model!$B114,QRT!$A:$A,0),MATCH(Model!AD$3,QRT!$4:$4,0)+1)+INDEX(QRT!$1:$1048576,MATCH(Model!$B114,QRT!$A:$A,0),MATCH(Model!AD$3,QRT!$4:$4,0)+2)+INDEX(QRT!$1:$1048576,MATCH(Model!$B114,QRT!$A:$A,0),MATCH(Model!AD$3,QRT!$4:$4,0)+3)</f>
        <v>70.201394193495361</v>
      </c>
      <c r="AE114" s="239" cm="1">
        <f t="array" ref="AE114">INDEX(QRT!$1:$1048576,MATCH(Model!$B114,QRT!$A:$A,0),MATCH(Model!AE$3,QRT!$4:$4,0))+INDEX(QRT!$1:$1048576,MATCH(Model!$B114,QRT!$A:$A,0),MATCH(Model!AE$3,QRT!$4:$4,0)+1)+INDEX(QRT!$1:$1048576,MATCH(Model!$B114,QRT!$A:$A,0),MATCH(Model!AE$3,QRT!$4:$4,0)+2)+INDEX(QRT!$1:$1048576,MATCH(Model!$B114,QRT!$A:$A,0),MATCH(Model!AE$3,QRT!$4:$4,0)+3)</f>
        <v>131.95483004916284</v>
      </c>
      <c r="AF114" s="89">
        <f t="shared" ref="AF114:AN114" si="105">AF138-AE138+AF145-AE145</f>
        <v>126.21355491062511</v>
      </c>
      <c r="AG114" s="89">
        <f t="shared" si="105"/>
        <v>133.42727916847878</v>
      </c>
      <c r="AH114" s="89">
        <f t="shared" si="105"/>
        <v>154.26240346385589</v>
      </c>
      <c r="AI114" s="89">
        <f t="shared" si="105"/>
        <v>112.76509175988895</v>
      </c>
      <c r="AJ114" s="89">
        <f t="shared" si="105"/>
        <v>93.855647797100801</v>
      </c>
      <c r="AK114" s="89">
        <f t="shared" si="105"/>
        <v>78.549690614237761</v>
      </c>
      <c r="AL114" s="89">
        <f t="shared" si="105"/>
        <v>54.558400350844863</v>
      </c>
      <c r="AM114" s="89">
        <f t="shared" si="105"/>
        <v>160.59961119073103</v>
      </c>
      <c r="AN114" s="89">
        <f t="shared" si="105"/>
        <v>168.31347839326008</v>
      </c>
      <c r="AO114" s="7"/>
    </row>
    <row r="115" spans="1:44" outlineLevel="1">
      <c r="A115" s="109" t="s">
        <v>260</v>
      </c>
      <c r="B115" s="110" t="s">
        <v>260</v>
      </c>
      <c r="E115" s="70" t="s">
        <v>260</v>
      </c>
      <c r="H115" s="225"/>
      <c r="I115" s="225"/>
      <c r="J115" s="225"/>
      <c r="K115" s="225"/>
      <c r="L115" s="225"/>
      <c r="M115" s="225"/>
      <c r="N115" s="225"/>
      <c r="O115" s="225"/>
      <c r="P115" s="225"/>
      <c r="Q115" s="225"/>
      <c r="R115" s="225"/>
      <c r="S115" s="225"/>
      <c r="T115" s="225"/>
      <c r="U115" s="225"/>
      <c r="V115" s="225"/>
      <c r="W115" s="225"/>
      <c r="X115" s="225"/>
      <c r="Y115" s="225">
        <v>-0.32700000000000001</v>
      </c>
      <c r="Z115" s="225" cm="1">
        <f t="array" ref="Z115">INDEX(QRT!$1:$1048576,MATCH(Model!$B115,QRT!$A:$A,0),MATCH(Model!Z$3,QRT!$4:$4,0))+INDEX(QRT!$1:$1048576,MATCH(Model!$B115,QRT!$A:$A,0),MATCH(Model!Z$3,QRT!$4:$4,0)+1)+INDEX(QRT!$1:$1048576,MATCH(Model!$B115,QRT!$A:$A,0),MATCH(Model!Z$3,QRT!$4:$4,0)+2)+INDEX(QRT!$1:$1048576,MATCH(Model!$B115,QRT!$A:$A,0),MATCH(Model!Z$3,QRT!$4:$4,0)+3)</f>
        <v>-0.52100000000000002</v>
      </c>
      <c r="AA115" s="225" cm="1">
        <f t="array" ref="AA115">INDEX(QRT!$1:$1048576,MATCH(Model!$B115,QRT!$A:$A,0),MATCH(Model!AA$3,QRT!$4:$4,0))+INDEX(QRT!$1:$1048576,MATCH(Model!$B115,QRT!$A:$A,0),MATCH(Model!AA$3,QRT!$4:$4,0)+1)+INDEX(QRT!$1:$1048576,MATCH(Model!$B115,QRT!$A:$A,0),MATCH(Model!AA$3,QRT!$4:$4,0)+2)+INDEX(QRT!$1:$1048576,MATCH(Model!$B115,QRT!$A:$A,0),MATCH(Model!AA$3,QRT!$4:$4,0)+3)</f>
        <v>-6.9370000000000003</v>
      </c>
      <c r="AB115" s="225" cm="1">
        <f t="array" ref="AB115">INDEX(QRT!$1:$1048576,MATCH(Model!$B115,QRT!$A:$A,0),MATCH(Model!AB$3,QRT!$4:$4,0))+INDEX(QRT!$1:$1048576,MATCH(Model!$B115,QRT!$A:$A,0),MATCH(Model!AB$3,QRT!$4:$4,0)+1)+INDEX(QRT!$1:$1048576,MATCH(Model!$B115,QRT!$A:$A,0),MATCH(Model!AB$3,QRT!$4:$4,0)+2)+INDEX(QRT!$1:$1048576,MATCH(Model!$B115,QRT!$A:$A,0),MATCH(Model!AB$3,QRT!$4:$4,0)+3)</f>
        <v>-9.7059999999999995</v>
      </c>
      <c r="AC115" s="239" cm="1">
        <f t="array" ref="AC115">INDEX(QRT!$1:$1048576,MATCH(Model!$B115,QRT!$A:$A,0),MATCH(Model!AC$3,QRT!$4:$4,0))+INDEX(QRT!$1:$1048576,MATCH(Model!$B115,QRT!$A:$A,0),MATCH(Model!AC$3,QRT!$4:$4,0)+1)+INDEX(QRT!$1:$1048576,MATCH(Model!$B115,QRT!$A:$A,0),MATCH(Model!AC$3,QRT!$4:$4,0)+2)+INDEX(QRT!$1:$1048576,MATCH(Model!$B115,QRT!$A:$A,0),MATCH(Model!AC$3,QRT!$4:$4,0)+3)</f>
        <v>-8.9391227165741451</v>
      </c>
      <c r="AD115" s="239" cm="1">
        <f t="array" ref="AD115">INDEX(QRT!$1:$1048576,MATCH(Model!$B115,QRT!$A:$A,0),MATCH(Model!AD$3,QRT!$4:$4,0))+INDEX(QRT!$1:$1048576,MATCH(Model!$B115,QRT!$A:$A,0),MATCH(Model!AD$3,QRT!$4:$4,0)+1)+INDEX(QRT!$1:$1048576,MATCH(Model!$B115,QRT!$A:$A,0),MATCH(Model!AD$3,QRT!$4:$4,0)+2)+INDEX(QRT!$1:$1048576,MATCH(Model!$B115,QRT!$A:$A,0),MATCH(Model!AD$3,QRT!$4:$4,0)+3)</f>
        <v>-9.8283045951740569</v>
      </c>
      <c r="AE115" s="239" cm="1">
        <f t="array" ref="AE115">INDEX(QRT!$1:$1048576,MATCH(Model!$B115,QRT!$A:$A,0),MATCH(Model!AE$3,QRT!$4:$4,0))+INDEX(QRT!$1:$1048576,MATCH(Model!$B115,QRT!$A:$A,0),MATCH(Model!AE$3,QRT!$4:$4,0)+1)+INDEX(QRT!$1:$1048576,MATCH(Model!$B115,QRT!$A:$A,0),MATCH(Model!AE$3,QRT!$4:$4,0)+2)+INDEX(QRT!$1:$1048576,MATCH(Model!$B115,QRT!$A:$A,0),MATCH(Model!AE$3,QRT!$4:$4,0)+3)</f>
        <v>-12.067839947501842</v>
      </c>
      <c r="AF115" s="89">
        <f>AF209</f>
        <v>-13.295256081329731</v>
      </c>
      <c r="AG115" s="89">
        <f t="shared" ref="AG115:AN115" si="106">AG209</f>
        <v>-15.094400366614924</v>
      </c>
      <c r="AH115" s="89">
        <f t="shared" si="106"/>
        <v>-19.359157179263139</v>
      </c>
      <c r="AI115" s="89">
        <f t="shared" si="106"/>
        <v>-23.856970630409926</v>
      </c>
      <c r="AJ115" s="89">
        <f t="shared" si="106"/>
        <v>-28.568894293376609</v>
      </c>
      <c r="AK115" s="89">
        <f t="shared" si="106"/>
        <v>-33.425401097857716</v>
      </c>
      <c r="AL115" s="89">
        <f t="shared" si="106"/>
        <v>-38.401472622559517</v>
      </c>
      <c r="AM115" s="89">
        <f t="shared" si="106"/>
        <v>-43.489502075010705</v>
      </c>
      <c r="AN115" s="89">
        <f t="shared" si="106"/>
        <v>-48.775292116510926</v>
      </c>
      <c r="AO115" s="7"/>
    </row>
    <row r="116" spans="1:44" outlineLevel="1">
      <c r="B116" s="110" t="s">
        <v>210</v>
      </c>
      <c r="E116" s="70" t="s">
        <v>210</v>
      </c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25"/>
      <c r="Y116" s="225"/>
      <c r="Z116" s="225" cm="1">
        <f t="array" ref="Z116">INDEX(QRT!$1:$1048576,MATCH(Model!$B116,QRT!$A:$A,0),MATCH(Model!Z$3,QRT!$4:$4,0))+INDEX(QRT!$1:$1048576,MATCH(Model!$B116,QRT!$A:$A,0),MATCH(Model!Z$3,QRT!$4:$4,0)+1)+INDEX(QRT!$1:$1048576,MATCH(Model!$B116,QRT!$A:$A,0),MATCH(Model!Z$3,QRT!$4:$4,0)+2)+INDEX(QRT!$1:$1048576,MATCH(Model!$B116,QRT!$A:$A,0),MATCH(Model!Z$3,QRT!$4:$4,0)+3)</f>
        <v>12.228</v>
      </c>
      <c r="AA116" s="225" cm="1">
        <f t="array" ref="AA116">INDEX(QRT!$1:$1048576,MATCH(Model!$B116,QRT!$A:$A,0),MATCH(Model!AA$3,QRT!$4:$4,0))+INDEX(QRT!$1:$1048576,MATCH(Model!$B116,QRT!$A:$A,0),MATCH(Model!AA$3,QRT!$4:$4,0)+1)+INDEX(QRT!$1:$1048576,MATCH(Model!$B116,QRT!$A:$A,0),MATCH(Model!AA$3,QRT!$4:$4,0)+2)+INDEX(QRT!$1:$1048576,MATCH(Model!$B116,QRT!$A:$A,0),MATCH(Model!AA$3,QRT!$4:$4,0)+3)</f>
        <v>2.3410000000000002</v>
      </c>
      <c r="AB116" s="225" cm="1">
        <f t="array" ref="AB116">INDEX(QRT!$1:$1048576,MATCH(Model!$B116,QRT!$A:$A,0),MATCH(Model!AB$3,QRT!$4:$4,0))+INDEX(QRT!$1:$1048576,MATCH(Model!$B116,QRT!$A:$A,0),MATCH(Model!AB$3,QRT!$4:$4,0)+1)+INDEX(QRT!$1:$1048576,MATCH(Model!$B116,QRT!$A:$A,0),MATCH(Model!AB$3,QRT!$4:$4,0)+2)+INDEX(QRT!$1:$1048576,MATCH(Model!$B116,QRT!$A:$A,0),MATCH(Model!AB$3,QRT!$4:$4,0)+3)</f>
        <v>101.47199999999999</v>
      </c>
      <c r="AC116" s="239" cm="1">
        <f t="array" ref="AC116">INDEX(QRT!$1:$1048576,MATCH(Model!$B116,QRT!$A:$A,0),MATCH(Model!AC$3,QRT!$4:$4,0))+INDEX(QRT!$1:$1048576,MATCH(Model!$B116,QRT!$A:$A,0),MATCH(Model!AC$3,QRT!$4:$4,0)+1)+INDEX(QRT!$1:$1048576,MATCH(Model!$B116,QRT!$A:$A,0),MATCH(Model!AC$3,QRT!$4:$4,0)+2)+INDEX(QRT!$1:$1048576,MATCH(Model!$B116,QRT!$A:$A,0),MATCH(Model!AC$3,QRT!$4:$4,0)+3)</f>
        <v>493.79200000000003</v>
      </c>
      <c r="AD116" s="239" cm="1">
        <f t="array" ref="AD116">INDEX(QRT!$1:$1048576,MATCH(Model!$B116,QRT!$A:$A,0),MATCH(Model!AD$3,QRT!$4:$4,0))+INDEX(QRT!$1:$1048576,MATCH(Model!$B116,QRT!$A:$A,0),MATCH(Model!AD$3,QRT!$4:$4,0)+1)+INDEX(QRT!$1:$1048576,MATCH(Model!$B116,QRT!$A:$A,0),MATCH(Model!AD$3,QRT!$4:$4,0)+2)+INDEX(QRT!$1:$1048576,MATCH(Model!$B116,QRT!$A:$A,0),MATCH(Model!AD$3,QRT!$4:$4,0)+3)</f>
        <v>0</v>
      </c>
      <c r="AE116" s="239" cm="1">
        <f t="array" ref="AE116">INDEX(QRT!$1:$1048576,MATCH(Model!$B116,QRT!$A:$A,0),MATCH(Model!AE$3,QRT!$4:$4,0))+INDEX(QRT!$1:$1048576,MATCH(Model!$B116,QRT!$A:$A,0),MATCH(Model!AE$3,QRT!$4:$4,0)+1)+INDEX(QRT!$1:$1048576,MATCH(Model!$B116,QRT!$A:$A,0),MATCH(Model!AE$3,QRT!$4:$4,0)+2)+INDEX(QRT!$1:$1048576,MATCH(Model!$B116,QRT!$A:$A,0),MATCH(Model!AE$3,QRT!$4:$4,0)+3)</f>
        <v>0</v>
      </c>
      <c r="AF116" s="165">
        <f t="shared" ref="AF116:AN116" si="107">AE116</f>
        <v>0</v>
      </c>
      <c r="AG116" s="165">
        <f t="shared" si="107"/>
        <v>0</v>
      </c>
      <c r="AH116" s="165">
        <f t="shared" si="107"/>
        <v>0</v>
      </c>
      <c r="AI116" s="165">
        <f t="shared" si="107"/>
        <v>0</v>
      </c>
      <c r="AJ116" s="165">
        <f t="shared" si="107"/>
        <v>0</v>
      </c>
      <c r="AK116" s="165">
        <f t="shared" si="107"/>
        <v>0</v>
      </c>
      <c r="AL116" s="165">
        <f t="shared" si="107"/>
        <v>0</v>
      </c>
      <c r="AM116" s="165">
        <f t="shared" si="107"/>
        <v>0</v>
      </c>
      <c r="AN116" s="165">
        <f t="shared" si="107"/>
        <v>0</v>
      </c>
      <c r="AO116" s="79"/>
      <c r="AP116" s="79"/>
      <c r="AQ116" s="79"/>
      <c r="AR116" s="79"/>
    </row>
    <row r="117" spans="1:44" outlineLevel="1">
      <c r="B117" s="110" t="s">
        <v>134</v>
      </c>
      <c r="E117" s="70" t="s">
        <v>134</v>
      </c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25"/>
      <c r="Y117" s="225"/>
      <c r="Z117" s="225" cm="1">
        <f t="array" ref="Z117">INDEX(QRT!$1:$1048576,MATCH(Model!$B117,QRT!$A:$A,0),MATCH(Model!Z$3,QRT!$4:$4,0))+INDEX(QRT!$1:$1048576,MATCH(Model!$B117,QRT!$A:$A,0),MATCH(Model!Z$3,QRT!$4:$4,0)+1)+INDEX(QRT!$1:$1048576,MATCH(Model!$B117,QRT!$A:$A,0),MATCH(Model!Z$3,QRT!$4:$4,0)+2)+INDEX(QRT!$1:$1048576,MATCH(Model!$B117,QRT!$A:$A,0),MATCH(Model!Z$3,QRT!$4:$4,0)+3)</f>
        <v>0</v>
      </c>
      <c r="AA117" s="225" cm="1">
        <f t="array" ref="AA117">INDEX(QRT!$1:$1048576,MATCH(Model!$B117,QRT!$A:$A,0),MATCH(Model!AA$3,QRT!$4:$4,0))+INDEX(QRT!$1:$1048576,MATCH(Model!$B117,QRT!$A:$A,0),MATCH(Model!AA$3,QRT!$4:$4,0)+1)+INDEX(QRT!$1:$1048576,MATCH(Model!$B117,QRT!$A:$A,0),MATCH(Model!AA$3,QRT!$4:$4,0)+2)+INDEX(QRT!$1:$1048576,MATCH(Model!$B117,QRT!$A:$A,0),MATCH(Model!AA$3,QRT!$4:$4,0)+3)</f>
        <v>0</v>
      </c>
      <c r="AB117" s="225" cm="1">
        <f t="array" ref="AB117">INDEX(QRT!$1:$1048576,MATCH(Model!$B117,QRT!$A:$A,0),MATCH(Model!AB$3,QRT!$4:$4,0))+INDEX(QRT!$1:$1048576,MATCH(Model!$B117,QRT!$A:$A,0),MATCH(Model!AB$3,QRT!$4:$4,0)+1)+INDEX(QRT!$1:$1048576,MATCH(Model!$B117,QRT!$A:$A,0),MATCH(Model!AB$3,QRT!$4:$4,0)+2)+INDEX(QRT!$1:$1048576,MATCH(Model!$B117,QRT!$A:$A,0),MATCH(Model!AB$3,QRT!$4:$4,0)+3)</f>
        <v>0</v>
      </c>
      <c r="AC117" s="239" cm="1">
        <f t="array" ref="AC117">INDEX(QRT!$1:$1048576,MATCH(Model!$B117,QRT!$A:$A,0),MATCH(Model!AC$3,QRT!$4:$4,0))+INDEX(QRT!$1:$1048576,MATCH(Model!$B117,QRT!$A:$A,0),MATCH(Model!AC$3,QRT!$4:$4,0)+1)+INDEX(QRT!$1:$1048576,MATCH(Model!$B117,QRT!$A:$A,0),MATCH(Model!AC$3,QRT!$4:$4,0)+2)+INDEX(QRT!$1:$1048576,MATCH(Model!$B117,QRT!$A:$A,0),MATCH(Model!AC$3,QRT!$4:$4,0)+3)</f>
        <v>0</v>
      </c>
      <c r="AD117" s="239" cm="1">
        <f t="array" ref="AD117">INDEX(QRT!$1:$1048576,MATCH(Model!$B117,QRT!$A:$A,0),MATCH(Model!AD$3,QRT!$4:$4,0))+INDEX(QRT!$1:$1048576,MATCH(Model!$B117,QRT!$A:$A,0),MATCH(Model!AD$3,QRT!$4:$4,0)+1)+INDEX(QRT!$1:$1048576,MATCH(Model!$B117,QRT!$A:$A,0),MATCH(Model!AD$3,QRT!$4:$4,0)+2)+INDEX(QRT!$1:$1048576,MATCH(Model!$B117,QRT!$A:$A,0),MATCH(Model!AD$3,QRT!$4:$4,0)+3)</f>
        <v>0</v>
      </c>
      <c r="AE117" s="239" cm="1">
        <f t="array" ref="AE117">INDEX(QRT!$1:$1048576,MATCH(Model!$B117,QRT!$A:$A,0),MATCH(Model!AE$3,QRT!$4:$4,0))+INDEX(QRT!$1:$1048576,MATCH(Model!$B117,QRT!$A:$A,0),MATCH(Model!AE$3,QRT!$4:$4,0)+1)+INDEX(QRT!$1:$1048576,MATCH(Model!$B117,QRT!$A:$A,0),MATCH(Model!AE$3,QRT!$4:$4,0)+2)+INDEX(QRT!$1:$1048576,MATCH(Model!$B117,QRT!$A:$A,0),MATCH(Model!AE$3,QRT!$4:$4,0)+3)</f>
        <v>0</v>
      </c>
      <c r="AF117" s="165">
        <f t="shared" ref="AF117:AN117" si="108">AE117</f>
        <v>0</v>
      </c>
      <c r="AG117" s="165">
        <f t="shared" si="108"/>
        <v>0</v>
      </c>
      <c r="AH117" s="165">
        <f t="shared" si="108"/>
        <v>0</v>
      </c>
      <c r="AI117" s="165">
        <f t="shared" si="108"/>
        <v>0</v>
      </c>
      <c r="AJ117" s="165">
        <f t="shared" si="108"/>
        <v>0</v>
      </c>
      <c r="AK117" s="165">
        <f t="shared" si="108"/>
        <v>0</v>
      </c>
      <c r="AL117" s="165">
        <f t="shared" si="108"/>
        <v>0</v>
      </c>
      <c r="AM117" s="165">
        <f t="shared" si="108"/>
        <v>0</v>
      </c>
      <c r="AN117" s="165">
        <f t="shared" si="108"/>
        <v>0</v>
      </c>
      <c r="AO117" s="7"/>
    </row>
    <row r="118" spans="1:44" outlineLevel="1">
      <c r="B118" s="110" t="s">
        <v>361</v>
      </c>
      <c r="E118" s="70" t="s">
        <v>127</v>
      </c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25"/>
      <c r="Y118" s="225">
        <v>-2.35</v>
      </c>
      <c r="Z118" s="225" cm="1">
        <f t="array" ref="Z118">INDEX(QRT!$1:$1048576,MATCH(Model!$B118,QRT!$A:$A,0),MATCH(Model!Z$3,QRT!$4:$4,0))+INDEX(QRT!$1:$1048576,MATCH(Model!$B118,QRT!$A:$A,0),MATCH(Model!Z$3,QRT!$4:$4,0)+1)+INDEX(QRT!$1:$1048576,MATCH(Model!$B118,QRT!$A:$A,0),MATCH(Model!Z$3,QRT!$4:$4,0)+2)+INDEX(QRT!$1:$1048576,MATCH(Model!$B118,QRT!$A:$A,0),MATCH(Model!Z$3,QRT!$4:$4,0)+3)</f>
        <v>-4.17</v>
      </c>
      <c r="AA118" s="225" cm="1">
        <f t="array" ref="AA118">INDEX(QRT!$1:$1048576,MATCH(Model!$B118,QRT!$A:$A,0),MATCH(Model!AA$3,QRT!$4:$4,0))+INDEX(QRT!$1:$1048576,MATCH(Model!$B118,QRT!$A:$A,0),MATCH(Model!AA$3,QRT!$4:$4,0)+1)+INDEX(QRT!$1:$1048576,MATCH(Model!$B118,QRT!$A:$A,0),MATCH(Model!AA$3,QRT!$4:$4,0)+2)+INDEX(QRT!$1:$1048576,MATCH(Model!$B118,QRT!$A:$A,0),MATCH(Model!AA$3,QRT!$4:$4,0)+3)</f>
        <v>-2.879</v>
      </c>
      <c r="AB118" s="225" cm="1">
        <f t="array" ref="AB118">INDEX(QRT!$1:$1048576,MATCH(Model!$B118,QRT!$A:$A,0),MATCH(Model!AB$3,QRT!$4:$4,0))+INDEX(QRT!$1:$1048576,MATCH(Model!$B118,QRT!$A:$A,0),MATCH(Model!AB$3,QRT!$4:$4,0)+1)+INDEX(QRT!$1:$1048576,MATCH(Model!$B118,QRT!$A:$A,0),MATCH(Model!AB$3,QRT!$4:$4,0)+2)+INDEX(QRT!$1:$1048576,MATCH(Model!$B118,QRT!$A:$A,0),MATCH(Model!AB$3,QRT!$4:$4,0)+3)</f>
        <v>8.1170000000000009</v>
      </c>
      <c r="AC118" s="239" cm="1">
        <f t="array" ref="AC118">INDEX(QRT!$1:$1048576,MATCH(Model!$B118,QRT!$A:$A,0),MATCH(Model!AC$3,QRT!$4:$4,0))+INDEX(QRT!$1:$1048576,MATCH(Model!$B118,QRT!$A:$A,0),MATCH(Model!AC$3,QRT!$4:$4,0)+1)+INDEX(QRT!$1:$1048576,MATCH(Model!$B118,QRT!$A:$A,0),MATCH(Model!AC$3,QRT!$4:$4,0)+2)+INDEX(QRT!$1:$1048576,MATCH(Model!$B118,QRT!$A:$A,0),MATCH(Model!AC$3,QRT!$4:$4,0)+3)</f>
        <v>-11.467000000000001</v>
      </c>
      <c r="AD118" s="239" cm="1">
        <f t="array" ref="AD118">INDEX(QRT!$1:$1048576,MATCH(Model!$B118,QRT!$A:$A,0),MATCH(Model!AD$3,QRT!$4:$4,0))+INDEX(QRT!$1:$1048576,MATCH(Model!$B118,QRT!$A:$A,0),MATCH(Model!AD$3,QRT!$4:$4,0)+1)+INDEX(QRT!$1:$1048576,MATCH(Model!$B118,QRT!$A:$A,0),MATCH(Model!AD$3,QRT!$4:$4,0)+2)+INDEX(QRT!$1:$1048576,MATCH(Model!$B118,QRT!$A:$A,0),MATCH(Model!AD$3,QRT!$4:$4,0)+3)</f>
        <v>0</v>
      </c>
      <c r="AE118" s="239" cm="1">
        <f t="array" ref="AE118">INDEX(QRT!$1:$1048576,MATCH(Model!$B118,QRT!$A:$A,0),MATCH(Model!AE$3,QRT!$4:$4,0))+INDEX(QRT!$1:$1048576,MATCH(Model!$B118,QRT!$A:$A,0),MATCH(Model!AE$3,QRT!$4:$4,0)+1)+INDEX(QRT!$1:$1048576,MATCH(Model!$B118,QRT!$A:$A,0),MATCH(Model!AE$3,QRT!$4:$4,0)+2)+INDEX(QRT!$1:$1048576,MATCH(Model!$B118,QRT!$A:$A,0),MATCH(Model!AE$3,QRT!$4:$4,0)+3)</f>
        <v>0</v>
      </c>
      <c r="AF118" s="79">
        <v>0</v>
      </c>
      <c r="AG118" s="79">
        <v>0</v>
      </c>
      <c r="AH118" s="79">
        <v>0</v>
      </c>
      <c r="AI118" s="79">
        <v>0</v>
      </c>
      <c r="AJ118" s="79">
        <v>0</v>
      </c>
      <c r="AK118" s="79">
        <v>0</v>
      </c>
      <c r="AL118" s="79">
        <v>0</v>
      </c>
      <c r="AM118" s="79">
        <v>0</v>
      </c>
      <c r="AN118" s="79">
        <v>0</v>
      </c>
      <c r="AO118" s="7"/>
    </row>
    <row r="119" spans="1:44" s="3" customFormat="1" outlineLevel="1">
      <c r="A119" s="110" t="s">
        <v>179</v>
      </c>
      <c r="B119" s="110"/>
      <c r="C119" s="143"/>
      <c r="E119" s="2" t="s">
        <v>135</v>
      </c>
      <c r="F119" s="2"/>
      <c r="G119" s="2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>
        <f t="shared" ref="Y119:AN119" si="109">SUM(Y114:Y118)</f>
        <v>36.624000000000002</v>
      </c>
      <c r="Z119" s="8">
        <f t="shared" si="109"/>
        <v>52.550999999999981</v>
      </c>
      <c r="AA119" s="8">
        <f t="shared" si="109"/>
        <v>67.100000000000009</v>
      </c>
      <c r="AB119" s="8">
        <f t="shared" si="109"/>
        <v>78.208000000000155</v>
      </c>
      <c r="AC119" s="8">
        <f t="shared" si="109"/>
        <v>359.79911072595621</v>
      </c>
      <c r="AD119" s="8">
        <f t="shared" si="109"/>
        <v>60.3730895983213</v>
      </c>
      <c r="AE119" s="8">
        <f t="shared" si="109"/>
        <v>119.886990101661</v>
      </c>
      <c r="AF119" s="8">
        <f t="shared" si="109"/>
        <v>112.91829882929538</v>
      </c>
      <c r="AG119" s="8">
        <f t="shared" si="109"/>
        <v>118.33287880186386</v>
      </c>
      <c r="AH119" s="8">
        <f t="shared" si="109"/>
        <v>134.90324628459274</v>
      </c>
      <c r="AI119" s="8">
        <f t="shared" si="109"/>
        <v>88.908121129479014</v>
      </c>
      <c r="AJ119" s="8">
        <f t="shared" si="109"/>
        <v>65.286753503724185</v>
      </c>
      <c r="AK119" s="8">
        <f t="shared" si="109"/>
        <v>45.124289516380045</v>
      </c>
      <c r="AL119" s="8">
        <f t="shared" si="109"/>
        <v>16.156927728285346</v>
      </c>
      <c r="AM119" s="8">
        <f t="shared" si="109"/>
        <v>117.11010911572032</v>
      </c>
      <c r="AN119" s="8">
        <f t="shared" si="109"/>
        <v>119.53818627674916</v>
      </c>
      <c r="AO119" s="64"/>
    </row>
    <row r="120" spans="1:44" outlineLevel="1">
      <c r="B120" s="110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</row>
    <row r="121" spans="1:44" outlineLevel="1">
      <c r="A121" s="110"/>
      <c r="B121" s="110" t="s">
        <v>136</v>
      </c>
      <c r="E121" s="70" t="s">
        <v>136</v>
      </c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25"/>
      <c r="Y121" s="225">
        <v>5.0000000000000001E-3</v>
      </c>
      <c r="Z121" s="225" cm="1">
        <f t="array" ref="Z121">INDEX(QRT!$1:$1048576,MATCH(Model!$B121,QRT!$A:$A,0),MATCH(Model!Z$3,QRT!$4:$4,0))+INDEX(QRT!$1:$1048576,MATCH(Model!$B121,QRT!$A:$A,0),MATCH(Model!Z$3,QRT!$4:$4,0)+1)+INDEX(QRT!$1:$1048576,MATCH(Model!$B121,QRT!$A:$A,0),MATCH(Model!Z$3,QRT!$4:$4,0)+2)+INDEX(QRT!$1:$1048576,MATCH(Model!$B121,QRT!$A:$A,0),MATCH(Model!Z$3,QRT!$4:$4,0)+3)</f>
        <v>-0.313</v>
      </c>
      <c r="AA121" s="225" cm="1">
        <f t="array" ref="AA121">INDEX(QRT!$1:$1048576,MATCH(Model!$B121,QRT!$A:$A,0),MATCH(Model!AA$3,QRT!$4:$4,0))+INDEX(QRT!$1:$1048576,MATCH(Model!$B121,QRT!$A:$A,0),MATCH(Model!AA$3,QRT!$4:$4,0)+1)+INDEX(QRT!$1:$1048576,MATCH(Model!$B121,QRT!$A:$A,0),MATCH(Model!AA$3,QRT!$4:$4,0)+2)+INDEX(QRT!$1:$1048576,MATCH(Model!$B121,QRT!$A:$A,0),MATCH(Model!AA$3,QRT!$4:$4,0)+3)</f>
        <v>-2.3449999999999998</v>
      </c>
      <c r="AB121" s="225" cm="1">
        <f t="array" ref="AB121">INDEX(QRT!$1:$1048576,MATCH(Model!$B121,QRT!$A:$A,0),MATCH(Model!AB$3,QRT!$4:$4,0))+INDEX(QRT!$1:$1048576,MATCH(Model!$B121,QRT!$A:$A,0),MATCH(Model!AB$3,QRT!$4:$4,0)+1)+INDEX(QRT!$1:$1048576,MATCH(Model!$B121,QRT!$A:$A,0),MATCH(Model!AB$3,QRT!$4:$4,0)+2)+INDEX(QRT!$1:$1048576,MATCH(Model!$B121,QRT!$A:$A,0),MATCH(Model!AB$3,QRT!$4:$4,0)+3)</f>
        <v>0.62800000000000011</v>
      </c>
      <c r="AC121" s="239" cm="1">
        <f t="array" ref="AC121">INDEX(QRT!$1:$1048576,MATCH(Model!$B121,QRT!$A:$A,0),MATCH(Model!AC$3,QRT!$4:$4,0))+INDEX(QRT!$1:$1048576,MATCH(Model!$B121,QRT!$A:$A,0),MATCH(Model!AC$3,QRT!$4:$4,0)+1)+INDEX(QRT!$1:$1048576,MATCH(Model!$B121,QRT!$A:$A,0),MATCH(Model!AC$3,QRT!$4:$4,0)+2)+INDEX(QRT!$1:$1048576,MATCH(Model!$B121,QRT!$A:$A,0),MATCH(Model!AC$3,QRT!$4:$4,0)+3)</f>
        <v>9.4030000000000005</v>
      </c>
      <c r="AD121" s="239" cm="1">
        <f t="array" ref="AD121">INDEX(QRT!$1:$1048576,MATCH(Model!$B121,QRT!$A:$A,0),MATCH(Model!AD$3,QRT!$4:$4,0))+INDEX(QRT!$1:$1048576,MATCH(Model!$B121,QRT!$A:$A,0),MATCH(Model!AD$3,QRT!$4:$4,0)+1)+INDEX(QRT!$1:$1048576,MATCH(Model!$B121,QRT!$A:$A,0),MATCH(Model!AD$3,QRT!$4:$4,0)+2)+INDEX(QRT!$1:$1048576,MATCH(Model!$B121,QRT!$A:$A,0),MATCH(Model!AD$3,QRT!$4:$4,0)+3)</f>
        <v>0</v>
      </c>
      <c r="AE121" s="239" cm="1">
        <f t="array" ref="AE121">INDEX(QRT!$1:$1048576,MATCH(Model!$B121,QRT!$A:$A,0),MATCH(Model!AE$3,QRT!$4:$4,0))+INDEX(QRT!$1:$1048576,MATCH(Model!$B121,QRT!$A:$A,0),MATCH(Model!AE$3,QRT!$4:$4,0)+1)+INDEX(QRT!$1:$1048576,MATCH(Model!$B121,QRT!$A:$A,0),MATCH(Model!AE$3,QRT!$4:$4,0)+2)+INDEX(QRT!$1:$1048576,MATCH(Model!$B121,QRT!$A:$A,0),MATCH(Model!AE$3,QRT!$4:$4,0)+3)</f>
        <v>0</v>
      </c>
      <c r="AF121" s="79">
        <v>0</v>
      </c>
      <c r="AG121" s="79">
        <f>AF121</f>
        <v>0</v>
      </c>
      <c r="AH121" s="79">
        <f t="shared" ref="AH121:AN121" si="110">AG121</f>
        <v>0</v>
      </c>
      <c r="AI121" s="79">
        <f t="shared" si="110"/>
        <v>0</v>
      </c>
      <c r="AJ121" s="79">
        <f t="shared" si="110"/>
        <v>0</v>
      </c>
      <c r="AK121" s="79">
        <f t="shared" si="110"/>
        <v>0</v>
      </c>
      <c r="AL121" s="79">
        <f t="shared" si="110"/>
        <v>0</v>
      </c>
      <c r="AM121" s="79">
        <f t="shared" si="110"/>
        <v>0</v>
      </c>
      <c r="AN121" s="79">
        <f t="shared" si="110"/>
        <v>0</v>
      </c>
      <c r="AO121" s="7"/>
    </row>
    <row r="122" spans="1:44" s="3" customFormat="1" outlineLevel="1">
      <c r="A122" s="110"/>
      <c r="B122" s="110"/>
      <c r="C122" s="143"/>
      <c r="E122" s="2" t="s">
        <v>137</v>
      </c>
      <c r="F122" s="2"/>
      <c r="G122" s="2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>
        <f>SUM(Y121,Y119,Y112,Y105)</f>
        <v>7.7850000000000072</v>
      </c>
      <c r="Z122" s="8">
        <f>SUM(Z121,Z119,Z112,Z105)</f>
        <v>10.142999999999969</v>
      </c>
      <c r="AA122" s="8">
        <f t="shared" ref="AA122:AN122" si="111">SUM(AA121,AA119,AA112,AA105)</f>
        <v>11.407000000000096</v>
      </c>
      <c r="AB122" s="8">
        <f t="shared" si="111"/>
        <v>45.30400000000008</v>
      </c>
      <c r="AC122" s="8">
        <f t="shared" si="111"/>
        <v>130.61298133749924</v>
      </c>
      <c r="AD122" s="8">
        <f t="shared" si="111"/>
        <v>-47.955890617095633</v>
      </c>
      <c r="AE122" s="8">
        <f t="shared" si="111"/>
        <v>-8.8864664234289421</v>
      </c>
      <c r="AF122" s="8">
        <f t="shared" ca="1" si="111"/>
        <v>-27.525592466516486</v>
      </c>
      <c r="AG122" s="8">
        <f t="shared" ca="1" si="111"/>
        <v>-24.621770036406389</v>
      </c>
      <c r="AH122" s="8">
        <f t="shared" ca="1" si="111"/>
        <v>28.343113125086347</v>
      </c>
      <c r="AI122" s="8">
        <f t="shared" ca="1" si="111"/>
        <v>30.930633650009668</v>
      </c>
      <c r="AJ122" s="8">
        <f t="shared" ca="1" si="111"/>
        <v>65.960533101003875</v>
      </c>
      <c r="AK122" s="8">
        <f t="shared" ca="1" si="111"/>
        <v>113.82439135538834</v>
      </c>
      <c r="AL122" s="8">
        <f t="shared" ca="1" si="111"/>
        <v>157.83973036650332</v>
      </c>
      <c r="AM122" s="8">
        <f t="shared" ca="1" si="111"/>
        <v>339.55573650120834</v>
      </c>
      <c r="AN122" s="8">
        <f t="shared" ca="1" si="111"/>
        <v>427.24586491014475</v>
      </c>
      <c r="AO122" s="64"/>
    </row>
    <row r="123" spans="1:44">
      <c r="H123" s="7"/>
      <c r="I123" s="7"/>
      <c r="J123" s="7"/>
      <c r="K123" s="7"/>
      <c r="L123" s="7"/>
      <c r="M123" s="7"/>
      <c r="N123" s="7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</row>
    <row r="124" spans="1:44">
      <c r="D124" s="104"/>
      <c r="E124" s="105" t="s">
        <v>138</v>
      </c>
      <c r="F124" s="104"/>
      <c r="G124" s="104"/>
      <c r="H124" s="104"/>
      <c r="I124" s="104"/>
      <c r="J124" s="104"/>
      <c r="K124" s="104"/>
      <c r="L124" s="104"/>
      <c r="M124" s="104"/>
      <c r="N124" s="104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</row>
    <row r="125" spans="1:44" ht="5.0999999999999996" customHeight="1">
      <c r="C125" s="142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7"/>
      <c r="AP125" s="1"/>
    </row>
    <row r="126" spans="1:44" outlineLevel="1">
      <c r="A126" s="110" t="s">
        <v>181</v>
      </c>
      <c r="B126" s="110" t="s">
        <v>236</v>
      </c>
      <c r="E126" s="70" t="s">
        <v>236</v>
      </c>
      <c r="H126" s="225"/>
      <c r="I126" s="225"/>
      <c r="J126" s="225"/>
      <c r="K126" s="225"/>
      <c r="L126" s="225"/>
      <c r="M126" s="225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25"/>
      <c r="Y126" s="225">
        <f>7.786+2.35</f>
        <v>10.135999999999999</v>
      </c>
      <c r="Z126" s="225" cm="1">
        <f t="array" ref="Z126">INDEX(QRT!$1:$1048576,MATCH(Model!$B126,QRT!$A:$A,0),MATCH(Model!Z$3,QRT!$4:$4,0)+3)</f>
        <v>14.722</v>
      </c>
      <c r="AA126" s="225" cm="1">
        <f t="array" ref="AA126">INDEX(QRT!$1:$1048576,MATCH(Model!$B126,QRT!$A:$A,0),MATCH(Model!AA$3,QRT!$4:$4,0)+3)</f>
        <v>28.437999999999999</v>
      </c>
      <c r="AB126" s="225" cm="1">
        <f t="array" ref="AB126">INDEX(QRT!$1:$1048576,MATCH(Model!$B126,QRT!$A:$A,0),MATCH(Model!AB$3,QRT!$4:$4,0)+3)</f>
        <v>64.766999999999996</v>
      </c>
      <c r="AC126" s="206" cm="1">
        <f t="array" ref="AC126">INDEX(QRT!$1:$1048576,MATCH(Model!$B126,QRT!$A:$A,0),MATCH(Model!AC$3,QRT!$4:$4,0)+3)</f>
        <v>208.03998133749906</v>
      </c>
      <c r="AD126" s="206" cm="1">
        <f t="array" ref="AD126">INDEX(QRT!$1:$1048576,MATCH(Model!$B126,QRT!$A:$A,0),MATCH(Model!AD$3,QRT!$4:$4,0)+3)</f>
        <v>160.08409072040345</v>
      </c>
      <c r="AE126" s="206" cm="1">
        <f t="array" ref="AE126">INDEX(QRT!$1:$1048576,MATCH(Model!$B126,QRT!$A:$A,0),MATCH(Model!AE$3,QRT!$4:$4,0)+3)</f>
        <v>151.19762429697423</v>
      </c>
      <c r="AF126" s="7">
        <f t="shared" ref="AF126:AN126" ca="1" si="112">AE126+AF122</f>
        <v>123.67203183045774</v>
      </c>
      <c r="AG126" s="7">
        <f t="shared" ca="1" si="112"/>
        <v>99.050261794051352</v>
      </c>
      <c r="AH126" s="7">
        <f t="shared" ca="1" si="112"/>
        <v>127.3933749191377</v>
      </c>
      <c r="AI126" s="7">
        <f t="shared" ca="1" si="112"/>
        <v>158.32400856914737</v>
      </c>
      <c r="AJ126" s="7">
        <f t="shared" ca="1" si="112"/>
        <v>224.28454167015124</v>
      </c>
      <c r="AK126" s="7">
        <f t="shared" ca="1" si="112"/>
        <v>338.10893302553961</v>
      </c>
      <c r="AL126" s="7">
        <f t="shared" ca="1" si="112"/>
        <v>495.94866339204293</v>
      </c>
      <c r="AM126" s="7">
        <f t="shared" ca="1" si="112"/>
        <v>835.50439989325127</v>
      </c>
      <c r="AN126" s="7">
        <f t="shared" ca="1" si="112"/>
        <v>1262.750264803396</v>
      </c>
      <c r="AO126" s="7"/>
    </row>
    <row r="127" spans="1:44" outlineLevel="1">
      <c r="B127" s="110" t="s">
        <v>237</v>
      </c>
      <c r="E127" s="70" t="s">
        <v>237</v>
      </c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25"/>
      <c r="Y127" s="225">
        <v>43.628999999999998</v>
      </c>
      <c r="Z127" s="225" cm="1">
        <f t="array" ref="Z127">INDEX(QRT!$1:$1048576,MATCH(Model!$B127,QRT!$A:$A,0),MATCH(Model!Z$3,QRT!$4:$4,0)+3)</f>
        <v>129.97900000000001</v>
      </c>
      <c r="AA127" s="225" cm="1">
        <f t="array" ref="AA127">INDEX(QRT!$1:$1048576,MATCH(Model!$B127,QRT!$A:$A,0),MATCH(Model!AA$3,QRT!$4:$4,0)+3)</f>
        <v>220.13800000000001</v>
      </c>
      <c r="AB127" s="225" cm="1">
        <f t="array" ref="AB127">INDEX(QRT!$1:$1048576,MATCH(Model!$B127,QRT!$A:$A,0),MATCH(Model!AB$3,QRT!$4:$4,0)+3)</f>
        <v>364.30799999999999</v>
      </c>
      <c r="AC127" s="206" cm="1">
        <f t="array" ref="AC127">INDEX(QRT!$1:$1048576,MATCH(Model!$B127,QRT!$A:$A,0),MATCH(Model!AC$3,QRT!$4:$4,0)+3)</f>
        <v>381.85786641246614</v>
      </c>
      <c r="AD127" s="206" cm="1">
        <f t="array" ref="AD127">INDEX(QRT!$1:$1048576,MATCH(Model!$B127,QRT!$A:$A,0),MATCH(Model!AD$3,QRT!$4:$4,0)+3)</f>
        <v>373.19548393659903</v>
      </c>
      <c r="AE127" s="206" cm="1">
        <f t="array" ref="AE127">INDEX(QRT!$1:$1048576,MATCH(Model!$B127,QRT!$A:$A,0),MATCH(Model!AE$3,QRT!$4:$4,0)+3)</f>
        <v>360.69264469223123</v>
      </c>
      <c r="AF127" s="7">
        <f t="shared" ref="AF127:AN127" si="113">(AF$156+SUM(AF$139:AF$142)-(AF$140-$AE$140))*AE127/SUM(AE$127:AE$129)</f>
        <v>350.36562215774501</v>
      </c>
      <c r="AG127" s="7">
        <f t="shared" si="113"/>
        <v>341.44854535020778</v>
      </c>
      <c r="AH127" s="7">
        <f t="shared" si="113"/>
        <v>335.96595391295887</v>
      </c>
      <c r="AI127" s="7">
        <f t="shared" si="113"/>
        <v>334.31731047916179</v>
      </c>
      <c r="AJ127" s="7">
        <f t="shared" si="113"/>
        <v>336.98387027605833</v>
      </c>
      <c r="AK127" s="7">
        <f t="shared" si="113"/>
        <v>344.2265518612171</v>
      </c>
      <c r="AL127" s="7">
        <f t="shared" si="113"/>
        <v>356.23299033963696</v>
      </c>
      <c r="AM127" s="7">
        <f t="shared" si="113"/>
        <v>373.09404170677124</v>
      </c>
      <c r="AN127" s="7">
        <f t="shared" si="113"/>
        <v>395.10132118765785</v>
      </c>
      <c r="AO127" s="7"/>
    </row>
    <row r="128" spans="1:44" outlineLevel="1">
      <c r="B128" s="110" t="s">
        <v>238</v>
      </c>
      <c r="E128" s="70" t="s">
        <v>238</v>
      </c>
      <c r="H128" s="225"/>
      <c r="I128" s="225"/>
      <c r="J128" s="225"/>
      <c r="K128" s="225"/>
      <c r="L128" s="225"/>
      <c r="M128" s="225"/>
      <c r="N128" s="225"/>
      <c r="O128" s="225"/>
      <c r="P128" s="225"/>
      <c r="Q128" s="225"/>
      <c r="R128" s="225"/>
      <c r="S128" s="225"/>
      <c r="T128" s="225"/>
      <c r="U128" s="225"/>
      <c r="V128" s="225"/>
      <c r="W128" s="225"/>
      <c r="X128" s="225"/>
      <c r="Y128" s="225">
        <v>11.163</v>
      </c>
      <c r="Z128" s="225" cm="1">
        <f t="array" ref="Z128">INDEX(QRT!$1:$1048576,MATCH(Model!$B128,QRT!$A:$A,0),MATCH(Model!Z$3,QRT!$4:$4,0)+3)</f>
        <v>12.391999999999999</v>
      </c>
      <c r="AA128" s="225" cm="1">
        <f t="array" ref="AA128">INDEX(QRT!$1:$1048576,MATCH(Model!$B128,QRT!$A:$A,0),MATCH(Model!AA$3,QRT!$4:$4,0)+3)</f>
        <v>23.376000000000001</v>
      </c>
      <c r="AB128" s="225" cm="1">
        <f t="array" ref="AB128">INDEX(QRT!$1:$1048576,MATCH(Model!$B128,QRT!$A:$A,0),MATCH(Model!AB$3,QRT!$4:$4,0)+3)</f>
        <v>37.868000000000002</v>
      </c>
      <c r="AC128" s="206" cm="1">
        <f t="array" ref="AC128">INDEX(QRT!$1:$1048576,MATCH(Model!$B128,QRT!$A:$A,0),MATCH(Model!AC$3,QRT!$4:$4,0)+3)</f>
        <v>84.722520857618051</v>
      </c>
      <c r="AD128" s="206" cm="1">
        <f t="array" ref="AD128">INDEX(QRT!$1:$1048576,MATCH(Model!$B128,QRT!$A:$A,0),MATCH(Model!AD$3,QRT!$4:$4,0)+3)</f>
        <v>82.800604499358229</v>
      </c>
      <c r="AE128" s="206" cm="1">
        <f t="array" ref="AE128">INDEX(QRT!$1:$1048576,MATCH(Model!$B128,QRT!$A:$A,0),MATCH(Model!AE$3,QRT!$4:$4,0)+3)</f>
        <v>80.026608853773638</v>
      </c>
      <c r="AF128" s="7">
        <f t="shared" ref="AF128:AN128" si="114">(AF$156+SUM(AF$139:AF$142)-(AF$140-$AE$140))*AE128/SUM(AE$127:AE$129)</f>
        <v>77.735360043594525</v>
      </c>
      <c r="AG128" s="7">
        <f t="shared" si="114"/>
        <v>75.756934843366949</v>
      </c>
      <c r="AH128" s="7">
        <f t="shared" si="114"/>
        <v>74.540516358237753</v>
      </c>
      <c r="AI128" s="7">
        <f t="shared" si="114"/>
        <v>74.174733065572056</v>
      </c>
      <c r="AJ128" s="7">
        <f t="shared" si="114"/>
        <v>74.766360704759222</v>
      </c>
      <c r="AK128" s="7">
        <f t="shared" si="114"/>
        <v>76.373289082138513</v>
      </c>
      <c r="AL128" s="7">
        <f t="shared" si="114"/>
        <v>79.037148658923755</v>
      </c>
      <c r="AM128" s="7">
        <f t="shared" si="114"/>
        <v>82.778097587262408</v>
      </c>
      <c r="AN128" s="7">
        <f t="shared" si="114"/>
        <v>87.660836320277994</v>
      </c>
      <c r="AO128" s="7"/>
    </row>
    <row r="129" spans="1:41" outlineLevel="1">
      <c r="B129" s="110" t="s">
        <v>239</v>
      </c>
      <c r="E129" s="70" t="s">
        <v>239</v>
      </c>
      <c r="H129" s="225"/>
      <c r="I129" s="225"/>
      <c r="J129" s="225"/>
      <c r="K129" s="225"/>
      <c r="L129" s="225"/>
      <c r="M129" s="225"/>
      <c r="N129" s="225"/>
      <c r="O129" s="225"/>
      <c r="P129" s="225"/>
      <c r="Q129" s="225"/>
      <c r="R129" s="225"/>
      <c r="S129" s="225"/>
      <c r="T129" s="225"/>
      <c r="U129" s="225"/>
      <c r="V129" s="225"/>
      <c r="W129" s="225"/>
      <c r="X129" s="225"/>
      <c r="Y129" s="225">
        <v>2.1579999999999999</v>
      </c>
      <c r="Z129" s="225" cm="1">
        <f t="array" ref="Z129">INDEX(QRT!$1:$1048576,MATCH(Model!$B129,QRT!$A:$A,0),MATCH(Model!Z$3,QRT!$4:$4,0)+3)</f>
        <v>5.758</v>
      </c>
      <c r="AA129" s="225" cm="1">
        <f t="array" ref="AA129">INDEX(QRT!$1:$1048576,MATCH(Model!$B129,QRT!$A:$A,0),MATCH(Model!AA$3,QRT!$4:$4,0)+3)</f>
        <v>15.231999999999999</v>
      </c>
      <c r="AB129" s="225" cm="1">
        <f t="array" ref="AB129">INDEX(QRT!$1:$1048576,MATCH(Model!$B129,QRT!$A:$A,0),MATCH(Model!AB$3,QRT!$4:$4,0)+3)</f>
        <v>10.375999999999999</v>
      </c>
      <c r="AC129" s="206" cm="1">
        <f t="array" ref="AC129">INDEX(QRT!$1:$1048576,MATCH(Model!$B129,QRT!$A:$A,0),MATCH(Model!AC$3,QRT!$4:$4,0)+3)</f>
        <v>16.471427230128104</v>
      </c>
      <c r="AD129" s="206" cm="1">
        <f t="array" ref="AD129">INDEX(QRT!$1:$1048576,MATCH(Model!$B129,QRT!$A:$A,0),MATCH(Model!AD$3,QRT!$4:$4,0)+3)</f>
        <v>16.097775630564982</v>
      </c>
      <c r="AE129" s="206" cm="1">
        <f t="array" ref="AE129">INDEX(QRT!$1:$1048576,MATCH(Model!$B129,QRT!$A:$A,0),MATCH(Model!AE$3,QRT!$4:$4,0)+3)</f>
        <v>15.558466047346531</v>
      </c>
      <c r="AF129" s="7">
        <f t="shared" ref="AF129:AN129" si="115">(AF$156+SUM(AF$139:AF$142)-(AF$140-$AE$140))*AE129/SUM(AE$127:AE$129)</f>
        <v>15.11301025045862</v>
      </c>
      <c r="AG129" s="7">
        <f t="shared" si="115"/>
        <v>14.728372418794409</v>
      </c>
      <c r="AH129" s="7">
        <f t="shared" si="115"/>
        <v>14.491881007108724</v>
      </c>
      <c r="AI129" s="7">
        <f t="shared" si="115"/>
        <v>14.420766823699743</v>
      </c>
      <c r="AJ129" s="7">
        <f t="shared" si="115"/>
        <v>14.535788797875663</v>
      </c>
      <c r="AK129" s="7">
        <f t="shared" si="115"/>
        <v>14.848201643528743</v>
      </c>
      <c r="AL129" s="7">
        <f t="shared" si="115"/>
        <v>15.366098995096426</v>
      </c>
      <c r="AM129" s="7">
        <f t="shared" si="115"/>
        <v>16.093399923126064</v>
      </c>
      <c r="AN129" s="7">
        <f t="shared" si="115"/>
        <v>17.042683241309611</v>
      </c>
      <c r="AO129" s="7"/>
    </row>
    <row r="130" spans="1:41" s="3" customFormat="1" outlineLevel="1">
      <c r="A130" s="110" t="s">
        <v>180</v>
      </c>
      <c r="B130" s="110"/>
      <c r="C130" s="143"/>
      <c r="E130" s="2" t="s">
        <v>140</v>
      </c>
      <c r="F130" s="2"/>
      <c r="G130" s="2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>
        <f t="shared" ref="Y130:AN130" si="116">SUM(Y126:Y129)</f>
        <v>67.085999999999999</v>
      </c>
      <c r="Z130" s="8">
        <f t="shared" si="116"/>
        <v>162.85100000000003</v>
      </c>
      <c r="AA130" s="8">
        <f t="shared" si="116"/>
        <v>287.18399999999997</v>
      </c>
      <c r="AB130" s="8">
        <f t="shared" si="116"/>
        <v>477.31899999999996</v>
      </c>
      <c r="AC130" s="8">
        <f t="shared" si="116"/>
        <v>691.0917958377114</v>
      </c>
      <c r="AD130" s="8">
        <f t="shared" si="116"/>
        <v>632.17795478692574</v>
      </c>
      <c r="AE130" s="8">
        <f t="shared" si="116"/>
        <v>607.47534389032558</v>
      </c>
      <c r="AF130" s="8">
        <f t="shared" ca="1" si="116"/>
        <v>566.8860242822559</v>
      </c>
      <c r="AG130" s="8">
        <f t="shared" ca="1" si="116"/>
        <v>530.98411440642042</v>
      </c>
      <c r="AH130" s="8">
        <f t="shared" ca="1" si="116"/>
        <v>552.39172619744306</v>
      </c>
      <c r="AI130" s="8">
        <f t="shared" ca="1" si="116"/>
        <v>581.23681893758089</v>
      </c>
      <c r="AJ130" s="8">
        <f t="shared" ca="1" si="116"/>
        <v>650.57056144884439</v>
      </c>
      <c r="AK130" s="8">
        <f t="shared" ca="1" si="116"/>
        <v>773.55697561242403</v>
      </c>
      <c r="AL130" s="8">
        <f t="shared" ca="1" si="116"/>
        <v>946.58490138570016</v>
      </c>
      <c r="AM130" s="8">
        <f t="shared" ca="1" si="116"/>
        <v>1307.4699391104109</v>
      </c>
      <c r="AN130" s="8">
        <f t="shared" ca="1" si="116"/>
        <v>1762.5551055526414</v>
      </c>
      <c r="AO130" s="64"/>
    </row>
    <row r="131" spans="1:41" outlineLevel="1">
      <c r="A131" s="110" t="s">
        <v>141</v>
      </c>
      <c r="B131" s="110" t="s">
        <v>141</v>
      </c>
      <c r="E131" s="70" t="s">
        <v>240</v>
      </c>
      <c r="H131" s="225"/>
      <c r="I131" s="225"/>
      <c r="J131" s="225"/>
      <c r="K131" s="225"/>
      <c r="L131" s="225"/>
      <c r="M131" s="225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25"/>
      <c r="Y131" s="225">
        <v>3.1869999999999998</v>
      </c>
      <c r="Z131" s="225" cm="1">
        <f t="array" ref="Z131">INDEX(QRT!$1:$1048576,MATCH(Model!$B131,QRT!$A:$A,0),MATCH(Model!Z$3,QRT!$4:$4,0)+3)</f>
        <v>7.3570000000000002</v>
      </c>
      <c r="AA131" s="225" cm="1">
        <f t="array" ref="AA131">INDEX(QRT!$1:$1048576,MATCH(Model!$B131,QRT!$A:$A,0),MATCH(Model!AA$3,QRT!$4:$4,0)+3)</f>
        <v>27.428000000000001</v>
      </c>
      <c r="AB131" s="225" cm="1">
        <f t="array" ref="AB131">INDEX(QRT!$1:$1048576,MATCH(Model!$B131,QRT!$A:$A,0),MATCH(Model!AB$3,QRT!$4:$4,0)+3)</f>
        <v>23.558</v>
      </c>
      <c r="AC131" s="206" cm="1">
        <f t="array" ref="AC131">INDEX(QRT!$1:$1048576,MATCH(Model!$B131,QRT!$A:$A,0),MATCH(Model!AC$3,QRT!$4:$4,0)+3)</f>
        <v>34.928548456896593</v>
      </c>
      <c r="AD131" s="206" cm="1">
        <f t="array" ref="AD131">INDEX(QRT!$1:$1048576,MATCH(Model!$B131,QRT!$A:$A,0),MATCH(Model!AD$3,QRT!$4:$4,0)+3)</f>
        <v>42.046587718258372</v>
      </c>
      <c r="AE131" s="206" cm="1">
        <f t="array" ref="AE131">INDEX(QRT!$1:$1048576,MATCH(Model!$B131,QRT!$A:$A,0),MATCH(Model!AE$3,QRT!$4:$4,0)+3)</f>
        <v>57.047414180661221</v>
      </c>
      <c r="AF131" s="89">
        <f ca="1">AF202+AF211</f>
        <v>70.147950968798071</v>
      </c>
      <c r="AG131" s="89">
        <f t="shared" ref="AG131:AN131" ca="1" si="117">AG202+AG211</f>
        <v>91.379730826359477</v>
      </c>
      <c r="AH131" s="89">
        <f t="shared" ca="1" si="117"/>
        <v>114.50939746911953</v>
      </c>
      <c r="AI131" s="89">
        <f t="shared" ca="1" si="117"/>
        <v>139.58812837306482</v>
      </c>
      <c r="AJ131" s="89">
        <f t="shared" ca="1" si="117"/>
        <v>166.41445144930651</v>
      </c>
      <c r="AK131" s="89">
        <f t="shared" ca="1" si="117"/>
        <v>195.01698154935957</v>
      </c>
      <c r="AL131" s="89">
        <f t="shared" ca="1" si="117"/>
        <v>225.47242064203246</v>
      </c>
      <c r="AM131" s="89">
        <f t="shared" ca="1" si="117"/>
        <v>258.09578027806037</v>
      </c>
      <c r="AN131" s="89">
        <f t="shared" ca="1" si="117"/>
        <v>293.00247862925607</v>
      </c>
      <c r="AO131" s="7"/>
    </row>
    <row r="132" spans="1:41" outlineLevel="1">
      <c r="A132" s="110" t="s">
        <v>142</v>
      </c>
      <c r="B132" s="110" t="s">
        <v>142</v>
      </c>
      <c r="E132" s="70" t="s">
        <v>142</v>
      </c>
      <c r="H132" s="225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25"/>
      <c r="Y132" s="225">
        <v>24.027000000000001</v>
      </c>
      <c r="Z132" s="225" cm="1">
        <f t="array" ref="Z132">INDEX(QRT!$1:$1048576,MATCH(Model!$B132,QRT!$A:$A,0),MATCH(Model!Z$3,QRT!$4:$4,0)+3)</f>
        <v>32.613999999999997</v>
      </c>
      <c r="AA132" s="225" cm="1">
        <f t="array" ref="AA132">INDEX(QRT!$1:$1048576,MATCH(Model!$B132,QRT!$A:$A,0),MATCH(Model!AA$3,QRT!$4:$4,0)+3)</f>
        <v>80.271000000000001</v>
      </c>
      <c r="AB132" s="225" cm="1">
        <f t="array" ref="AB132">INDEX(QRT!$1:$1048576,MATCH(Model!$B132,QRT!$A:$A,0),MATCH(Model!AB$3,QRT!$4:$4,0)+3)</f>
        <v>110.068</v>
      </c>
      <c r="AC132" s="206" cm="1">
        <f t="array" ref="AC132">INDEX(QRT!$1:$1048576,MATCH(Model!$B132,QRT!$A:$A,0),MATCH(Model!AC$3,QRT!$4:$4,0)+3)</f>
        <v>334.73817613075948</v>
      </c>
      <c r="AD132" s="206" cm="1">
        <f t="array" ref="AD132">INDEX(QRT!$1:$1048576,MATCH(Model!$B132,QRT!$A:$A,0),MATCH(Model!AD$3,QRT!$4:$4,0)+3)</f>
        <v>443.1820256446386</v>
      </c>
      <c r="AE132" s="206" cm="1">
        <f t="array" ref="AE132">INDEX(QRT!$1:$1048576,MATCH(Model!$B132,QRT!$A:$A,0),MATCH(Model!AE$3,QRT!$4:$4,0)+3)</f>
        <v>597.33096181485132</v>
      </c>
      <c r="AF132" s="7">
        <f t="shared" ref="AF132:AN132" si="118">AE132+AF254</f>
        <v>787.26811835987041</v>
      </c>
      <c r="AG132" s="7">
        <f t="shared" si="118"/>
        <v>1016.5927343948149</v>
      </c>
      <c r="AH132" s="7">
        <f t="shared" si="118"/>
        <v>1266.077756235029</v>
      </c>
      <c r="AI132" s="7">
        <f t="shared" si="118"/>
        <v>1536.5632007890661</v>
      </c>
      <c r="AJ132" s="7">
        <f t="shared" si="118"/>
        <v>1825.5290173312669</v>
      </c>
      <c r="AK132" s="7">
        <f t="shared" si="118"/>
        <v>2133.5352171340005</v>
      </c>
      <c r="AL132" s="7">
        <f t="shared" si="118"/>
        <v>2461.1418114696353</v>
      </c>
      <c r="AM132" s="7">
        <f t="shared" si="118"/>
        <v>2808.9088116105399</v>
      </c>
      <c r="AN132" s="7">
        <f t="shared" si="118"/>
        <v>3177.3962288290832</v>
      </c>
      <c r="AO132" s="7"/>
    </row>
    <row r="133" spans="1:41" outlineLevel="1">
      <c r="A133" s="110" t="s">
        <v>143</v>
      </c>
      <c r="B133" s="110" t="s">
        <v>143</v>
      </c>
      <c r="E133" s="70" t="s">
        <v>143</v>
      </c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25"/>
      <c r="Y133" s="225">
        <v>14.026999999999999</v>
      </c>
      <c r="Z133" s="225" cm="1">
        <f t="array" ref="Z133">INDEX(QRT!$1:$1048576,MATCH(Model!$B133,QRT!$A:$A,0),MATCH(Model!Z$3,QRT!$4:$4,0)+3)</f>
        <v>46.033000000000001</v>
      </c>
      <c r="AA133" s="225" cm="1">
        <f t="array" ref="AA133">INDEX(QRT!$1:$1048576,MATCH(Model!$B133,QRT!$A:$A,0),MATCH(Model!AA$3,QRT!$4:$4,0)+3)</f>
        <v>92.046999999999997</v>
      </c>
      <c r="AB133" s="225" cm="1">
        <f t="array" ref="AB133">INDEX(QRT!$1:$1048576,MATCH(Model!$B133,QRT!$A:$A,0),MATCH(Model!AB$3,QRT!$4:$4,0)+3)</f>
        <v>108.926</v>
      </c>
      <c r="AC133" s="206" cm="1">
        <f t="array" ref="AC133">INDEX(QRT!$1:$1048576,MATCH(Model!$B133,QRT!$A:$A,0),MATCH(Model!AC$3,QRT!$4:$4,0)+3)</f>
        <v>237.28584079609459</v>
      </c>
      <c r="AD133" s="206" cm="1">
        <f t="array" ref="AD133">INDEX(QRT!$1:$1048576,MATCH(Model!$B133,QRT!$A:$A,0),MATCH(Model!AD$3,QRT!$4:$4,0)+3)</f>
        <v>291.35673761667988</v>
      </c>
      <c r="AE133" s="206" cm="1">
        <f t="array" ref="AE133">INDEX(QRT!$1:$1048576,MATCH(Model!$B133,QRT!$A:$A,0),MATCH(Model!AE$3,QRT!$4:$4,0)+3)</f>
        <v>373.03314192166789</v>
      </c>
      <c r="AF133" s="7">
        <f>AF221</f>
        <v>478.88648668435712</v>
      </c>
      <c r="AG133" s="7">
        <f t="shared" ref="AG133:AN133" si="119">AG221</f>
        <v>601.92467290333059</v>
      </c>
      <c r="AH133" s="7">
        <f t="shared" si="119"/>
        <v>722.80100784362855</v>
      </c>
      <c r="AI133" s="7">
        <f t="shared" si="119"/>
        <v>842.33567834640758</v>
      </c>
      <c r="AJ133" s="7">
        <f t="shared" si="119"/>
        <v>958.33245847508056</v>
      </c>
      <c r="AK133" s="7">
        <f t="shared" si="119"/>
        <v>1071.5743459843027</v>
      </c>
      <c r="AL133" s="7">
        <f t="shared" si="119"/>
        <v>1182.7175461405159</v>
      </c>
      <c r="AM133" s="7">
        <f t="shared" si="119"/>
        <v>1292.308263419407</v>
      </c>
      <c r="AN133" s="7">
        <f t="shared" si="119"/>
        <v>1398.4647559719247</v>
      </c>
      <c r="AO133" s="7"/>
    </row>
    <row r="134" spans="1:41" outlineLevel="1">
      <c r="A134" s="110" t="s">
        <v>139</v>
      </c>
      <c r="B134" s="110"/>
      <c r="E134" s="70" t="s">
        <v>139</v>
      </c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25"/>
      <c r="Y134" s="225">
        <v>0</v>
      </c>
      <c r="Z134" s="225">
        <v>0</v>
      </c>
      <c r="AA134" s="225">
        <v>0</v>
      </c>
      <c r="AB134" s="225">
        <v>0</v>
      </c>
      <c r="AC134" s="165">
        <v>0</v>
      </c>
      <c r="AD134" s="165">
        <f>AC134</f>
        <v>0</v>
      </c>
      <c r="AE134" s="165">
        <f>AD134</f>
        <v>0</v>
      </c>
      <c r="AF134" s="165">
        <f t="shared" ref="AF134:AN134" si="120">AE134</f>
        <v>0</v>
      </c>
      <c r="AG134" s="165">
        <f t="shared" si="120"/>
        <v>0</v>
      </c>
      <c r="AH134" s="165">
        <f t="shared" si="120"/>
        <v>0</v>
      </c>
      <c r="AI134" s="165">
        <f t="shared" si="120"/>
        <v>0</v>
      </c>
      <c r="AJ134" s="165">
        <f t="shared" si="120"/>
        <v>0</v>
      </c>
      <c r="AK134" s="165">
        <f t="shared" si="120"/>
        <v>0</v>
      </c>
      <c r="AL134" s="165">
        <f t="shared" si="120"/>
        <v>0</v>
      </c>
      <c r="AM134" s="165">
        <f t="shared" si="120"/>
        <v>0</v>
      </c>
      <c r="AN134" s="165">
        <f t="shared" si="120"/>
        <v>0</v>
      </c>
      <c r="AO134" s="7"/>
    </row>
    <row r="135" spans="1:41" outlineLevel="1">
      <c r="B135" s="110" t="s">
        <v>357</v>
      </c>
      <c r="E135" s="70" t="s">
        <v>127</v>
      </c>
      <c r="H135" s="225"/>
      <c r="I135" s="225"/>
      <c r="J135" s="225"/>
      <c r="K135" s="225"/>
      <c r="L135" s="225"/>
      <c r="M135" s="225"/>
      <c r="N135" s="225"/>
      <c r="O135" s="225"/>
      <c r="P135" s="225"/>
      <c r="Q135" s="225"/>
      <c r="R135" s="225"/>
      <c r="S135" s="225"/>
      <c r="T135" s="225"/>
      <c r="U135" s="225"/>
      <c r="V135" s="225"/>
      <c r="W135" s="225"/>
      <c r="X135" s="225"/>
      <c r="Y135" s="225">
        <v>0</v>
      </c>
      <c r="Z135" s="225" cm="1">
        <f t="array" ref="Z135">INDEX(QRT!$1:$1048576,MATCH(Model!$B135,QRT!$A:$A,0),MATCH(Model!Z$3,QRT!$4:$4,0)+3)</f>
        <v>7.4429999999999996</v>
      </c>
      <c r="AA135" s="225" cm="1">
        <f t="array" ref="AA135">INDEX(QRT!$1:$1048576,MATCH(Model!$B135,QRT!$A:$A,0),MATCH(Model!AA$3,QRT!$4:$4,0)+3)</f>
        <v>1.954</v>
      </c>
      <c r="AB135" s="225" cm="1">
        <f t="array" ref="AB135">INDEX(QRT!$1:$1048576,MATCH(Model!$B135,QRT!$A:$A,0),MATCH(Model!AB$3,QRT!$4:$4,0)+3)</f>
        <v>0.749</v>
      </c>
      <c r="AC135" s="206" cm="1">
        <f t="array" ref="AC135">INDEX(QRT!$1:$1048576,MATCH(Model!$B135,QRT!$A:$A,0),MATCH(Model!AC$3,QRT!$4:$4,0)+3)</f>
        <v>1.272</v>
      </c>
      <c r="AD135" s="206" cm="1">
        <f t="array" ref="AD135">INDEX(QRT!$1:$1048576,MATCH(Model!$B135,QRT!$A:$A,0),MATCH(Model!AD$3,QRT!$4:$4,0)+3)</f>
        <v>1.272</v>
      </c>
      <c r="AE135" s="206" cm="1">
        <f t="array" ref="AE135">INDEX(QRT!$1:$1048576,MATCH(Model!$B135,QRT!$A:$A,0),MATCH(Model!AE$3,QRT!$4:$4,0)+3)</f>
        <v>1.272</v>
      </c>
      <c r="AF135" s="74">
        <f t="shared" ref="AF135:AN135" si="121">AE135</f>
        <v>1.272</v>
      </c>
      <c r="AG135" s="74">
        <f t="shared" si="121"/>
        <v>1.272</v>
      </c>
      <c r="AH135" s="74">
        <f t="shared" si="121"/>
        <v>1.272</v>
      </c>
      <c r="AI135" s="74">
        <f t="shared" si="121"/>
        <v>1.272</v>
      </c>
      <c r="AJ135" s="74">
        <f t="shared" si="121"/>
        <v>1.272</v>
      </c>
      <c r="AK135" s="74">
        <f t="shared" si="121"/>
        <v>1.272</v>
      </c>
      <c r="AL135" s="74">
        <f t="shared" si="121"/>
        <v>1.272</v>
      </c>
      <c r="AM135" s="74">
        <f t="shared" si="121"/>
        <v>1.272</v>
      </c>
      <c r="AN135" s="74">
        <f t="shared" si="121"/>
        <v>1.272</v>
      </c>
      <c r="AO135" s="7"/>
    </row>
    <row r="136" spans="1:41" s="3" customFormat="1" outlineLevel="1">
      <c r="A136" s="110" t="s">
        <v>182</v>
      </c>
      <c r="B136" s="110"/>
      <c r="C136" s="143"/>
      <c r="E136" s="2" t="s">
        <v>144</v>
      </c>
      <c r="F136" s="2"/>
      <c r="G136" s="2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>
        <f t="shared" ref="Y136:AN136" si="122">SUM(Y130:Y135)</f>
        <v>108.327</v>
      </c>
      <c r="Z136" s="8">
        <f t="shared" si="122"/>
        <v>256.298</v>
      </c>
      <c r="AA136" s="8">
        <f t="shared" si="122"/>
        <v>488.88399999999996</v>
      </c>
      <c r="AB136" s="8">
        <f t="shared" si="122"/>
        <v>720.62</v>
      </c>
      <c r="AC136" s="8">
        <f t="shared" si="122"/>
        <v>1299.3163612214619</v>
      </c>
      <c r="AD136" s="8">
        <f t="shared" si="122"/>
        <v>1410.0353057665025</v>
      </c>
      <c r="AE136" s="8">
        <f t="shared" si="122"/>
        <v>1636.1588618075059</v>
      </c>
      <c r="AF136" s="8">
        <f t="shared" ca="1" si="122"/>
        <v>1904.4605802952815</v>
      </c>
      <c r="AG136" s="8">
        <f t="shared" ca="1" si="122"/>
        <v>2242.1532525309253</v>
      </c>
      <c r="AH136" s="8">
        <f t="shared" ca="1" si="122"/>
        <v>2657.05188774522</v>
      </c>
      <c r="AI136" s="8">
        <f t="shared" ca="1" si="122"/>
        <v>3100.9958264461193</v>
      </c>
      <c r="AJ136" s="8">
        <f t="shared" ca="1" si="122"/>
        <v>3602.1184887044983</v>
      </c>
      <c r="AK136" s="8">
        <f t="shared" ca="1" si="122"/>
        <v>4174.9555202800866</v>
      </c>
      <c r="AL136" s="8">
        <f t="shared" ca="1" si="122"/>
        <v>4817.188679637884</v>
      </c>
      <c r="AM136" s="8">
        <f t="shared" ca="1" si="122"/>
        <v>5668.0547944184182</v>
      </c>
      <c r="AN136" s="8">
        <f t="shared" ca="1" si="122"/>
        <v>6632.6905689829046</v>
      </c>
      <c r="AO136" s="64"/>
    </row>
    <row r="137" spans="1:41" outlineLevel="1">
      <c r="B137" s="11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56"/>
      <c r="W137" s="56"/>
      <c r="X137" s="7"/>
      <c r="Y137" s="7"/>
      <c r="Z137" s="68"/>
      <c r="AA137" s="68"/>
      <c r="AB137" s="68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</row>
    <row r="138" spans="1:41" outlineLevel="1">
      <c r="A138" s="110" t="s">
        <v>183</v>
      </c>
      <c r="B138" s="110" t="s">
        <v>183</v>
      </c>
      <c r="E138" s="70" t="s">
        <v>145</v>
      </c>
      <c r="H138" s="225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25"/>
      <c r="Y138" s="225">
        <v>37.243000000000002</v>
      </c>
      <c r="Z138" s="225" cm="1">
        <f t="array" ref="Z138">INDEX(QRT!$1:$1048576,MATCH(Model!$B138,QRT!$A:$A,0),MATCH(Model!Z$3,QRT!$4:$4,0)+3)</f>
        <v>75.992999999999995</v>
      </c>
      <c r="AA138" s="225" cm="1">
        <f t="array" ref="AA138">INDEX(QRT!$1:$1048576,MATCH(Model!$B138,QRT!$A:$A,0),MATCH(Model!AA$3,QRT!$4:$4,0)+3)</f>
        <v>150.86599999999999</v>
      </c>
      <c r="AB138" s="225" cm="1">
        <f t="array" ref="AB138">INDEX(QRT!$1:$1048576,MATCH(Model!$B138,QRT!$A:$A,0),MATCH(Model!AB$3,QRT!$4:$4,0)+3)</f>
        <v>133.28100000000001</v>
      </c>
      <c r="AC138" s="206" cm="1">
        <f t="array" ref="AC138">INDEX(QRT!$1:$1048576,MATCH(Model!$B138,QRT!$A:$A,0),MATCH(Model!AC$3,QRT!$4:$4,0)+3)</f>
        <v>0.84899999999999998</v>
      </c>
      <c r="AD138" s="206" cm="1">
        <f t="array" ref="AD138">INDEX(QRT!$1:$1048576,MATCH(Model!$B138,QRT!$A:$A,0),MATCH(Model!AD$3,QRT!$4:$4,0)+3)</f>
        <v>0.84899999999999998</v>
      </c>
      <c r="AE138" s="206" cm="1">
        <f t="array" ref="AE138">INDEX(QRT!$1:$1048576,MATCH(Model!$B138,QRT!$A:$A,0),MATCH(Model!AE$3,QRT!$4:$4,0)+3)</f>
        <v>0.84899999999999998</v>
      </c>
      <c r="AF138" s="74">
        <f t="shared" ref="AF138:AN138" si="123">AE138</f>
        <v>0.84899999999999998</v>
      </c>
      <c r="AG138" s="74">
        <f t="shared" si="123"/>
        <v>0.84899999999999998</v>
      </c>
      <c r="AH138" s="74">
        <f t="shared" si="123"/>
        <v>0.84899999999999998</v>
      </c>
      <c r="AI138" s="74">
        <f t="shared" si="123"/>
        <v>0.84899999999999998</v>
      </c>
      <c r="AJ138" s="74">
        <f t="shared" si="123"/>
        <v>0.84899999999999998</v>
      </c>
      <c r="AK138" s="74">
        <f t="shared" si="123"/>
        <v>0.84899999999999998</v>
      </c>
      <c r="AL138" s="74">
        <f t="shared" si="123"/>
        <v>0.84899999999999998</v>
      </c>
      <c r="AM138" s="74">
        <f t="shared" si="123"/>
        <v>0.84899999999999998</v>
      </c>
      <c r="AN138" s="74">
        <f t="shared" si="123"/>
        <v>0.84899999999999998</v>
      </c>
      <c r="AO138" s="7"/>
    </row>
    <row r="139" spans="1:41" outlineLevel="1">
      <c r="B139" s="110" t="s">
        <v>146</v>
      </c>
      <c r="E139" s="70" t="s">
        <v>146</v>
      </c>
      <c r="H139" s="225"/>
      <c r="I139" s="225"/>
      <c r="J139" s="225"/>
      <c r="K139" s="225"/>
      <c r="L139" s="225"/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25"/>
      <c r="Y139" s="225">
        <v>51.097999999999999</v>
      </c>
      <c r="Z139" s="225" cm="1">
        <f t="array" ref="Z139">INDEX(QRT!$1:$1048576,MATCH(Model!$B139,QRT!$A:$A,0),MATCH(Model!Z$3,QRT!$4:$4,0)+3)</f>
        <v>136.208</v>
      </c>
      <c r="AA139" s="225" cm="1">
        <f t="array" ref="AA139">INDEX(QRT!$1:$1048576,MATCH(Model!$B139,QRT!$A:$A,0),MATCH(Model!AA$3,QRT!$4:$4,0)+3)</f>
        <v>248.21799999999999</v>
      </c>
      <c r="AB139" s="225" cm="1">
        <f t="array" ref="AB139">INDEX(QRT!$1:$1048576,MATCH(Model!$B139,QRT!$A:$A,0),MATCH(Model!AB$3,QRT!$4:$4,0)+3)</f>
        <v>398.00299999999999</v>
      </c>
      <c r="AC139" s="206" cm="1">
        <f t="array" ref="AC139">INDEX(QRT!$1:$1048576,MATCH(Model!$B139,QRT!$A:$A,0),MATCH(Model!AC$3,QRT!$4:$4,0)+3)</f>
        <v>446.56</v>
      </c>
      <c r="AD139" s="206" cm="1">
        <f t="array" ref="AD139">INDEX(QRT!$1:$1048576,MATCH(Model!$B139,QRT!$A:$A,0),MATCH(Model!AD$3,QRT!$4:$4,0)+3)</f>
        <v>446.56</v>
      </c>
      <c r="AE139" s="206" cm="1">
        <f t="array" ref="AE139">INDEX(QRT!$1:$1048576,MATCH(Model!$B139,QRT!$A:$A,0),MATCH(Model!AE$3,QRT!$4:$4,0)+3)</f>
        <v>446.56</v>
      </c>
      <c r="AF139" s="74">
        <f t="shared" ref="AF139:AN139" si="124">AE139</f>
        <v>446.56</v>
      </c>
      <c r="AG139" s="74">
        <f t="shared" si="124"/>
        <v>446.56</v>
      </c>
      <c r="AH139" s="74">
        <f t="shared" si="124"/>
        <v>446.56</v>
      </c>
      <c r="AI139" s="74">
        <f t="shared" si="124"/>
        <v>446.56</v>
      </c>
      <c r="AJ139" s="74">
        <f t="shared" si="124"/>
        <v>446.56</v>
      </c>
      <c r="AK139" s="74">
        <f t="shared" si="124"/>
        <v>446.56</v>
      </c>
      <c r="AL139" s="74">
        <f t="shared" si="124"/>
        <v>446.56</v>
      </c>
      <c r="AM139" s="74">
        <f t="shared" si="124"/>
        <v>446.56</v>
      </c>
      <c r="AN139" s="74">
        <f t="shared" si="124"/>
        <v>446.56</v>
      </c>
      <c r="AO139" s="7"/>
    </row>
    <row r="140" spans="1:41" outlineLevel="1">
      <c r="B140" s="110" t="s">
        <v>358</v>
      </c>
      <c r="E140" s="70" t="s">
        <v>241</v>
      </c>
      <c r="H140" s="225"/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25"/>
      <c r="Y140" s="225">
        <f>8.324+2.356</f>
        <v>10.68</v>
      </c>
      <c r="Z140" s="225" cm="1">
        <f t="array" ref="Z140">INDEX(QRT!$1:$1048576,MATCH(Model!$B140,QRT!$A:$A,0),MATCH(Model!Z$3,QRT!$4:$4,0)+3)</f>
        <v>19.486999999999998</v>
      </c>
      <c r="AA140" s="225" cm="1">
        <f t="array" ref="AA140">INDEX(QRT!$1:$1048576,MATCH(Model!$B140,QRT!$A:$A,0),MATCH(Model!AA$3,QRT!$4:$4,0)+3)</f>
        <v>35.734000000000002</v>
      </c>
      <c r="AB140" s="225" cm="1">
        <f t="array" ref="AB140">INDEX(QRT!$1:$1048576,MATCH(Model!$B140,QRT!$A:$A,0),MATCH(Model!AB$3,QRT!$4:$4,0)+3)</f>
        <v>22.125</v>
      </c>
      <c r="AC140" s="206" cm="1">
        <f t="array" ref="AC140">INDEX(QRT!$1:$1048576,MATCH(Model!$B140,QRT!$A:$A,0),MATCH(Model!AC$3,QRT!$4:$4,0)+3)</f>
        <v>36.432594446673932</v>
      </c>
      <c r="AD140" s="206" cm="1">
        <f t="array" ref="AD140">INDEX(QRT!$1:$1048576,MATCH(Model!$B140,QRT!$A:$A,0),MATCH(Model!AD$3,QRT!$4:$4,0)+3)</f>
        <v>35.101397019196838</v>
      </c>
      <c r="AE140" s="206" cm="1">
        <f t="array" ref="AE140">INDEX(QRT!$1:$1048576,MATCH(Model!$B140,QRT!$A:$A,0),MATCH(Model!AE$3,QRT!$4:$4,0)+3)</f>
        <v>39.016260570191768</v>
      </c>
      <c r="AF140" s="74">
        <f>AF183*AF188</f>
        <v>61.523486267238468</v>
      </c>
      <c r="AG140" s="74">
        <f t="shared" ref="AG140:AN140" si="125">AG183*AG188</f>
        <v>73.509497605998902</v>
      </c>
      <c r="AH140" s="74">
        <f t="shared" si="125"/>
        <v>83.989340166616898</v>
      </c>
      <c r="AI140" s="74">
        <f t="shared" si="125"/>
        <v>93.8297350770235</v>
      </c>
      <c r="AJ140" s="74">
        <f t="shared" si="125"/>
        <v>102.96014491745808</v>
      </c>
      <c r="AK140" s="74">
        <f t="shared" si="125"/>
        <v>111.80122940183138</v>
      </c>
      <c r="AL140" s="74">
        <f t="shared" si="125"/>
        <v>120.56619086187186</v>
      </c>
      <c r="AM140" s="74">
        <f t="shared" si="125"/>
        <v>129.44758765280955</v>
      </c>
      <c r="AN140" s="74">
        <f t="shared" si="125"/>
        <v>138.49963292439864</v>
      </c>
      <c r="AO140" s="7"/>
    </row>
    <row r="141" spans="1:41" outlineLevel="1">
      <c r="B141" s="110" t="s">
        <v>242</v>
      </c>
      <c r="E141" s="70" t="s">
        <v>242</v>
      </c>
      <c r="H141" s="225"/>
      <c r="I141" s="225"/>
      <c r="J141" s="225"/>
      <c r="K141" s="225"/>
      <c r="L141" s="225"/>
      <c r="M141" s="225"/>
      <c r="N141" s="225"/>
      <c r="O141" s="225"/>
      <c r="P141" s="225"/>
      <c r="Q141" s="225"/>
      <c r="R141" s="225"/>
      <c r="S141" s="225"/>
      <c r="T141" s="225"/>
      <c r="U141" s="225"/>
      <c r="V141" s="225"/>
      <c r="W141" s="225"/>
      <c r="X141" s="225"/>
      <c r="Y141" s="225">
        <v>1.633</v>
      </c>
      <c r="Z141" s="225" cm="1">
        <f t="array" ref="Z141">INDEX(QRT!$1:$1048576,MATCH(Model!$B141,QRT!$A:$A,0),MATCH(Model!Z$3,QRT!$4:$4,0)+3)</f>
        <v>4.6319999999999997</v>
      </c>
      <c r="AA141" s="225" cm="1">
        <f t="array" ref="AA141">INDEX(QRT!$1:$1048576,MATCH(Model!$B141,QRT!$A:$A,0),MATCH(Model!AA$3,QRT!$4:$4,0)+3)</f>
        <v>9.7370000000000001</v>
      </c>
      <c r="AB141" s="225" cm="1">
        <f t="array" ref="AB141">INDEX(QRT!$1:$1048576,MATCH(Model!$B141,QRT!$A:$A,0),MATCH(Model!AB$3,QRT!$4:$4,0)+3)</f>
        <v>17.376000000000001</v>
      </c>
      <c r="AC141" s="206" cm="1">
        <f t="array" ref="AC141">INDEX(QRT!$1:$1048576,MATCH(Model!$B141,QRT!$A:$A,0),MATCH(Model!AC$3,QRT!$4:$4,0)+3)</f>
        <v>34.616999999999997</v>
      </c>
      <c r="AD141" s="206" cm="1">
        <f t="array" ref="AD141">INDEX(QRT!$1:$1048576,MATCH(Model!$B141,QRT!$A:$A,0),MATCH(Model!AD$3,QRT!$4:$4,0)+3)</f>
        <v>34.616999999999997</v>
      </c>
      <c r="AE141" s="206" cm="1">
        <f t="array" ref="AE141">INDEX(QRT!$1:$1048576,MATCH(Model!$B141,QRT!$A:$A,0),MATCH(Model!AE$3,QRT!$4:$4,0)+3)</f>
        <v>34.616999999999997</v>
      </c>
      <c r="AF141" s="74">
        <f t="shared" ref="AF141:AN141" si="126">AE141</f>
        <v>34.616999999999997</v>
      </c>
      <c r="AG141" s="74">
        <f t="shared" si="126"/>
        <v>34.616999999999997</v>
      </c>
      <c r="AH141" s="74">
        <f t="shared" si="126"/>
        <v>34.616999999999997</v>
      </c>
      <c r="AI141" s="74">
        <f t="shared" si="126"/>
        <v>34.616999999999997</v>
      </c>
      <c r="AJ141" s="74">
        <f t="shared" si="126"/>
        <v>34.616999999999997</v>
      </c>
      <c r="AK141" s="74">
        <f t="shared" si="126"/>
        <v>34.616999999999997</v>
      </c>
      <c r="AL141" s="74">
        <f t="shared" si="126"/>
        <v>34.616999999999997</v>
      </c>
      <c r="AM141" s="74">
        <f t="shared" si="126"/>
        <v>34.616999999999997</v>
      </c>
      <c r="AN141" s="74">
        <f t="shared" si="126"/>
        <v>34.616999999999997</v>
      </c>
      <c r="AO141" s="7"/>
    </row>
    <row r="142" spans="1:41" outlineLevel="1">
      <c r="B142" s="110" t="s">
        <v>243</v>
      </c>
      <c r="E142" s="70" t="s">
        <v>243</v>
      </c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25"/>
      <c r="Y142" s="225">
        <v>0</v>
      </c>
      <c r="Z142" s="225" cm="1">
        <f t="array" ref="Z142">INDEX(QRT!$1:$1048576,MATCH(Model!$B142,QRT!$A:$A,0),MATCH(Model!Z$3,QRT!$4:$4,0)+3)</f>
        <v>0.39</v>
      </c>
      <c r="AA142" s="225" cm="1">
        <f t="array" ref="AA142">INDEX(QRT!$1:$1048576,MATCH(Model!$B142,QRT!$A:$A,0),MATCH(Model!AA$3,QRT!$4:$4,0)+3)</f>
        <v>0.66</v>
      </c>
      <c r="AB142" s="225" cm="1">
        <f t="array" ref="AB142">INDEX(QRT!$1:$1048576,MATCH(Model!$B142,QRT!$A:$A,0),MATCH(Model!AB$3,QRT!$4:$4,0)+3)</f>
        <v>0.76400000000000001</v>
      </c>
      <c r="AC142" s="206" cm="1">
        <f t="array" ref="AC142">INDEX(QRT!$1:$1048576,MATCH(Model!$B142,QRT!$A:$A,0),MATCH(Model!AC$3,QRT!$4:$4,0)+3)</f>
        <v>5.7690000000000001</v>
      </c>
      <c r="AD142" s="206" cm="1">
        <f t="array" ref="AD142">INDEX(QRT!$1:$1048576,MATCH(Model!$B142,QRT!$A:$A,0),MATCH(Model!AD$3,QRT!$4:$4,0)+3)</f>
        <v>5.7690000000000001</v>
      </c>
      <c r="AE142" s="206" cm="1">
        <f t="array" ref="AE142">INDEX(QRT!$1:$1048576,MATCH(Model!$B142,QRT!$A:$A,0),MATCH(Model!AE$3,QRT!$4:$4,0)+3)</f>
        <v>5.7690000000000001</v>
      </c>
      <c r="AF142" s="74">
        <f t="shared" ref="AF142:AN142" si="127">AE142</f>
        <v>5.7690000000000001</v>
      </c>
      <c r="AG142" s="74">
        <f t="shared" si="127"/>
        <v>5.7690000000000001</v>
      </c>
      <c r="AH142" s="74">
        <f t="shared" si="127"/>
        <v>5.7690000000000001</v>
      </c>
      <c r="AI142" s="74">
        <f t="shared" si="127"/>
        <v>5.7690000000000001</v>
      </c>
      <c r="AJ142" s="74">
        <f t="shared" si="127"/>
        <v>5.7690000000000001</v>
      </c>
      <c r="AK142" s="74">
        <f t="shared" si="127"/>
        <v>5.7690000000000001</v>
      </c>
      <c r="AL142" s="74">
        <f t="shared" si="127"/>
        <v>5.7690000000000001</v>
      </c>
      <c r="AM142" s="74">
        <f t="shared" si="127"/>
        <v>5.7690000000000001</v>
      </c>
      <c r="AN142" s="74">
        <f t="shared" si="127"/>
        <v>5.7690000000000001</v>
      </c>
      <c r="AO142" s="7"/>
    </row>
    <row r="143" spans="1:41" s="3" customFormat="1" outlineLevel="1">
      <c r="A143" s="110" t="s">
        <v>184</v>
      </c>
      <c r="B143" s="110"/>
      <c r="C143" s="143"/>
      <c r="E143" s="2" t="s">
        <v>147</v>
      </c>
      <c r="F143" s="2"/>
      <c r="G143" s="2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>
        <f t="shared" ref="Y143:AN143" si="128">SUM(Y138:Y142)</f>
        <v>100.65400000000001</v>
      </c>
      <c r="Z143" s="8">
        <f t="shared" si="128"/>
        <v>236.70999999999998</v>
      </c>
      <c r="AA143" s="8">
        <f t="shared" si="128"/>
        <v>445.21499999999997</v>
      </c>
      <c r="AB143" s="8">
        <f t="shared" si="128"/>
        <v>571.54899999999998</v>
      </c>
      <c r="AC143" s="8">
        <f t="shared" si="128"/>
        <v>524.22759444667395</v>
      </c>
      <c r="AD143" s="8">
        <f t="shared" si="128"/>
        <v>522.8963970191968</v>
      </c>
      <c r="AE143" s="8">
        <f t="shared" si="128"/>
        <v>526.81126057019173</v>
      </c>
      <c r="AF143" s="8">
        <f t="shared" si="128"/>
        <v>549.31848626723843</v>
      </c>
      <c r="AG143" s="8">
        <f t="shared" si="128"/>
        <v>561.3044976059989</v>
      </c>
      <c r="AH143" s="8">
        <f t="shared" si="128"/>
        <v>571.78434016661686</v>
      </c>
      <c r="AI143" s="8">
        <f t="shared" si="128"/>
        <v>581.6247350770235</v>
      </c>
      <c r="AJ143" s="8">
        <f t="shared" si="128"/>
        <v>590.75514491745798</v>
      </c>
      <c r="AK143" s="8">
        <f t="shared" si="128"/>
        <v>599.59622940183135</v>
      </c>
      <c r="AL143" s="8">
        <f t="shared" si="128"/>
        <v>608.36119086187182</v>
      </c>
      <c r="AM143" s="8">
        <f t="shared" si="128"/>
        <v>617.24258765280956</v>
      </c>
      <c r="AN143" s="8">
        <f t="shared" si="128"/>
        <v>626.29463292439857</v>
      </c>
      <c r="AO143" s="64"/>
    </row>
    <row r="144" spans="1:41" outlineLevel="1">
      <c r="B144" s="110" t="s">
        <v>359</v>
      </c>
      <c r="E144" s="70" t="s">
        <v>241</v>
      </c>
      <c r="H144" s="225"/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25"/>
      <c r="Y144" s="225">
        <v>5.6520000000000001</v>
      </c>
      <c r="Z144" s="225" cm="1">
        <f t="array" ref="Z144">INDEX(QRT!$1:$1048576,MATCH(Model!$B144,QRT!$A:$A,0),MATCH(Model!Z$3,QRT!$4:$4,0)+3)</f>
        <v>7.8639999999999999</v>
      </c>
      <c r="AA144" s="225" cm="1">
        <f t="array" ref="AA144">INDEX(QRT!$1:$1048576,MATCH(Model!$B144,QRT!$A:$A,0),MATCH(Model!AA$3,QRT!$4:$4,0)+3)</f>
        <v>33.110999999999997</v>
      </c>
      <c r="AB144" s="225" cm="1">
        <f t="array" ref="AB144">INDEX(QRT!$1:$1048576,MATCH(Model!$B144,QRT!$A:$A,0),MATCH(Model!AB$3,QRT!$4:$4,0)+3)</f>
        <v>28.858000000000001</v>
      </c>
      <c r="AC144" s="206" cm="1">
        <f t="array" ref="AC144">INDEX(QRT!$1:$1048576,MATCH(Model!$B144,QRT!$A:$A,0),MATCH(Model!AC$3,QRT!$4:$4,0)+3)</f>
        <v>89.843258138534637</v>
      </c>
      <c r="AD144" s="206" cm="1">
        <f t="array" ref="AD144">INDEX(QRT!$1:$1048576,MATCH(Model!$B144,QRT!$A:$A,0),MATCH(Model!AD$3,QRT!$4:$4,0)+3)</f>
        <v>86.560507735314417</v>
      </c>
      <c r="AE144" s="206" cm="1">
        <f t="array" ref="AE144">INDEX(QRT!$1:$1048576,MATCH(Model!$B144,QRT!$A:$A,0),MATCH(Model!AE$3,QRT!$4:$4,0)+3)</f>
        <v>96.214612855497194</v>
      </c>
      <c r="AF144" s="74">
        <f t="shared" ref="AF144:AN144" si="129">AF183-AF140</f>
        <v>92.285229400857702</v>
      </c>
      <c r="AG144" s="74">
        <f t="shared" si="129"/>
        <v>110.26424640899835</v>
      </c>
      <c r="AH144" s="74">
        <f t="shared" si="129"/>
        <v>125.98401024992532</v>
      </c>
      <c r="AI144" s="74">
        <f t="shared" si="129"/>
        <v>140.74460261553526</v>
      </c>
      <c r="AJ144" s="74">
        <f t="shared" si="129"/>
        <v>154.44021737618709</v>
      </c>
      <c r="AK144" s="74">
        <f t="shared" si="129"/>
        <v>167.70184410274703</v>
      </c>
      <c r="AL144" s="74">
        <f t="shared" si="129"/>
        <v>180.84928629280779</v>
      </c>
      <c r="AM144" s="74">
        <f t="shared" si="129"/>
        <v>194.17138147921429</v>
      </c>
      <c r="AN144" s="74">
        <f t="shared" si="129"/>
        <v>207.74944938659795</v>
      </c>
      <c r="AO144" s="7"/>
    </row>
    <row r="145" spans="1:44" outlineLevel="1">
      <c r="A145" s="110" t="s">
        <v>186</v>
      </c>
      <c r="B145" s="110" t="s">
        <v>186</v>
      </c>
      <c r="E145" s="70" t="s">
        <v>244</v>
      </c>
      <c r="H145" s="225"/>
      <c r="I145" s="225"/>
      <c r="J145" s="225"/>
      <c r="K145" s="225"/>
      <c r="L145" s="225"/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25"/>
      <c r="Y145" s="225">
        <v>3.0070000000000001</v>
      </c>
      <c r="Z145" s="225" cm="1">
        <f t="array" ref="Z145">INDEX(QRT!$1:$1048576,MATCH(Model!$B145,QRT!$A:$A,0),MATCH(Model!Z$3,QRT!$4:$4,0)+3)</f>
        <v>12.498999999999999</v>
      </c>
      <c r="AA145" s="225" cm="1">
        <f t="array" ref="AA145">INDEX(QRT!$1:$1048576,MATCH(Model!$B145,QRT!$A:$A,0),MATCH(Model!AA$3,QRT!$4:$4,0)+3)</f>
        <v>14.573</v>
      </c>
      <c r="AB145" s="225" cm="1">
        <f t="array" ref="AB145">INDEX(QRT!$1:$1048576,MATCH(Model!$B145,QRT!$A:$A,0),MATCH(Model!AB$3,QRT!$4:$4,0)+3)</f>
        <v>5.8819999999999997</v>
      </c>
      <c r="AC145" s="206" cm="1">
        <f t="array" ref="AC145">INDEX(QRT!$1:$1048576,MATCH(Model!$B145,QRT!$A:$A,0),MATCH(Model!AC$3,QRT!$4:$4,0)+3)</f>
        <v>26.115233442530286</v>
      </c>
      <c r="AD145" s="206" cm="1">
        <f t="array" ref="AD145">INDEX(QRT!$1:$1048576,MATCH(Model!$B145,QRT!$A:$A,0),MATCH(Model!AD$3,QRT!$4:$4,0)+3)</f>
        <v>96.316627636025657</v>
      </c>
      <c r="AE145" s="206" cm="1">
        <f t="array" ref="AE145">INDEX(QRT!$1:$1048576,MATCH(Model!$B145,QRT!$A:$A,0),MATCH(Model!AE$3,QRT!$4:$4,0)+3)</f>
        <v>228.27145768518849</v>
      </c>
      <c r="AF145" s="89">
        <f t="shared" ref="AF145:AN145" si="130">AF170-AF138</f>
        <v>354.4850125958136</v>
      </c>
      <c r="AG145" s="89">
        <f t="shared" si="130"/>
        <v>487.91229176429238</v>
      </c>
      <c r="AH145" s="89">
        <f t="shared" si="130"/>
        <v>642.17469522814827</v>
      </c>
      <c r="AI145" s="89">
        <f t="shared" si="130"/>
        <v>754.93978698803721</v>
      </c>
      <c r="AJ145" s="89">
        <f t="shared" si="130"/>
        <v>848.79543478513801</v>
      </c>
      <c r="AK145" s="89">
        <f t="shared" si="130"/>
        <v>927.34512539937577</v>
      </c>
      <c r="AL145" s="89">
        <f t="shared" si="130"/>
        <v>981.90352575022064</v>
      </c>
      <c r="AM145" s="89">
        <f t="shared" si="130"/>
        <v>1142.5031369409517</v>
      </c>
      <c r="AN145" s="89">
        <f t="shared" si="130"/>
        <v>1310.8166153342117</v>
      </c>
      <c r="AO145" s="7"/>
    </row>
    <row r="146" spans="1:44" outlineLevel="1">
      <c r="B146" s="110" t="s">
        <v>360</v>
      </c>
      <c r="E146" s="70" t="s">
        <v>125</v>
      </c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>
        <v>3.7509999999999999</v>
      </c>
      <c r="Z146" s="225" cm="1">
        <f t="array" ref="Z146">INDEX(QRT!$1:$1048576,MATCH(Model!$B146,QRT!$A:$A,0),MATCH(Model!Z$3,QRT!$4:$4,0)+3)</f>
        <v>3.7290000000000001</v>
      </c>
      <c r="AA146" s="225" cm="1">
        <f t="array" ref="AA146">INDEX(QRT!$1:$1048576,MATCH(Model!$B146,QRT!$A:$A,0),MATCH(Model!AA$3,QRT!$4:$4,0)+3)</f>
        <v>5.8620000000000001</v>
      </c>
      <c r="AB146" s="225" cm="1">
        <f t="array" ref="AB146">INDEX(QRT!$1:$1048576,MATCH(Model!$B146,QRT!$A:$A,0),MATCH(Model!AB$3,QRT!$4:$4,0)+3)</f>
        <v>12.584</v>
      </c>
      <c r="AC146" s="206" cm="1">
        <f t="array" ref="AC146">INDEX(QRT!$1:$1048576,MATCH(Model!$B146,QRT!$A:$A,0),MATCH(Model!AC$3,QRT!$4:$4,0)+3)</f>
        <v>51.224236905926652</v>
      </c>
      <c r="AD146" s="206" cm="1">
        <f t="array" ref="AD146">INDEX(QRT!$1:$1048576,MATCH(Model!$B146,QRT!$A:$A,0),MATCH(Model!AD$3,QRT!$4:$4,0)+3)</f>
        <v>74.343319573858324</v>
      </c>
      <c r="AE146" s="206" cm="1">
        <f t="array" ref="AE146">INDEX(QRT!$1:$1048576,MATCH(Model!$B146,QRT!$A:$A,0),MATCH(Model!AE$3,QRT!$4:$4,0)+3)</f>
        <v>104.33750352342537</v>
      </c>
      <c r="AF146" s="74">
        <f t="shared" ref="AF146:AN146" ca="1" si="131">AE146+AF100-AF252</f>
        <v>139.43190254381224</v>
      </c>
      <c r="AG146" s="74">
        <f t="shared" ca="1" si="131"/>
        <v>179.35466087696864</v>
      </c>
      <c r="AH146" s="74">
        <f t="shared" ca="1" si="131"/>
        <v>222.78711225040252</v>
      </c>
      <c r="AI146" s="74">
        <f t="shared" ca="1" si="131"/>
        <v>269.87549387412543</v>
      </c>
      <c r="AJ146" s="74">
        <f t="shared" ca="1" si="131"/>
        <v>320.18109411810269</v>
      </c>
      <c r="AK146" s="74">
        <f t="shared" ca="1" si="131"/>
        <v>373.80140445567537</v>
      </c>
      <c r="AL146" s="74">
        <f t="shared" ca="1" si="131"/>
        <v>430.8339163601845</v>
      </c>
      <c r="AM146" s="74">
        <f t="shared" ca="1" si="131"/>
        <v>491.37612130497115</v>
      </c>
      <c r="AN146" s="74">
        <f t="shared" ca="1" si="131"/>
        <v>555.52551076337625</v>
      </c>
      <c r="AO146" s="7"/>
    </row>
    <row r="147" spans="1:44" s="3" customFormat="1" outlineLevel="1">
      <c r="A147" s="110" t="s">
        <v>185</v>
      </c>
      <c r="B147" s="110"/>
      <c r="C147" s="143"/>
      <c r="E147" s="2" t="s">
        <v>148</v>
      </c>
      <c r="F147" s="2"/>
      <c r="G147" s="2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>
        <f t="shared" ref="Y147:AN147" si="132">SUM(Y143:Y146)</f>
        <v>113.06400000000002</v>
      </c>
      <c r="Z147" s="8">
        <f t="shared" si="132"/>
        <v>260.80199999999996</v>
      </c>
      <c r="AA147" s="8">
        <f t="shared" si="132"/>
        <v>498.76099999999997</v>
      </c>
      <c r="AB147" s="8">
        <f t="shared" si="132"/>
        <v>618.87299999999982</v>
      </c>
      <c r="AC147" s="8">
        <f t="shared" si="132"/>
        <v>691.41032293366561</v>
      </c>
      <c r="AD147" s="8">
        <f t="shared" si="132"/>
        <v>780.11685196439532</v>
      </c>
      <c r="AE147" s="8">
        <f t="shared" si="132"/>
        <v>955.63483463430271</v>
      </c>
      <c r="AF147" s="8">
        <f t="shared" ca="1" si="132"/>
        <v>1135.520630807722</v>
      </c>
      <c r="AG147" s="8">
        <f t="shared" ca="1" si="132"/>
        <v>1338.8356966562583</v>
      </c>
      <c r="AH147" s="8">
        <f t="shared" ca="1" si="132"/>
        <v>1562.7301578950928</v>
      </c>
      <c r="AI147" s="8">
        <f t="shared" ca="1" si="132"/>
        <v>1747.1846185547213</v>
      </c>
      <c r="AJ147" s="8">
        <f t="shared" ca="1" si="132"/>
        <v>1914.1718911968858</v>
      </c>
      <c r="AK147" s="8">
        <f t="shared" ca="1" si="132"/>
        <v>2068.4446033596296</v>
      </c>
      <c r="AL147" s="8">
        <f t="shared" ca="1" si="132"/>
        <v>2201.9479192650847</v>
      </c>
      <c r="AM147" s="8">
        <f t="shared" ca="1" si="132"/>
        <v>2445.2932273779466</v>
      </c>
      <c r="AN147" s="8">
        <f t="shared" ca="1" si="132"/>
        <v>2700.3862084085845</v>
      </c>
      <c r="AO147" s="64"/>
    </row>
    <row r="148" spans="1:44" outlineLevel="1">
      <c r="A148" s="110" t="s">
        <v>187</v>
      </c>
      <c r="B148" s="110" t="s">
        <v>187</v>
      </c>
      <c r="E148" s="70" t="s">
        <v>149</v>
      </c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>
        <v>1E-3</v>
      </c>
      <c r="Z148" s="225" cm="1">
        <f t="array" ref="Z148">INDEX(QRT!$1:$1048576,MATCH(Model!$B148,QRT!$A:$A,0),MATCH(Model!Z$3,QRT!$4:$4,0)+3)</f>
        <v>18.318999999999999</v>
      </c>
      <c r="AA148" s="225" cm="1">
        <f t="array" ref="AA148">INDEX(QRT!$1:$1048576,MATCH(Model!$B148,QRT!$A:$A,0),MATCH(Model!AA$3,QRT!$4:$4,0)+3)</f>
        <v>21.161999999999995</v>
      </c>
      <c r="AB148" s="225" cm="1">
        <f t="array" ref="AB148">INDEX(QRT!$1:$1048576,MATCH(Model!$B148,QRT!$A:$A,0),MATCH(Model!AB$3,QRT!$4:$4,0)+3)</f>
        <v>135.35400000000001</v>
      </c>
      <c r="AC148" s="206" cm="1">
        <f t="array" ref="AC148">INDEX(QRT!$1:$1048576,MATCH(Model!$B148,QRT!$A:$A,0),MATCH(Model!AC$3,QRT!$4:$4,0)+3)</f>
        <v>633.27099999999996</v>
      </c>
      <c r="AD148" s="206" cm="1">
        <f t="array" ref="AD148">INDEX(QRT!$1:$1048576,MATCH(Model!$B148,QRT!$A:$A,0),MATCH(Model!AD$3,QRT!$4:$4,0)+3)</f>
        <v>633.27099999999996</v>
      </c>
      <c r="AE148" s="206" cm="1">
        <f t="array" ref="AE148">INDEX(QRT!$1:$1048576,MATCH(Model!$B148,QRT!$A:$A,0),MATCH(Model!AE$3,QRT!$4:$4,0)+3)</f>
        <v>633.27099999999996</v>
      </c>
      <c r="AF148" s="7">
        <f t="shared" ref="AF148:AN148" si="133">AE148+AF116</f>
        <v>633.27099999999996</v>
      </c>
      <c r="AG148" s="7">
        <f t="shared" si="133"/>
        <v>633.27099999999996</v>
      </c>
      <c r="AH148" s="7">
        <f t="shared" si="133"/>
        <v>633.27099999999996</v>
      </c>
      <c r="AI148" s="7">
        <f t="shared" si="133"/>
        <v>633.27099999999996</v>
      </c>
      <c r="AJ148" s="7">
        <f t="shared" si="133"/>
        <v>633.27099999999996</v>
      </c>
      <c r="AK148" s="7">
        <f t="shared" si="133"/>
        <v>633.27099999999996</v>
      </c>
      <c r="AL148" s="7">
        <f t="shared" si="133"/>
        <v>633.27099999999996</v>
      </c>
      <c r="AM148" s="7">
        <f t="shared" si="133"/>
        <v>633.27099999999996</v>
      </c>
      <c r="AN148" s="7">
        <f t="shared" si="133"/>
        <v>633.27099999999996</v>
      </c>
      <c r="AO148" s="7"/>
    </row>
    <row r="149" spans="1:44" outlineLevel="1">
      <c r="A149" s="110"/>
      <c r="B149" s="110" t="s">
        <v>245</v>
      </c>
      <c r="E149" s="70" t="s">
        <v>245</v>
      </c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>
        <v>0</v>
      </c>
      <c r="Z149" s="225" cm="1">
        <f t="array" ref="Z149">INDEX(QRT!$1:$1048576,MATCH(Model!$B149,QRT!$A:$A,0),MATCH(Model!Z$3,QRT!$4:$4,0)+3)</f>
        <v>0</v>
      </c>
      <c r="AA149" s="225" cm="1">
        <f t="array" ref="AA149">INDEX(QRT!$1:$1048576,MATCH(Model!$B149,QRT!$A:$A,0),MATCH(Model!AA$3,QRT!$4:$4,0)+3)</f>
        <v>6.7729999999999997</v>
      </c>
      <c r="AB149" s="225" cm="1">
        <f t="array" ref="AB149">INDEX(QRT!$1:$1048576,MATCH(Model!$B149,QRT!$A:$A,0),MATCH(Model!AB$3,QRT!$4:$4,0)+3)</f>
        <v>4.8529999999999998</v>
      </c>
      <c r="AC149" s="206" cm="1">
        <f t="array" ref="AC149">INDEX(QRT!$1:$1048576,MATCH(Model!$B149,QRT!$A:$A,0),MATCH(Model!AC$3,QRT!$4:$4,0)+3)</f>
        <v>2.6139999999999999</v>
      </c>
      <c r="AD149" s="206" cm="1">
        <f t="array" ref="AD149">INDEX(QRT!$1:$1048576,MATCH(Model!$B149,QRT!$A:$A,0),MATCH(Model!AD$3,QRT!$4:$4,0)+3)</f>
        <v>2.6139999999999999</v>
      </c>
      <c r="AE149" s="206" cm="1">
        <f t="array" ref="AE149">INDEX(QRT!$1:$1048576,MATCH(Model!$B149,QRT!$A:$A,0),MATCH(Model!AE$3,QRT!$4:$4,0)+3)</f>
        <v>2.6139999999999999</v>
      </c>
      <c r="AF149" s="7">
        <f t="shared" ref="AF149:AN149" si="134">AE149</f>
        <v>2.6139999999999999</v>
      </c>
      <c r="AG149" s="7">
        <f t="shared" si="134"/>
        <v>2.6139999999999999</v>
      </c>
      <c r="AH149" s="7">
        <f t="shared" si="134"/>
        <v>2.6139999999999999</v>
      </c>
      <c r="AI149" s="7">
        <f t="shared" si="134"/>
        <v>2.6139999999999999</v>
      </c>
      <c r="AJ149" s="7">
        <f t="shared" si="134"/>
        <v>2.6139999999999999</v>
      </c>
      <c r="AK149" s="7">
        <f t="shared" si="134"/>
        <v>2.6139999999999999</v>
      </c>
      <c r="AL149" s="7">
        <f t="shared" si="134"/>
        <v>2.6139999999999999</v>
      </c>
      <c r="AM149" s="7">
        <f t="shared" si="134"/>
        <v>2.6139999999999999</v>
      </c>
      <c r="AN149" s="7">
        <f t="shared" si="134"/>
        <v>2.6139999999999999</v>
      </c>
      <c r="AO149" s="7"/>
    </row>
    <row r="150" spans="1:44" outlineLevel="1">
      <c r="A150" s="110"/>
      <c r="B150" s="110" t="s">
        <v>246</v>
      </c>
      <c r="E150" s="70" t="s">
        <v>246</v>
      </c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>
        <v>-2.4E-2</v>
      </c>
      <c r="Z150" s="225" cm="1">
        <f t="array" ref="Z150">INDEX(QRT!$1:$1048576,MATCH(Model!$B150,QRT!$A:$A,0),MATCH(Model!Z$3,QRT!$4:$4,0)+3)</f>
        <v>-0.71499999999999997</v>
      </c>
      <c r="AA150" s="225" cm="1">
        <f t="array" ref="AA150">INDEX(QRT!$1:$1048576,MATCH(Model!$B150,QRT!$A:$A,0),MATCH(Model!AA$3,QRT!$4:$4,0)+3)</f>
        <v>6.9000000000000006E-2</v>
      </c>
      <c r="AB150" s="225" cm="1">
        <f t="array" ref="AB150">INDEX(QRT!$1:$1048576,MATCH(Model!$B150,QRT!$A:$A,0),MATCH(Model!AB$3,QRT!$4:$4,0)+3)</f>
        <v>0.81699999999999995</v>
      </c>
      <c r="AC150" s="206" cm="1">
        <f t="array" ref="AC150">INDEX(QRT!$1:$1048576,MATCH(Model!$B150,QRT!$A:$A,0),MATCH(Model!AC$3,QRT!$4:$4,0)+3)</f>
        <v>0.79400000000000004</v>
      </c>
      <c r="AD150" s="206" cm="1">
        <f t="array" ref="AD150">INDEX(QRT!$1:$1048576,MATCH(Model!$B150,QRT!$A:$A,0),MATCH(Model!AD$3,QRT!$4:$4,0)+3)</f>
        <v>0.79400000000000004</v>
      </c>
      <c r="AE150" s="206" cm="1">
        <f t="array" ref="AE150">INDEX(QRT!$1:$1048576,MATCH(Model!$B150,QRT!$A:$A,0),MATCH(Model!AE$3,QRT!$4:$4,0)+3)</f>
        <v>0.79400000000000004</v>
      </c>
      <c r="AF150" s="7">
        <f>AE150</f>
        <v>0.79400000000000004</v>
      </c>
      <c r="AG150" s="7">
        <f t="shared" ref="AG150:AN150" si="135">AF150</f>
        <v>0.79400000000000004</v>
      </c>
      <c r="AH150" s="7">
        <f t="shared" si="135"/>
        <v>0.79400000000000004</v>
      </c>
      <c r="AI150" s="7">
        <f t="shared" si="135"/>
        <v>0.79400000000000004</v>
      </c>
      <c r="AJ150" s="7">
        <f t="shared" si="135"/>
        <v>0.79400000000000004</v>
      </c>
      <c r="AK150" s="7">
        <f t="shared" si="135"/>
        <v>0.79400000000000004</v>
      </c>
      <c r="AL150" s="7">
        <f t="shared" si="135"/>
        <v>0.79400000000000004</v>
      </c>
      <c r="AM150" s="7">
        <f t="shared" si="135"/>
        <v>0.79400000000000004</v>
      </c>
      <c r="AN150" s="7">
        <f t="shared" si="135"/>
        <v>0.79400000000000004</v>
      </c>
      <c r="AO150" s="7"/>
    </row>
    <row r="151" spans="1:44" outlineLevel="1">
      <c r="A151" s="110" t="s">
        <v>150</v>
      </c>
      <c r="B151" s="110" t="s">
        <v>150</v>
      </c>
      <c r="E151" s="70" t="s">
        <v>150</v>
      </c>
      <c r="H151" s="225"/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25"/>
      <c r="Y151" s="225">
        <v>-4.1909999999999998</v>
      </c>
      <c r="Z151" s="225" cm="1">
        <f t="array" ref="Z151">INDEX(QRT!$1:$1048576,MATCH(Model!$B151,QRT!$A:$A,0),MATCH(Model!Z$3,QRT!$4:$4,0)+3)</f>
        <v>-22.108000000000001</v>
      </c>
      <c r="AA151" s="225" cm="1">
        <f t="array" ref="AA151">INDEX(QRT!$1:$1048576,MATCH(Model!$B151,QRT!$A:$A,0),MATCH(Model!AA$3,QRT!$4:$4,0)+3)</f>
        <v>-37.881</v>
      </c>
      <c r="AB151" s="225" cm="1">
        <f t="array" ref="AB151">INDEX(QRT!$1:$1048576,MATCH(Model!$B151,QRT!$A:$A,0),MATCH(Model!AB$3,QRT!$4:$4,0)+3)</f>
        <v>-39.277000000000001</v>
      </c>
      <c r="AC151" s="206" cm="1">
        <f t="array" ref="AC151">INDEX(QRT!$1:$1048576,MATCH(Model!$B151,QRT!$A:$A,0),MATCH(Model!AC$3,QRT!$4:$4,0)+3)</f>
        <v>-28.772961712203386</v>
      </c>
      <c r="AD151" s="206" cm="1">
        <f t="array" ref="AD151">INDEX(QRT!$1:$1048576,MATCH(Model!$B151,QRT!$A:$A,0),MATCH(Model!AD$3,QRT!$4:$4,0)+3)</f>
        <v>-6.7605461978926797</v>
      </c>
      <c r="AE151" s="206" cm="1">
        <f t="array" ref="AE151">INDEX(QRT!$1:$1048576,MATCH(Model!$B151,QRT!$A:$A,0),MATCH(Model!AE$3,QRT!$4:$4,0)+3)</f>
        <v>43.845027173203277</v>
      </c>
      <c r="AF151" s="89">
        <f t="shared" ref="AF151:AN151" ca="1" si="136">AE151+AF117+AF81</f>
        <v>132.26094948755951</v>
      </c>
      <c r="AG151" s="89">
        <f t="shared" ca="1" si="136"/>
        <v>266.63855587466719</v>
      </c>
      <c r="AH151" s="89">
        <f t="shared" ca="1" si="136"/>
        <v>457.64272985012718</v>
      </c>
      <c r="AI151" s="89">
        <f t="shared" ca="1" si="136"/>
        <v>717.13220789139791</v>
      </c>
      <c r="AJ151" s="89">
        <f t="shared" ca="1" si="136"/>
        <v>1051.2675975076127</v>
      </c>
      <c r="AK151" s="89">
        <f t="shared" ca="1" si="136"/>
        <v>1469.8319169204574</v>
      </c>
      <c r="AL151" s="89">
        <f t="shared" ca="1" si="136"/>
        <v>1978.5617603727987</v>
      </c>
      <c r="AM151" s="89">
        <f t="shared" ca="1" si="136"/>
        <v>2586.082567040472</v>
      </c>
      <c r="AN151" s="89">
        <f t="shared" ca="1" si="136"/>
        <v>3295.6253605743213</v>
      </c>
      <c r="AO151" s="7"/>
    </row>
    <row r="152" spans="1:44" outlineLevel="1">
      <c r="A152" s="110" t="s">
        <v>117</v>
      </c>
      <c r="B152" s="110"/>
      <c r="E152" s="70" t="s">
        <v>117</v>
      </c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25"/>
      <c r="Y152" s="225">
        <v>0</v>
      </c>
      <c r="Z152" s="225">
        <v>0</v>
      </c>
      <c r="AA152" s="225">
        <v>0</v>
      </c>
      <c r="AB152" s="225">
        <v>0</v>
      </c>
      <c r="AC152" s="206">
        <v>0</v>
      </c>
      <c r="AD152" s="206">
        <v>0</v>
      </c>
      <c r="AE152" s="206">
        <v>0</v>
      </c>
      <c r="AF152" s="165">
        <f t="shared" ref="AF152:AN152" si="137">AE152</f>
        <v>0</v>
      </c>
      <c r="AG152" s="165">
        <f t="shared" si="137"/>
        <v>0</v>
      </c>
      <c r="AH152" s="165">
        <f t="shared" si="137"/>
        <v>0</v>
      </c>
      <c r="AI152" s="165">
        <f t="shared" si="137"/>
        <v>0</v>
      </c>
      <c r="AJ152" s="165">
        <f t="shared" si="137"/>
        <v>0</v>
      </c>
      <c r="AK152" s="165">
        <f t="shared" si="137"/>
        <v>0</v>
      </c>
      <c r="AL152" s="165">
        <f t="shared" si="137"/>
        <v>0</v>
      </c>
      <c r="AM152" s="165">
        <f t="shared" si="137"/>
        <v>0</v>
      </c>
      <c r="AN152" s="165">
        <f t="shared" si="137"/>
        <v>0</v>
      </c>
      <c r="AO152" s="7"/>
      <c r="AP152" s="7"/>
      <c r="AQ152" s="7"/>
      <c r="AR152" s="7"/>
    </row>
    <row r="153" spans="1:44" s="3" customFormat="1" outlineLevel="1">
      <c r="A153" s="110"/>
      <c r="B153" s="110"/>
      <c r="C153" s="143"/>
      <c r="E153" s="2" t="s">
        <v>151</v>
      </c>
      <c r="F153" s="2"/>
      <c r="G153" s="2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>
        <f>SUM(Y147:Y152)</f>
        <v>108.85000000000002</v>
      </c>
      <c r="Z153" s="8">
        <f t="shared" ref="Z153:AN153" si="138">SUM(Z147:Z152)</f>
        <v>256.298</v>
      </c>
      <c r="AA153" s="8">
        <f t="shared" si="138"/>
        <v>488.88400000000001</v>
      </c>
      <c r="AB153" s="8">
        <f t="shared" si="138"/>
        <v>720.61999999999978</v>
      </c>
      <c r="AC153" s="8">
        <f t="shared" si="138"/>
        <v>1299.3163612214623</v>
      </c>
      <c r="AD153" s="8">
        <f t="shared" si="138"/>
        <v>1410.0353057665029</v>
      </c>
      <c r="AE153" s="8">
        <f t="shared" si="138"/>
        <v>1636.1588618075061</v>
      </c>
      <c r="AF153" s="8">
        <f t="shared" ca="1" si="138"/>
        <v>1904.4605802952815</v>
      </c>
      <c r="AG153" s="8">
        <f t="shared" ca="1" si="138"/>
        <v>2242.1532525309258</v>
      </c>
      <c r="AH153" s="8">
        <f t="shared" ca="1" si="138"/>
        <v>2657.0518877452196</v>
      </c>
      <c r="AI153" s="8">
        <f t="shared" ca="1" si="138"/>
        <v>3100.9958264461193</v>
      </c>
      <c r="AJ153" s="8">
        <f t="shared" ca="1" si="138"/>
        <v>3602.1184887044983</v>
      </c>
      <c r="AK153" s="8">
        <f t="shared" ca="1" si="138"/>
        <v>4174.9555202800866</v>
      </c>
      <c r="AL153" s="8">
        <f t="shared" ca="1" si="138"/>
        <v>4817.188679637884</v>
      </c>
      <c r="AM153" s="8">
        <f t="shared" ca="1" si="138"/>
        <v>5668.0547944184182</v>
      </c>
      <c r="AN153" s="8">
        <f t="shared" ca="1" si="138"/>
        <v>6632.6905689829055</v>
      </c>
      <c r="AO153" s="64"/>
    </row>
    <row r="154" spans="1:44" s="95" customFormat="1" outlineLevel="1">
      <c r="A154" s="112"/>
      <c r="B154" s="112"/>
      <c r="C154" s="145"/>
      <c r="E154" s="84" t="s">
        <v>120</v>
      </c>
      <c r="F154" s="93"/>
      <c r="G154" s="93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85" t="b">
        <f t="shared" ref="Y154:AN154" si="139">ABS(Y153-Y136)&lt;1</f>
        <v>1</v>
      </c>
      <c r="Z154" s="85" t="b">
        <f t="shared" si="139"/>
        <v>1</v>
      </c>
      <c r="AA154" s="85" t="b">
        <f t="shared" si="139"/>
        <v>1</v>
      </c>
      <c r="AB154" s="85" t="b">
        <f t="shared" si="139"/>
        <v>1</v>
      </c>
      <c r="AC154" s="85" t="b">
        <f t="shared" si="139"/>
        <v>1</v>
      </c>
      <c r="AD154" s="85" t="b">
        <f t="shared" si="139"/>
        <v>1</v>
      </c>
      <c r="AE154" s="85" t="b">
        <f t="shared" si="139"/>
        <v>1</v>
      </c>
      <c r="AF154" s="85" t="b">
        <f t="shared" ca="1" si="139"/>
        <v>1</v>
      </c>
      <c r="AG154" s="85" t="b">
        <f t="shared" ca="1" si="139"/>
        <v>1</v>
      </c>
      <c r="AH154" s="85" t="b">
        <f t="shared" ca="1" si="139"/>
        <v>1</v>
      </c>
      <c r="AI154" s="85" t="b">
        <f t="shared" ca="1" si="139"/>
        <v>1</v>
      </c>
      <c r="AJ154" s="85" t="b">
        <f t="shared" ca="1" si="139"/>
        <v>1</v>
      </c>
      <c r="AK154" s="85" t="b">
        <f t="shared" ca="1" si="139"/>
        <v>1</v>
      </c>
      <c r="AL154" s="85" t="b">
        <f t="shared" ca="1" si="139"/>
        <v>1</v>
      </c>
      <c r="AM154" s="85" t="b">
        <f t="shared" ca="1" si="139"/>
        <v>1</v>
      </c>
      <c r="AN154" s="85" t="b">
        <f t="shared" ca="1" si="139"/>
        <v>1</v>
      </c>
      <c r="AO154" s="94"/>
    </row>
    <row r="155" spans="1:44" outlineLevel="1"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68"/>
      <c r="AQ155" s="68"/>
      <c r="AR155" s="68"/>
    </row>
    <row r="156" spans="1:44" outlineLevel="1">
      <c r="E156" t="s">
        <v>152</v>
      </c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7">
        <f t="shared" ref="Y156:AE156" si="140">SUM(Y127:Y129)-SUM(Y139:Y142)</f>
        <v>-6.4609999999999985</v>
      </c>
      <c r="Z156" s="7">
        <f t="shared" si="140"/>
        <v>-12.587999999999965</v>
      </c>
      <c r="AA156" s="7">
        <f t="shared" si="140"/>
        <v>-35.603000000000065</v>
      </c>
      <c r="AB156" s="7">
        <f t="shared" si="140"/>
        <v>-25.716000000000008</v>
      </c>
      <c r="AC156" s="7">
        <f t="shared" si="140"/>
        <v>-40.326779946461613</v>
      </c>
      <c r="AD156" s="7">
        <f t="shared" si="140"/>
        <v>-49.953532952674607</v>
      </c>
      <c r="AE156" s="7">
        <f t="shared" si="140"/>
        <v>-69.684540976840367</v>
      </c>
      <c r="AF156" s="7">
        <f t="shared" ref="AF156:AN156" si="141">AF61*AF157</f>
        <v>-82.748268118393597</v>
      </c>
      <c r="AG156" s="7">
        <f t="shared" si="141"/>
        <v>-94.02840795782258</v>
      </c>
      <c r="AH156" s="7">
        <f t="shared" si="141"/>
        <v>-100.96390929188642</v>
      </c>
      <c r="AI156" s="7">
        <f t="shared" si="141"/>
        <v>-103.04945020175819</v>
      </c>
      <c r="AJ156" s="7">
        <f t="shared" si="141"/>
        <v>-99.676240791498515</v>
      </c>
      <c r="AK156" s="7">
        <f t="shared" si="141"/>
        <v>-90.514217983307276</v>
      </c>
      <c r="AL156" s="7">
        <f t="shared" si="141"/>
        <v>-75.326022576534641</v>
      </c>
      <c r="AM156" s="7">
        <f t="shared" si="141"/>
        <v>-53.996721353032093</v>
      </c>
      <c r="AN156" s="7">
        <f t="shared" si="141"/>
        <v>-26.157419820946288</v>
      </c>
      <c r="AO156" s="7"/>
      <c r="AP156" s="68"/>
      <c r="AQ156" s="68"/>
      <c r="AR156" s="68"/>
    </row>
    <row r="157" spans="1:44" outlineLevel="1">
      <c r="E157" t="s">
        <v>227</v>
      </c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87">
        <f t="shared" ref="Y157:AE157" si="142">IFERROR(+Y156/(Y61),"na")</f>
        <v>-0.12239524134272937</v>
      </c>
      <c r="Z157" s="87">
        <f t="shared" si="142"/>
        <v>-2.7413309871883861E-2</v>
      </c>
      <c r="AA157" s="87">
        <f t="shared" si="142"/>
        <v>-5.1763970369078087E-2</v>
      </c>
      <c r="AB157" s="87">
        <f t="shared" si="142"/>
        <v>-2.7103738515744651E-2</v>
      </c>
      <c r="AC157" s="87">
        <f t="shared" si="142"/>
        <v>-2.6545877413813552E-2</v>
      </c>
      <c r="AD157" s="87">
        <f t="shared" si="142"/>
        <v>-2.3233300278183506E-2</v>
      </c>
      <c r="AE157" s="87">
        <f t="shared" si="142"/>
        <v>-2.4428202805965658E-2</v>
      </c>
      <c r="AF157" s="77">
        <f>MIN(AE157+0.0025,0.01)</f>
        <v>-2.192820280596566E-2</v>
      </c>
      <c r="AG157" s="77">
        <f t="shared" ref="AG157:AN157" si="143">MIN(AF157+0.0025,0.01)</f>
        <v>-1.9428202805965661E-2</v>
      </c>
      <c r="AH157" s="77">
        <f t="shared" si="143"/>
        <v>-1.6928202805965662E-2</v>
      </c>
      <c r="AI157" s="77">
        <f t="shared" si="143"/>
        <v>-1.4428202805965662E-2</v>
      </c>
      <c r="AJ157" s="77">
        <f t="shared" si="143"/>
        <v>-1.1928202805965661E-2</v>
      </c>
      <c r="AK157" s="77">
        <f t="shared" si="143"/>
        <v>-9.4282028059656606E-3</v>
      </c>
      <c r="AL157" s="77">
        <f t="shared" si="143"/>
        <v>-6.9282028059656602E-3</v>
      </c>
      <c r="AM157" s="77">
        <f t="shared" si="143"/>
        <v>-4.4282028059656597E-3</v>
      </c>
      <c r="AN157" s="77">
        <f t="shared" si="143"/>
        <v>-1.9282028059656596E-3</v>
      </c>
      <c r="AO157" s="7"/>
      <c r="AP157" s="68"/>
      <c r="AQ157" s="68"/>
      <c r="AR157" s="68"/>
    </row>
    <row r="158" spans="1:44" outlineLevel="1">
      <c r="E158" s="70" t="s">
        <v>363</v>
      </c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87">
        <f t="shared" ref="Y158:AN158" si="144">(Y127-Y139)/(Y61)</f>
        <v>-0.14149049026293856</v>
      </c>
      <c r="Z158" s="87">
        <f t="shared" si="144"/>
        <v>-1.3565102255478601E-2</v>
      </c>
      <c r="AA158" s="87">
        <f t="shared" si="144"/>
        <v>-4.0826118247442887E-2</v>
      </c>
      <c r="AB158" s="87">
        <f t="shared" si="144"/>
        <v>-3.5513317362265338E-2</v>
      </c>
      <c r="AC158" s="87">
        <f t="shared" si="144"/>
        <v>-4.2591422099833874E-2</v>
      </c>
      <c r="AD158" s="87">
        <f t="shared" si="144"/>
        <v>-3.4121707329077912E-2</v>
      </c>
      <c r="AE158" s="87">
        <f t="shared" si="144"/>
        <v>-3.0101155011801242E-2</v>
      </c>
      <c r="AF158" s="87">
        <f t="shared" si="144"/>
        <v>-2.5491407543426013E-2</v>
      </c>
      <c r="AG158" s="87">
        <f t="shared" si="144"/>
        <v>-2.1718188178643232E-2</v>
      </c>
      <c r="AH158" s="87">
        <f t="shared" si="144"/>
        <v>-1.8542848176384887E-2</v>
      </c>
      <c r="AI158" s="87">
        <f t="shared" si="144"/>
        <v>-1.571537048206454E-2</v>
      </c>
      <c r="AJ158" s="87">
        <f t="shared" si="144"/>
        <v>-1.3112917257524198E-2</v>
      </c>
      <c r="AK158" s="87">
        <f t="shared" si="144"/>
        <v>-1.0659325400835341E-2</v>
      </c>
      <c r="AL158" s="87">
        <f t="shared" si="144"/>
        <v>-8.3079368905688549E-3</v>
      </c>
      <c r="AM158" s="87">
        <f t="shared" si="144"/>
        <v>-6.024850296559049E-3</v>
      </c>
      <c r="AN158" s="87">
        <f t="shared" si="144"/>
        <v>-3.7932934347671542E-3</v>
      </c>
      <c r="AO158" s="7"/>
      <c r="AP158" s="68"/>
      <c r="AQ158" s="68"/>
      <c r="AR158" s="68"/>
    </row>
    <row r="159" spans="1:44" outlineLevel="1">
      <c r="E159" s="70" t="s">
        <v>365</v>
      </c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87">
        <f t="shared" ref="Y159:AN159" si="145">Y128/(Y8)</f>
        <v>0.24676702699117978</v>
      </c>
      <c r="Z159" s="87">
        <f t="shared" si="145"/>
        <v>3.2033791617497087E-2</v>
      </c>
      <c r="AA159" s="87">
        <f t="shared" si="145"/>
        <v>4.331142687213161E-2</v>
      </c>
      <c r="AB159" s="87">
        <f t="shared" si="145"/>
        <v>5.0475053050256458E-2</v>
      </c>
      <c r="AC159" s="87">
        <f t="shared" si="145"/>
        <v>6.9421537998297686E-2</v>
      </c>
      <c r="AD159" s="87">
        <f t="shared" si="145"/>
        <v>4.8294971152420998E-2</v>
      </c>
      <c r="AE159" s="87">
        <f t="shared" si="145"/>
        <v>3.5358788140517378E-2</v>
      </c>
      <c r="AF159" s="87">
        <f t="shared" si="145"/>
        <v>2.6128603970267086E-2</v>
      </c>
      <c r="AG159" s="87">
        <f t="shared" si="145"/>
        <v>1.9980780766674963E-2</v>
      </c>
      <c r="AH159" s="87">
        <f t="shared" si="145"/>
        <v>1.6076541964450786E-2</v>
      </c>
      <c r="AI159" s="87">
        <f t="shared" si="145"/>
        <v>1.3463035776327813E-2</v>
      </c>
      <c r="AJ159" s="87">
        <f t="shared" si="145"/>
        <v>1.1704935127972809E-2</v>
      </c>
      <c r="AK159" s="87">
        <f t="shared" si="145"/>
        <v>1.0503363370599868E-2</v>
      </c>
      <c r="AL159" s="87">
        <f t="shared" si="145"/>
        <v>9.7004798324230729E-3</v>
      </c>
      <c r="AM159" s="87">
        <f t="shared" si="145"/>
        <v>9.1563641908818695E-3</v>
      </c>
      <c r="AN159" s="87">
        <f t="shared" si="145"/>
        <v>8.810947210679064E-3</v>
      </c>
      <c r="AO159" s="7"/>
      <c r="AP159" s="68"/>
      <c r="AQ159" s="68"/>
      <c r="AR159" s="68"/>
    </row>
    <row r="160" spans="1:44" outlineLevel="1">
      <c r="E160" s="70" t="s">
        <v>364</v>
      </c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87">
        <f t="shared" ref="Y160:AN160" si="146">(Y129-Y141-Y142)/(Y61)</f>
        <v>9.9454421459422571E-3</v>
      </c>
      <c r="Z160" s="87">
        <f t="shared" si="146"/>
        <v>1.6028118895540663E-3</v>
      </c>
      <c r="AA160" s="87">
        <f t="shared" si="146"/>
        <v>7.0297108876918243E-3</v>
      </c>
      <c r="AB160" s="87">
        <f t="shared" si="146"/>
        <v>-8.1829765840815624E-3</v>
      </c>
      <c r="AC160" s="87">
        <f t="shared" si="146"/>
        <v>-1.5742226827819044E-2</v>
      </c>
      <c r="AD160" s="87">
        <f t="shared" si="146"/>
        <v>-1.1296410416728381E-2</v>
      </c>
      <c r="AE160" s="87">
        <f t="shared" si="146"/>
        <v>-8.7033942688807334E-3</v>
      </c>
      <c r="AF160" s="87">
        <f t="shared" si="146"/>
        <v>-6.6973153317011445E-3</v>
      </c>
      <c r="AG160" s="87">
        <f t="shared" si="146"/>
        <v>-5.3013935149385854E-3</v>
      </c>
      <c r="AH160" s="87">
        <f t="shared" si="146"/>
        <v>-4.3415602750308353E-3</v>
      </c>
      <c r="AI160" s="87">
        <f t="shared" si="146"/>
        <v>-3.6354551085752049E-3</v>
      </c>
      <c r="AJ160" s="87">
        <f t="shared" si="146"/>
        <v>-3.0934810477150701E-3</v>
      </c>
      <c r="AK160" s="87">
        <f t="shared" si="146"/>
        <v>-2.6600853157353866E-3</v>
      </c>
      <c r="AL160" s="87">
        <f t="shared" si="146"/>
        <v>-2.3012359131405311E-3</v>
      </c>
      <c r="AM160" s="87">
        <f t="shared" si="146"/>
        <v>-1.9922053993112342E-3</v>
      </c>
      <c r="AN160" s="87">
        <f t="shared" si="146"/>
        <v>-1.7207602730988194E-3</v>
      </c>
      <c r="AO160" s="7"/>
      <c r="AP160" s="68"/>
      <c r="AQ160" s="68"/>
      <c r="AR160" s="68"/>
    </row>
    <row r="161" spans="1:44" outlineLevel="1"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7"/>
      <c r="AB161" s="68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68"/>
      <c r="AQ161" s="68"/>
      <c r="AR161" s="68"/>
    </row>
    <row r="162" spans="1:44" outlineLevel="1">
      <c r="E162" t="s">
        <v>198</v>
      </c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7">
        <f>+Z156-Y156</f>
        <v>-6.1269999999999669</v>
      </c>
      <c r="AA162" s="7">
        <f>+AA156-Z156</f>
        <v>-23.0150000000001</v>
      </c>
      <c r="AB162" s="7">
        <f>+AB156-AA156</f>
        <v>9.8870000000000573</v>
      </c>
      <c r="AC162" s="7">
        <f t="shared" ref="AC162:AN162" si="147">+AC156-AB156</f>
        <v>-14.610779946461605</v>
      </c>
      <c r="AD162" s="7">
        <f t="shared" si="147"/>
        <v>-9.6267530062129936</v>
      </c>
      <c r="AE162" s="7">
        <f t="shared" si="147"/>
        <v>-19.73100802416576</v>
      </c>
      <c r="AF162" s="7">
        <f t="shared" si="147"/>
        <v>-13.06372714155323</v>
      </c>
      <c r="AG162" s="7">
        <f t="shared" si="147"/>
        <v>-11.280139839428983</v>
      </c>
      <c r="AH162" s="7">
        <f t="shared" si="147"/>
        <v>-6.9355013340638436</v>
      </c>
      <c r="AI162" s="7">
        <f t="shared" si="147"/>
        <v>-2.0855409098717672</v>
      </c>
      <c r="AJ162" s="7">
        <f t="shared" si="147"/>
        <v>3.3732094102596761</v>
      </c>
      <c r="AK162" s="7">
        <f t="shared" si="147"/>
        <v>9.1620228081912387</v>
      </c>
      <c r="AL162" s="7">
        <f t="shared" si="147"/>
        <v>15.188195406772635</v>
      </c>
      <c r="AM162" s="7">
        <f t="shared" si="147"/>
        <v>21.329301223502547</v>
      </c>
      <c r="AN162" s="7">
        <f t="shared" si="147"/>
        <v>27.839301532085805</v>
      </c>
      <c r="AO162" s="7"/>
      <c r="AP162" s="68"/>
      <c r="AQ162" s="68"/>
      <c r="AR162" s="68"/>
    </row>
    <row r="163" spans="1:44" outlineLevel="1">
      <c r="E163" t="s">
        <v>231</v>
      </c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7">
        <f t="shared" ref="Z163:AE163" si="148">-Z104</f>
        <v>-2.1510000000000051</v>
      </c>
      <c r="AA163" s="7">
        <f t="shared" si="148"/>
        <v>-3.0739999999999945</v>
      </c>
      <c r="AB163" s="7">
        <f t="shared" si="148"/>
        <v>-7.3849999999999909</v>
      </c>
      <c r="AC163" s="7">
        <f t="shared" si="148"/>
        <v>8.5477025601875845</v>
      </c>
      <c r="AD163" s="7">
        <f t="shared" si="148"/>
        <v>-10.042231077064429</v>
      </c>
      <c r="AE163" s="7">
        <f t="shared" si="148"/>
        <v>-14.514483149941503</v>
      </c>
      <c r="AF163" s="206">
        <f>AF162</f>
        <v>-13.06372714155323</v>
      </c>
      <c r="AG163" s="206">
        <f t="shared" ref="AG163:AN163" si="149">AG162</f>
        <v>-11.280139839428983</v>
      </c>
      <c r="AH163" s="206">
        <f t="shared" si="149"/>
        <v>-6.9355013340638436</v>
      </c>
      <c r="AI163" s="206">
        <f t="shared" si="149"/>
        <v>-2.0855409098717672</v>
      </c>
      <c r="AJ163" s="206">
        <f t="shared" si="149"/>
        <v>3.3732094102596761</v>
      </c>
      <c r="AK163" s="206">
        <f t="shared" si="149"/>
        <v>9.1620228081912387</v>
      </c>
      <c r="AL163" s="206">
        <f t="shared" si="149"/>
        <v>15.188195406772635</v>
      </c>
      <c r="AM163" s="206">
        <f t="shared" si="149"/>
        <v>21.329301223502547</v>
      </c>
      <c r="AN163" s="206">
        <f t="shared" si="149"/>
        <v>27.839301532085805</v>
      </c>
      <c r="AO163" s="7"/>
      <c r="AP163" s="68"/>
      <c r="AQ163" s="68"/>
      <c r="AR163" s="68"/>
    </row>
    <row r="164" spans="1:44" outlineLevel="1">
      <c r="E164" s="84" t="s">
        <v>221</v>
      </c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7">
        <f t="shared" ref="Z164:AN164" si="150">Z162-Z163</f>
        <v>-3.9759999999999618</v>
      </c>
      <c r="AA164" s="7">
        <f t="shared" si="150"/>
        <v>-19.941000000000106</v>
      </c>
      <c r="AB164" s="7">
        <f t="shared" si="150"/>
        <v>17.272000000000048</v>
      </c>
      <c r="AC164" s="7">
        <f t="shared" si="150"/>
        <v>-23.15848250664919</v>
      </c>
      <c r="AD164" s="7">
        <f t="shared" si="150"/>
        <v>0.41547807085143518</v>
      </c>
      <c r="AE164" s="7">
        <f t="shared" si="150"/>
        <v>-5.2165248742242571</v>
      </c>
      <c r="AF164" s="7">
        <f t="shared" si="150"/>
        <v>0</v>
      </c>
      <c r="AG164" s="7">
        <f t="shared" si="150"/>
        <v>0</v>
      </c>
      <c r="AH164" s="7">
        <f t="shared" si="150"/>
        <v>0</v>
      </c>
      <c r="AI164" s="7">
        <f t="shared" si="150"/>
        <v>0</v>
      </c>
      <c r="AJ164" s="7">
        <f t="shared" si="150"/>
        <v>0</v>
      </c>
      <c r="AK164" s="7">
        <f t="shared" si="150"/>
        <v>0</v>
      </c>
      <c r="AL164" s="7">
        <f t="shared" si="150"/>
        <v>0</v>
      </c>
      <c r="AM164" s="7">
        <f t="shared" si="150"/>
        <v>0</v>
      </c>
      <c r="AN164" s="7">
        <f t="shared" si="150"/>
        <v>0</v>
      </c>
      <c r="AO164" s="7"/>
      <c r="AP164" s="68"/>
      <c r="AQ164" s="68"/>
      <c r="AR164" s="68"/>
    </row>
    <row r="165" spans="1:44" outlineLevel="1">
      <c r="E165" s="84" t="s">
        <v>366</v>
      </c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7">
        <f t="shared" ref="Z165:AE165" si="151">Z248</f>
        <v>-3.2599999999999949</v>
      </c>
      <c r="AA165" s="7">
        <f t="shared" si="151"/>
        <v>-6.6780000000000035</v>
      </c>
      <c r="AB165" s="7">
        <f t="shared" si="151"/>
        <v>3.2290000000000005</v>
      </c>
      <c r="AC165" s="7">
        <f t="shared" si="151"/>
        <v>4.0831119400248239</v>
      </c>
      <c r="AD165" s="7">
        <f t="shared" si="151"/>
        <v>-0.91571935662570003</v>
      </c>
      <c r="AE165" s="7">
        <f t="shared" si="151"/>
        <v>-1.3016613232293774</v>
      </c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68"/>
      <c r="AQ165" s="68"/>
      <c r="AR165" s="68"/>
    </row>
    <row r="166" spans="1:44" s="3" customFormat="1">
      <c r="A166" s="110"/>
      <c r="B166" s="110"/>
      <c r="C166" s="36"/>
      <c r="D166"/>
      <c r="E166" s="148"/>
      <c r="F166" s="36"/>
      <c r="G166" s="36"/>
      <c r="H166" s="36"/>
      <c r="I166" s="36"/>
      <c r="J166" s="36"/>
      <c r="K166"/>
      <c r="L166"/>
      <c r="M166"/>
      <c r="N166"/>
      <c r="O166"/>
      <c r="P166"/>
      <c r="Q166"/>
      <c r="R166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64"/>
    </row>
    <row r="167" spans="1:44">
      <c r="C167" s="141" t="s">
        <v>189</v>
      </c>
      <c r="D167" s="52" t="s">
        <v>189</v>
      </c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</row>
    <row r="168" spans="1:44">
      <c r="D168" s="104"/>
      <c r="E168" s="105" t="s">
        <v>155</v>
      </c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81"/>
      <c r="AG168" s="104"/>
      <c r="AH168" s="104"/>
      <c r="AI168" s="104"/>
      <c r="AJ168" s="104"/>
      <c r="AK168" s="104"/>
      <c r="AL168" s="104"/>
      <c r="AM168" s="104"/>
      <c r="AN168" s="104"/>
    </row>
    <row r="169" spans="1:44" ht="5.0999999999999996" customHeight="1"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65"/>
      <c r="Y169" s="65"/>
      <c r="Z169" s="65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"/>
    </row>
    <row r="170" spans="1:44" s="3" customFormat="1" outlineLevel="1">
      <c r="A170" s="110"/>
      <c r="B170" s="110"/>
      <c r="C170" s="36"/>
      <c r="D170"/>
      <c r="E170" s="148" t="s">
        <v>156</v>
      </c>
      <c r="F170"/>
      <c r="G170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>
        <f t="shared" ref="Y170:AE170" si="152">Y138+Y145</f>
        <v>40.25</v>
      </c>
      <c r="Z170" s="74">
        <f t="shared" si="152"/>
        <v>88.49199999999999</v>
      </c>
      <c r="AA170" s="74">
        <f t="shared" si="152"/>
        <v>165.43899999999999</v>
      </c>
      <c r="AB170" s="74">
        <f t="shared" si="152"/>
        <v>139.16300000000001</v>
      </c>
      <c r="AC170" s="74">
        <f t="shared" si="152"/>
        <v>26.964233442530286</v>
      </c>
      <c r="AD170" s="74">
        <f t="shared" si="152"/>
        <v>97.165627636025661</v>
      </c>
      <c r="AE170" s="74">
        <f t="shared" si="152"/>
        <v>229.12045768518848</v>
      </c>
      <c r="AF170" s="98">
        <f>AF176*AF177</f>
        <v>355.33401259581359</v>
      </c>
      <c r="AG170" s="98">
        <f t="shared" ref="AG170:AN170" si="153">AG176*AG177</f>
        <v>488.76129176429237</v>
      </c>
      <c r="AH170" s="98">
        <f t="shared" si="153"/>
        <v>643.02369522814831</v>
      </c>
      <c r="AI170" s="98">
        <f t="shared" si="153"/>
        <v>755.78878698803726</v>
      </c>
      <c r="AJ170" s="98">
        <f t="shared" si="153"/>
        <v>849.64443478513806</v>
      </c>
      <c r="AK170" s="98">
        <f t="shared" si="153"/>
        <v>928.19412539937582</v>
      </c>
      <c r="AL170" s="98">
        <f t="shared" si="153"/>
        <v>982.75252575022068</v>
      </c>
      <c r="AM170" s="98">
        <f t="shared" si="153"/>
        <v>1143.3521369409516</v>
      </c>
      <c r="AN170" s="98">
        <f t="shared" si="153"/>
        <v>1311.6656153342117</v>
      </c>
      <c r="AO170" s="64"/>
    </row>
    <row r="171" spans="1:44" s="3" customFormat="1" outlineLevel="1">
      <c r="A171" s="110"/>
      <c r="B171" s="110"/>
      <c r="C171" s="36"/>
      <c r="D171"/>
      <c r="E171" s="278" t="s">
        <v>159</v>
      </c>
      <c r="F171"/>
      <c r="G171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>
        <f t="shared" ref="Z171:AE171" si="154">AVERAGE(Y170:Z170)</f>
        <v>64.370999999999995</v>
      </c>
      <c r="AA171" s="7">
        <f t="shared" si="154"/>
        <v>126.96549999999999</v>
      </c>
      <c r="AB171" s="7">
        <f t="shared" si="154"/>
        <v>152.30099999999999</v>
      </c>
      <c r="AC171" s="7">
        <f t="shared" si="154"/>
        <v>83.063616721265149</v>
      </c>
      <c r="AD171" s="7">
        <f t="shared" si="154"/>
        <v>62.064930539277974</v>
      </c>
      <c r="AE171" s="7">
        <f t="shared" si="154"/>
        <v>163.14304266060708</v>
      </c>
      <c r="AF171" s="7">
        <f t="shared" ref="AF171:AN171" si="155">AVERAGE(AE170:AF170)</f>
        <v>292.22723514050102</v>
      </c>
      <c r="AG171" s="7">
        <f t="shared" si="155"/>
        <v>422.04765218005298</v>
      </c>
      <c r="AH171" s="7">
        <f t="shared" si="155"/>
        <v>565.89249349622037</v>
      </c>
      <c r="AI171" s="7">
        <f t="shared" si="155"/>
        <v>699.40624110809279</v>
      </c>
      <c r="AJ171" s="7">
        <f t="shared" si="155"/>
        <v>802.71661088658766</v>
      </c>
      <c r="AK171" s="7">
        <f t="shared" si="155"/>
        <v>888.91928009225694</v>
      </c>
      <c r="AL171" s="7">
        <f t="shared" si="155"/>
        <v>955.47332557479831</v>
      </c>
      <c r="AM171" s="7">
        <f t="shared" si="155"/>
        <v>1063.052331345586</v>
      </c>
      <c r="AN171" s="7">
        <f t="shared" si="155"/>
        <v>1227.5088761375816</v>
      </c>
      <c r="AO171" s="64"/>
    </row>
    <row r="172" spans="1:44" s="3" customFormat="1" outlineLevel="1">
      <c r="A172" s="110"/>
      <c r="B172" s="110"/>
      <c r="C172" s="36"/>
      <c r="D172"/>
      <c r="E172" s="67" t="s">
        <v>109</v>
      </c>
      <c r="F172"/>
      <c r="G172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>
        <f t="shared" ref="Z172:AE172" si="156">Z190</f>
        <v>5.8040000000000003</v>
      </c>
      <c r="AA172" s="7">
        <f t="shared" si="156"/>
        <v>12.97</v>
      </c>
      <c r="AB172" s="7">
        <f t="shared" si="156"/>
        <v>14.925000000000001</v>
      </c>
      <c r="AC172" s="7">
        <f t="shared" si="156"/>
        <v>4.438706313114233</v>
      </c>
      <c r="AD172" s="7">
        <f t="shared" si="156"/>
        <v>2.4215403507799858</v>
      </c>
      <c r="AE172" s="7">
        <f t="shared" si="156"/>
        <v>6.695159413577656</v>
      </c>
      <c r="AF172" s="206">
        <f>AF171*AF173</f>
        <v>13.150225581322546</v>
      </c>
      <c r="AG172" s="206">
        <f t="shared" ref="AG172:AN172" si="157">AG171*AG173</f>
        <v>18.992144348102382</v>
      </c>
      <c r="AH172" s="206">
        <f t="shared" si="157"/>
        <v>25.465162207329914</v>
      </c>
      <c r="AI172" s="206">
        <f t="shared" si="157"/>
        <v>31.473280849864175</v>
      </c>
      <c r="AJ172" s="206">
        <f t="shared" si="157"/>
        <v>36.122247489896445</v>
      </c>
      <c r="AK172" s="206">
        <f t="shared" si="157"/>
        <v>40.001367604151561</v>
      </c>
      <c r="AL172" s="206">
        <f t="shared" si="157"/>
        <v>42.996299650865922</v>
      </c>
      <c r="AM172" s="206">
        <f t="shared" si="157"/>
        <v>47.837354910551369</v>
      </c>
      <c r="AN172" s="206">
        <f t="shared" si="157"/>
        <v>55.23789942619117</v>
      </c>
      <c r="AO172" s="64"/>
    </row>
    <row r="173" spans="1:44" s="3" customFormat="1" outlineLevel="1">
      <c r="A173" s="110"/>
      <c r="B173" s="110"/>
      <c r="C173" s="36"/>
      <c r="D173"/>
      <c r="E173" s="70" t="s">
        <v>160</v>
      </c>
      <c r="F173"/>
      <c r="G173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87">
        <f t="shared" ref="Z173:AE173" si="158">IFERROR(Z172/Z171,"na")</f>
        <v>9.0164825775582186E-2</v>
      </c>
      <c r="AA173" s="87">
        <f t="shared" si="158"/>
        <v>0.10215373467595529</v>
      </c>
      <c r="AB173" s="87">
        <f t="shared" si="158"/>
        <v>9.7996730159355505E-2</v>
      </c>
      <c r="AC173" s="87">
        <f t="shared" si="158"/>
        <v>5.3437431312545754E-2</v>
      </c>
      <c r="AD173" s="87">
        <f t="shared" si="158"/>
        <v>3.9016242018469781E-2</v>
      </c>
      <c r="AE173" s="87">
        <f t="shared" si="158"/>
        <v>4.103858371396113E-2</v>
      </c>
      <c r="AF173" s="77">
        <v>4.4999999999999998E-2</v>
      </c>
      <c r="AG173" s="77">
        <f>AF173</f>
        <v>4.4999999999999998E-2</v>
      </c>
      <c r="AH173" s="77">
        <f t="shared" ref="AH173:AN173" si="159">AG173</f>
        <v>4.4999999999999998E-2</v>
      </c>
      <c r="AI173" s="77">
        <f t="shared" si="159"/>
        <v>4.4999999999999998E-2</v>
      </c>
      <c r="AJ173" s="77">
        <f t="shared" si="159"/>
        <v>4.4999999999999998E-2</v>
      </c>
      <c r="AK173" s="77">
        <f t="shared" si="159"/>
        <v>4.4999999999999998E-2</v>
      </c>
      <c r="AL173" s="77">
        <f t="shared" si="159"/>
        <v>4.4999999999999998E-2</v>
      </c>
      <c r="AM173" s="77">
        <f t="shared" si="159"/>
        <v>4.4999999999999998E-2</v>
      </c>
      <c r="AN173" s="77">
        <f t="shared" si="159"/>
        <v>4.4999999999999998E-2</v>
      </c>
      <c r="AO173" s="64"/>
    </row>
    <row r="174" spans="1:44" s="3" customFormat="1" ht="5.0999999999999996" customHeight="1" outlineLevel="1">
      <c r="A174" s="110"/>
      <c r="B174" s="110"/>
      <c r="C174" s="36"/>
      <c r="D174"/>
      <c r="E174" s="70"/>
      <c r="F174"/>
      <c r="G174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64"/>
    </row>
    <row r="175" spans="1:44" s="3" customFormat="1" outlineLevel="1">
      <c r="A175" s="110"/>
      <c r="B175" s="110"/>
      <c r="C175" s="36"/>
      <c r="D175"/>
      <c r="E175" s="70" t="s">
        <v>157</v>
      </c>
      <c r="F175"/>
      <c r="G175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>
        <f t="shared" ref="Y175:AN175" si="160">Y170-Y126</f>
        <v>30.114000000000001</v>
      </c>
      <c r="Z175" s="7">
        <f t="shared" si="160"/>
        <v>73.77</v>
      </c>
      <c r="AA175" s="7">
        <f t="shared" si="160"/>
        <v>137.001</v>
      </c>
      <c r="AB175" s="7">
        <f t="shared" si="160"/>
        <v>74.396000000000015</v>
      </c>
      <c r="AC175" s="7">
        <f t="shared" si="160"/>
        <v>-181.07574789496877</v>
      </c>
      <c r="AD175" s="7">
        <f t="shared" si="160"/>
        <v>-62.918463084377791</v>
      </c>
      <c r="AE175" s="7">
        <f t="shared" si="160"/>
        <v>77.922833388214258</v>
      </c>
      <c r="AF175" s="7">
        <f t="shared" ca="1" si="160"/>
        <v>231.66198076535585</v>
      </c>
      <c r="AG175" s="7">
        <f t="shared" ca="1" si="160"/>
        <v>389.71102997024104</v>
      </c>
      <c r="AH175" s="7">
        <f t="shared" ca="1" si="160"/>
        <v>515.63032030901059</v>
      </c>
      <c r="AI175" s="7">
        <f t="shared" ca="1" si="160"/>
        <v>597.46477841888986</v>
      </c>
      <c r="AJ175" s="7">
        <f t="shared" ca="1" si="160"/>
        <v>625.35989311498679</v>
      </c>
      <c r="AK175" s="7">
        <f t="shared" ca="1" si="160"/>
        <v>590.08519237383621</v>
      </c>
      <c r="AL175" s="7">
        <f t="shared" ca="1" si="160"/>
        <v>486.80386235817775</v>
      </c>
      <c r="AM175" s="7">
        <f t="shared" ca="1" si="160"/>
        <v>307.84773704770032</v>
      </c>
      <c r="AN175" s="7">
        <f t="shared" ca="1" si="160"/>
        <v>48.915350530815658</v>
      </c>
      <c r="AO175" s="64"/>
    </row>
    <row r="176" spans="1:44" s="3" customFormat="1" outlineLevel="1">
      <c r="A176" s="110"/>
      <c r="B176" s="110"/>
      <c r="C176" s="36"/>
      <c r="D176"/>
      <c r="E176" s="70" t="s">
        <v>103</v>
      </c>
      <c r="F176"/>
      <c r="G176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>
        <f t="shared" ref="Z176:AN176" si="161">Z67</f>
        <v>16.393999999999988</v>
      </c>
      <c r="AA176" s="7">
        <f t="shared" si="161"/>
        <v>31.796000000000099</v>
      </c>
      <c r="AB176" s="7">
        <f t="shared" si="161"/>
        <v>59.282999999999937</v>
      </c>
      <c r="AC176" s="7">
        <f t="shared" si="161"/>
        <v>89.789233442530403</v>
      </c>
      <c r="AD176" s="7">
        <f t="shared" si="161"/>
        <v>133.69832223361345</v>
      </c>
      <c r="AE176" s="7">
        <f t="shared" si="161"/>
        <v>191.64852683600634</v>
      </c>
      <c r="AF176" s="7">
        <f t="shared" si="161"/>
        <v>273.33385584293353</v>
      </c>
      <c r="AG176" s="7">
        <f t="shared" si="161"/>
        <v>375.97022443407104</v>
      </c>
      <c r="AH176" s="7">
        <f t="shared" si="161"/>
        <v>494.63361171396025</v>
      </c>
      <c r="AI176" s="7">
        <f t="shared" si="161"/>
        <v>629.82398915669773</v>
      </c>
      <c r="AJ176" s="7">
        <f t="shared" si="161"/>
        <v>772.40403162285293</v>
      </c>
      <c r="AK176" s="7">
        <f t="shared" si="161"/>
        <v>928.19412539937593</v>
      </c>
      <c r="AL176" s="7">
        <f t="shared" si="161"/>
        <v>1091.9472508335787</v>
      </c>
      <c r="AM176" s="7">
        <f t="shared" si="161"/>
        <v>1270.3912632677241</v>
      </c>
      <c r="AN176" s="7">
        <f t="shared" si="161"/>
        <v>1457.4062392602352</v>
      </c>
      <c r="AO176" s="64"/>
    </row>
    <row r="177" spans="1:41" s="3" customFormat="1" outlineLevel="1">
      <c r="A177" s="110"/>
      <c r="B177" s="110"/>
      <c r="C177" s="36"/>
      <c r="D177"/>
      <c r="E177" s="70" t="s">
        <v>158</v>
      </c>
      <c r="F177"/>
      <c r="G17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149">
        <f t="shared" ref="Z177:AE177" si="162">Z170/Z176</f>
        <v>5.3978284738318933</v>
      </c>
      <c r="AA177" s="149">
        <f t="shared" si="162"/>
        <v>5.2031387595923855</v>
      </c>
      <c r="AB177" s="149">
        <f t="shared" si="162"/>
        <v>2.3474351837795009</v>
      </c>
      <c r="AC177" s="149">
        <f t="shared" si="162"/>
        <v>0.30030586528827807</v>
      </c>
      <c r="AD177" s="149">
        <f t="shared" si="162"/>
        <v>0.72675278203002758</v>
      </c>
      <c r="AE177" s="149">
        <f t="shared" si="162"/>
        <v>1.1955242310902128</v>
      </c>
      <c r="AF177" s="91">
        <v>1.3</v>
      </c>
      <c r="AG177" s="91">
        <f>AF177</f>
        <v>1.3</v>
      </c>
      <c r="AH177" s="91">
        <f>AG177</f>
        <v>1.3</v>
      </c>
      <c r="AI177" s="91">
        <f>AH177-0.1</f>
        <v>1.2</v>
      </c>
      <c r="AJ177" s="91">
        <f>AI177-0.1</f>
        <v>1.0999999999999999</v>
      </c>
      <c r="AK177" s="91">
        <f>AJ177-0.1</f>
        <v>0.99999999999999989</v>
      </c>
      <c r="AL177" s="91">
        <f>AK177-0.1</f>
        <v>0.89999999999999991</v>
      </c>
      <c r="AM177" s="91">
        <f>AL177</f>
        <v>0.89999999999999991</v>
      </c>
      <c r="AN177" s="91">
        <f>AM177</f>
        <v>0.89999999999999991</v>
      </c>
      <c r="AO177" s="64"/>
    </row>
    <row r="178" spans="1:41" s="3" customFormat="1" outlineLevel="1">
      <c r="A178" s="110"/>
      <c r="B178" s="110"/>
      <c r="C178" s="36"/>
      <c r="D178"/>
      <c r="E178" s="70" t="s">
        <v>84</v>
      </c>
      <c r="F178"/>
      <c r="G178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149">
        <f t="shared" ref="Z178:AE178" si="163">Z175/Z176</f>
        <v>4.4998170062217913</v>
      </c>
      <c r="AA178" s="149">
        <f t="shared" si="163"/>
        <v>4.308749528242533</v>
      </c>
      <c r="AB178" s="149">
        <f t="shared" si="163"/>
        <v>1.2549297437714031</v>
      </c>
      <c r="AC178" s="149">
        <f t="shared" si="163"/>
        <v>-2.0166755072128586</v>
      </c>
      <c r="AD178" s="149">
        <f t="shared" si="163"/>
        <v>-0.47060024414097912</v>
      </c>
      <c r="AE178" s="149">
        <f t="shared" si="163"/>
        <v>0.40659239428901445</v>
      </c>
      <c r="AF178" s="149">
        <f t="shared" ref="AF178:AN178" ca="1" si="164">AF175/AF176</f>
        <v>0.84754221188931789</v>
      </c>
      <c r="AG178" s="149">
        <f t="shared" ca="1" si="164"/>
        <v>1.0365475897907961</v>
      </c>
      <c r="AH178" s="149">
        <f t="shared" ca="1" si="164"/>
        <v>1.0424490129619264</v>
      </c>
      <c r="AI178" s="149">
        <f t="shared" ca="1" si="164"/>
        <v>0.94862181927821576</v>
      </c>
      <c r="AJ178" s="149">
        <f t="shared" ca="1" si="164"/>
        <v>0.80962795054432812</v>
      </c>
      <c r="AK178" s="149">
        <f t="shared" ca="1" si="164"/>
        <v>0.63573467685969143</v>
      </c>
      <c r="AL178" s="149">
        <f t="shared" ca="1" si="164"/>
        <v>0.44581261776753217</v>
      </c>
      <c r="AM178" s="149">
        <f t="shared" ca="1" si="164"/>
        <v>0.24232513710449224</v>
      </c>
      <c r="AN178" s="149">
        <f t="shared" ca="1" si="164"/>
        <v>3.35632915607968E-2</v>
      </c>
      <c r="AO178" s="64"/>
    </row>
    <row r="179" spans="1:41" s="3" customFormat="1" outlineLevel="1">
      <c r="A179" s="110"/>
      <c r="B179" s="110"/>
      <c r="C179" s="36"/>
      <c r="D179"/>
      <c r="E179" s="70"/>
      <c r="F179"/>
      <c r="G179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64"/>
    </row>
    <row r="180" spans="1:41" s="3" customFormat="1" outlineLevel="1">
      <c r="A180" s="110"/>
      <c r="B180" s="110" t="s">
        <v>267</v>
      </c>
      <c r="C180" s="36"/>
      <c r="D180"/>
      <c r="E180" s="70" t="s">
        <v>267</v>
      </c>
      <c r="F180"/>
      <c r="G180"/>
      <c r="H180" s="225"/>
      <c r="I180" s="225"/>
      <c r="J180" s="225"/>
      <c r="K180" s="225"/>
      <c r="L180" s="225"/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25"/>
      <c r="Y180" s="225"/>
      <c r="Z180" s="225" cm="1">
        <f t="array" ref="Z180">INDEX(QRT!$1:$1048576,MATCH(Model!$B180,QRT!$A:$A,0),MATCH(Model!Z$3,QRT!$4:$4,0)+3)</f>
        <v>19.286000000000001</v>
      </c>
      <c r="AA180" s="225" cm="1">
        <f t="array" ref="AA180">INDEX(QRT!$1:$1048576,MATCH(Model!$B180,QRT!$A:$A,0),MATCH(Model!AA$3,QRT!$4:$4,0)+3)</f>
        <v>35.015000000000001</v>
      </c>
      <c r="AB180" s="225" cm="1">
        <f t="array" ref="AB180">INDEX(QRT!$1:$1048576,MATCH(Model!$B180,QRT!$A:$A,0),MATCH(Model!AB$3,QRT!$4:$4,0)+3)</f>
        <v>30.916</v>
      </c>
      <c r="AC180" s="206" cm="1">
        <f t="array" ref="AC180">INDEX(QRT!$1:$1048576,MATCH(Model!$B180,QRT!$A:$A,0),MATCH(Model!AC$3,QRT!$4:$4,0)+3)</f>
        <v>102.53577582868317</v>
      </c>
      <c r="AD180" s="206" cm="1">
        <f t="array" ref="AD180">INDEX(QRT!$1:$1048576,MATCH(Model!$B180,QRT!$A:$A,0),MATCH(Model!AD$3,QRT!$4:$4,0)+3)</f>
        <v>95.420516693624862</v>
      </c>
      <c r="AE180" s="206" cm="1">
        <f t="array" ref="AE180">INDEX(QRT!$1:$1048576,MATCH(Model!$B180,QRT!$A:$A,0),MATCH(Model!AE$3,QRT!$4:$4,0)+3)</f>
        <v>101.08141312821712</v>
      </c>
      <c r="AF180" s="7">
        <f>AF240</f>
        <v>115.16139465741135</v>
      </c>
      <c r="AG180" s="7">
        <f t="shared" ref="AG180:AN180" si="165">AG240</f>
        <v>134.4645309726919</v>
      </c>
      <c r="AH180" s="7">
        <f t="shared" si="165"/>
        <v>149.41960374636989</v>
      </c>
      <c r="AI180" s="7">
        <f t="shared" si="165"/>
        <v>162.2407818649697</v>
      </c>
      <c r="AJ180" s="7">
        <f t="shared" si="165"/>
        <v>172.92553945485335</v>
      </c>
      <c r="AK180" s="7">
        <f t="shared" si="165"/>
        <v>182.58807185403214</v>
      </c>
      <c r="AL180" s="7">
        <f t="shared" si="165"/>
        <v>191.78040187300536</v>
      </c>
      <c r="AM180" s="7">
        <f t="shared" si="165"/>
        <v>200.76941874659903</v>
      </c>
      <c r="AN180" s="7">
        <f t="shared" si="165"/>
        <v>209.68076731974625</v>
      </c>
      <c r="AO180" s="64"/>
    </row>
    <row r="181" spans="1:41" s="3" customFormat="1" outlineLevel="1">
      <c r="A181" s="110"/>
      <c r="B181" s="110" t="s">
        <v>270</v>
      </c>
      <c r="C181" s="36"/>
      <c r="D181"/>
      <c r="E181" s="70" t="s">
        <v>270</v>
      </c>
      <c r="F181"/>
      <c r="G181"/>
      <c r="H181" s="225"/>
      <c r="I181" s="225"/>
      <c r="J181" s="225"/>
      <c r="K181" s="225"/>
      <c r="L181" s="225"/>
      <c r="M181" s="225"/>
      <c r="N181" s="225"/>
      <c r="O181" s="225"/>
      <c r="P181" s="225"/>
      <c r="Q181" s="225"/>
      <c r="R181" s="225"/>
      <c r="S181" s="225"/>
      <c r="T181" s="225"/>
      <c r="U181" s="225"/>
      <c r="V181" s="225"/>
      <c r="W181" s="225"/>
      <c r="X181" s="225"/>
      <c r="Y181" s="225"/>
      <c r="Z181" s="225" cm="1">
        <f t="array" ref="Z181">INDEX(QRT!$1:$1048576,MATCH(Model!$B181,QRT!$A:$A,0),MATCH(Model!Z$3,QRT!$4:$4,0)+3)</f>
        <v>1.389</v>
      </c>
      <c r="AA181" s="225" cm="1">
        <f t="array" ref="AA181">INDEX(QRT!$1:$1048576,MATCH(Model!$B181,QRT!$A:$A,0),MATCH(Model!AA$3,QRT!$4:$4,0)+3)</f>
        <v>19.600000000000001</v>
      </c>
      <c r="AB181" s="225" cm="1">
        <f t="array" ref="AB181">INDEX(QRT!$1:$1048576,MATCH(Model!$B181,QRT!$A:$A,0),MATCH(Model!AB$3,QRT!$4:$4,0)+3)</f>
        <v>15.61</v>
      </c>
      <c r="AC181" s="206" cm="1">
        <f t="array" ref="AC181">INDEX(QRT!$1:$1048576,MATCH(Model!$B181,QRT!$A:$A,0),MATCH(Model!AC$3,QRT!$4:$4,0)+3)</f>
        <v>23.155076756525418</v>
      </c>
      <c r="AD181" s="206" cm="1">
        <f t="array" ref="AD181">INDEX(QRT!$1:$1048576,MATCH(Model!$B181,QRT!$A:$A,0),MATCH(Model!AD$3,QRT!$4:$4,0)+3)</f>
        <v>25.65638806088641</v>
      </c>
      <c r="AE181" s="206" cm="1">
        <f t="array" ref="AE181">INDEX(QRT!$1:$1048576,MATCH(Model!$B181,QRT!$A:$A,0),MATCH(Model!AE$3,QRT!$4:$4,0)+3)</f>
        <v>33.564460297471854</v>
      </c>
      <c r="AF181" s="7">
        <f>AF211-AE211+AE181</f>
        <v>38.062321010684833</v>
      </c>
      <c r="AG181" s="7">
        <f t="shared" ref="AG181:AN181" si="166">AG211-AF211+AF181</f>
        <v>48.724213042305372</v>
      </c>
      <c r="AH181" s="7">
        <f t="shared" si="166"/>
        <v>59.968746670172344</v>
      </c>
      <c r="AI181" s="7">
        <f t="shared" si="166"/>
        <v>71.748555827589058</v>
      </c>
      <c r="AJ181" s="7">
        <f t="shared" si="166"/>
        <v>83.889822838791815</v>
      </c>
      <c r="AK181" s="7">
        <f t="shared" si="166"/>
        <v>96.330001650546322</v>
      </c>
      <c r="AL181" s="7">
        <f t="shared" si="166"/>
        <v>109.0500752816743</v>
      </c>
      <c r="AM181" s="7">
        <f t="shared" si="166"/>
        <v>122.26455038542484</v>
      </c>
      <c r="AN181" s="7">
        <f t="shared" si="166"/>
        <v>135.98331499125038</v>
      </c>
      <c r="AO181" s="64"/>
    </row>
    <row r="182" spans="1:41" s="3" customFormat="1" outlineLevel="1">
      <c r="A182" s="110"/>
      <c r="B182" s="110"/>
      <c r="C182" s="36"/>
      <c r="D182"/>
      <c r="E182" s="70" t="s">
        <v>127</v>
      </c>
      <c r="F182"/>
      <c r="G182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>
        <f t="shared" ref="Z182:AE182" si="167">Z144+Z140-SUM(Z180:Z181)</f>
        <v>6.6759999999999984</v>
      </c>
      <c r="AA182" s="7">
        <f t="shared" si="167"/>
        <v>14.229999999999997</v>
      </c>
      <c r="AB182" s="7">
        <f t="shared" si="167"/>
        <v>4.4570000000000078</v>
      </c>
      <c r="AC182" s="7">
        <f t="shared" si="167"/>
        <v>0.58499999999997954</v>
      </c>
      <c r="AD182" s="7">
        <f t="shared" si="167"/>
        <v>0.58499999999997954</v>
      </c>
      <c r="AE182" s="7">
        <f t="shared" si="167"/>
        <v>0.58499999999997954</v>
      </c>
      <c r="AF182" s="79">
        <f>AE182</f>
        <v>0.58499999999997954</v>
      </c>
      <c r="AG182" s="79">
        <f>AF182</f>
        <v>0.58499999999997954</v>
      </c>
      <c r="AH182" s="79">
        <f t="shared" ref="AH182:AN182" si="168">AG182</f>
        <v>0.58499999999997954</v>
      </c>
      <c r="AI182" s="79">
        <f t="shared" si="168"/>
        <v>0.58499999999997954</v>
      </c>
      <c r="AJ182" s="79">
        <f t="shared" si="168"/>
        <v>0.58499999999997954</v>
      </c>
      <c r="AK182" s="79">
        <f t="shared" si="168"/>
        <v>0.58499999999997954</v>
      </c>
      <c r="AL182" s="79">
        <f t="shared" si="168"/>
        <v>0.58499999999997954</v>
      </c>
      <c r="AM182" s="79">
        <f t="shared" si="168"/>
        <v>0.58499999999997954</v>
      </c>
      <c r="AN182" s="79">
        <f t="shared" si="168"/>
        <v>0.58499999999997954</v>
      </c>
      <c r="AO182" s="64"/>
    </row>
    <row r="183" spans="1:41" s="3" customFormat="1" outlineLevel="1">
      <c r="A183" s="110"/>
      <c r="B183" s="110"/>
      <c r="C183" s="143"/>
      <c r="E183" s="2" t="s">
        <v>269</v>
      </c>
      <c r="F183" s="2"/>
      <c r="G183" s="2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>
        <f>SUM(Z180:Z182)</f>
        <v>27.350999999999999</v>
      </c>
      <c r="AA183" s="8">
        <f>SUM(AA180:AA182)</f>
        <v>68.844999999999999</v>
      </c>
      <c r="AB183" s="8">
        <f>SUM(AB180:AB182)</f>
        <v>50.983000000000004</v>
      </c>
      <c r="AC183" s="8">
        <f t="shared" ref="AC183:AN183" si="169">SUM(AC180:AC182)</f>
        <v>126.27585258520857</v>
      </c>
      <c r="AD183" s="8">
        <f t="shared" si="169"/>
        <v>121.66190475451126</v>
      </c>
      <c r="AE183" s="8">
        <f t="shared" si="169"/>
        <v>135.23087342568897</v>
      </c>
      <c r="AF183" s="8">
        <f t="shared" si="169"/>
        <v>153.80871566809617</v>
      </c>
      <c r="AG183" s="8">
        <f t="shared" si="169"/>
        <v>183.77374401499725</v>
      </c>
      <c r="AH183" s="8">
        <f t="shared" si="169"/>
        <v>209.97335041654222</v>
      </c>
      <c r="AI183" s="8">
        <f t="shared" si="169"/>
        <v>234.57433769255874</v>
      </c>
      <c r="AJ183" s="8">
        <f t="shared" si="169"/>
        <v>257.40036229364517</v>
      </c>
      <c r="AK183" s="8">
        <f t="shared" si="169"/>
        <v>279.50307350457842</v>
      </c>
      <c r="AL183" s="8">
        <f t="shared" si="169"/>
        <v>301.41547715467965</v>
      </c>
      <c r="AM183" s="8">
        <f t="shared" si="169"/>
        <v>323.61896913202384</v>
      </c>
      <c r="AN183" s="8">
        <f t="shared" si="169"/>
        <v>346.24908231099658</v>
      </c>
      <c r="AO183" s="64"/>
    </row>
    <row r="184" spans="1:41" s="3" customFormat="1" outlineLevel="1">
      <c r="A184" s="110"/>
      <c r="B184" s="110"/>
      <c r="C184" s="36"/>
      <c r="D184"/>
      <c r="E184" s="70" t="s">
        <v>271</v>
      </c>
      <c r="F184"/>
      <c r="G184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3">
        <f t="shared" ref="Z184:AN184" si="170">IFERROR(Z181/Z61,"na")</f>
        <v>3.0248718948241806E-3</v>
      </c>
      <c r="AA184" s="73">
        <f t="shared" si="170"/>
        <v>2.8496863164169554E-2</v>
      </c>
      <c r="AB184" s="73">
        <f t="shared" si="170"/>
        <v>1.6452378217093399E-2</v>
      </c>
      <c r="AC184" s="73">
        <f t="shared" si="170"/>
        <v>1.5242273990192474E-2</v>
      </c>
      <c r="AD184" s="73">
        <f t="shared" si="170"/>
        <v>1.1932740942205186E-2</v>
      </c>
      <c r="AE184" s="73">
        <f t="shared" si="170"/>
        <v>1.1766159778420939E-2</v>
      </c>
      <c r="AF184" s="73">
        <f t="shared" si="170"/>
        <v>1.0086474476950874E-2</v>
      </c>
      <c r="AG184" s="73">
        <f t="shared" si="170"/>
        <v>1.0067424442319643E-2</v>
      </c>
      <c r="AH184" s="73">
        <f t="shared" si="170"/>
        <v>1.0054712746090499E-2</v>
      </c>
      <c r="AI184" s="73">
        <f t="shared" si="170"/>
        <v>1.0045688865770796E-2</v>
      </c>
      <c r="AJ184" s="73">
        <f t="shared" si="170"/>
        <v>1.0039050552385855E-2</v>
      </c>
      <c r="AK184" s="73">
        <f t="shared" si="170"/>
        <v>1.0033990372958336E-2</v>
      </c>
      <c r="AL184" s="73">
        <f t="shared" si="170"/>
        <v>1.0030013688690635E-2</v>
      </c>
      <c r="AM184" s="73">
        <f t="shared" si="170"/>
        <v>1.0026761098087781E-2</v>
      </c>
      <c r="AN184" s="73">
        <f t="shared" si="170"/>
        <v>1.0024054793075363E-2</v>
      </c>
      <c r="AO184" s="64"/>
    </row>
    <row r="185" spans="1:41" s="3" customFormat="1" outlineLevel="1">
      <c r="A185" s="110"/>
      <c r="B185" s="110"/>
      <c r="C185" s="36"/>
      <c r="D185"/>
      <c r="E185" s="70" t="s">
        <v>272</v>
      </c>
      <c r="F185"/>
      <c r="G185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3">
        <f t="shared" ref="Z185:AN185" si="171">IFERROR(Z181/Z131,"na")</f>
        <v>0.18879978252004892</v>
      </c>
      <c r="AA185" s="73">
        <f t="shared" si="171"/>
        <v>0.71459822079626667</v>
      </c>
      <c r="AB185" s="73">
        <f t="shared" si="171"/>
        <v>0.66261991680108667</v>
      </c>
      <c r="AC185" s="73">
        <f t="shared" si="171"/>
        <v>0.66292696889765768</v>
      </c>
      <c r="AD185" s="73">
        <f t="shared" si="171"/>
        <v>0.61018954101108525</v>
      </c>
      <c r="AE185" s="73">
        <f t="shared" si="171"/>
        <v>0.5883607658565887</v>
      </c>
      <c r="AF185" s="73">
        <f t="shared" ca="1" si="171"/>
        <v>0.54260061035303819</v>
      </c>
      <c r="AG185" s="73">
        <f t="shared" ca="1" si="171"/>
        <v>0.53320591559731689</v>
      </c>
      <c r="AH185" s="73">
        <f t="shared" ca="1" si="171"/>
        <v>0.52370153014161558</v>
      </c>
      <c r="AI185" s="73">
        <f t="shared" ca="1" si="171"/>
        <v>0.51400184717595077</v>
      </c>
      <c r="AJ185" s="73">
        <f t="shared" ca="1" si="171"/>
        <v>0.50410178988780008</v>
      </c>
      <c r="AK185" s="73">
        <f t="shared" ca="1" si="171"/>
        <v>0.49395699228461709</v>
      </c>
      <c r="AL185" s="73">
        <f t="shared" ca="1" si="171"/>
        <v>0.48365150367905013</v>
      </c>
      <c r="AM185" s="73">
        <f t="shared" ca="1" si="171"/>
        <v>0.4737177425128869</v>
      </c>
      <c r="AN185" s="73">
        <f t="shared" ca="1" si="171"/>
        <v>0.46410295103105165</v>
      </c>
      <c r="AO185" s="64"/>
    </row>
    <row r="186" spans="1:41" s="3" customFormat="1" outlineLevel="1">
      <c r="A186" s="110"/>
      <c r="B186" s="110"/>
      <c r="C186" s="36"/>
      <c r="D186"/>
      <c r="E186" s="70" t="s">
        <v>273</v>
      </c>
      <c r="F186"/>
      <c r="G186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92">
        <f t="shared" ref="Z186:AE186" si="172">-Z181/(Z115)</f>
        <v>2.6660268714011517</v>
      </c>
      <c r="AA186" s="92">
        <f t="shared" si="172"/>
        <v>2.8254288597376389</v>
      </c>
      <c r="AB186" s="92">
        <f t="shared" si="172"/>
        <v>1.6082835359571399</v>
      </c>
      <c r="AC186" s="92">
        <f t="shared" si="172"/>
        <v>2.5903075157021043</v>
      </c>
      <c r="AD186" s="92">
        <f t="shared" si="172"/>
        <v>2.6104591908439976</v>
      </c>
      <c r="AE186" s="92">
        <f t="shared" si="172"/>
        <v>2.781314671348456</v>
      </c>
      <c r="AF186" s="60">
        <f>AF212</f>
        <v>2.5</v>
      </c>
      <c r="AG186" s="60">
        <f t="shared" ref="AG186:AN186" si="173">AG212</f>
        <v>2.5</v>
      </c>
      <c r="AH186" s="60">
        <f t="shared" si="173"/>
        <v>2.5</v>
      </c>
      <c r="AI186" s="60">
        <f t="shared" si="173"/>
        <v>2.5</v>
      </c>
      <c r="AJ186" s="60">
        <f t="shared" si="173"/>
        <v>2.5</v>
      </c>
      <c r="AK186" s="60">
        <f t="shared" si="173"/>
        <v>2.5</v>
      </c>
      <c r="AL186" s="60">
        <f t="shared" si="173"/>
        <v>2.5</v>
      </c>
      <c r="AM186" s="60">
        <f t="shared" si="173"/>
        <v>2.5</v>
      </c>
      <c r="AN186" s="60">
        <f t="shared" si="173"/>
        <v>2.5</v>
      </c>
      <c r="AO186" s="64"/>
    </row>
    <row r="187" spans="1:41" s="3" customFormat="1" outlineLevel="1">
      <c r="A187" s="110"/>
      <c r="B187" s="110"/>
      <c r="C187" s="36"/>
      <c r="D187"/>
      <c r="E187" s="70" t="s">
        <v>160</v>
      </c>
      <c r="F187"/>
      <c r="G18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87">
        <f t="shared" ref="Z187:AE187" si="174">IFERROR(Z191/SUM(Z180:Z181),"na")</f>
        <v>1.5912938331318027E-2</v>
      </c>
      <c r="AA187" s="87">
        <f t="shared" si="174"/>
        <v>-1.5764899752815139E-2</v>
      </c>
      <c r="AB187" s="87">
        <f t="shared" si="174"/>
        <v>-1.3970683058935637E-3</v>
      </c>
      <c r="AC187" s="87">
        <f t="shared" si="174"/>
        <v>2.3328154730491213E-2</v>
      </c>
      <c r="AD187" s="87">
        <f t="shared" si="174"/>
        <v>5.0365424426689863E-2</v>
      </c>
      <c r="AE187" s="87">
        <f t="shared" si="174"/>
        <v>4.7339973178629091E-2</v>
      </c>
      <c r="AF187" s="77">
        <f>AF173+0.005</f>
        <v>4.9999999999999996E-2</v>
      </c>
      <c r="AG187" s="77">
        <f t="shared" ref="AG187:AN187" si="175">AG173+0.005</f>
        <v>4.9999999999999996E-2</v>
      </c>
      <c r="AH187" s="77">
        <f t="shared" si="175"/>
        <v>4.9999999999999996E-2</v>
      </c>
      <c r="AI187" s="77">
        <f t="shared" si="175"/>
        <v>4.9999999999999996E-2</v>
      </c>
      <c r="AJ187" s="77">
        <f t="shared" si="175"/>
        <v>4.9999999999999996E-2</v>
      </c>
      <c r="AK187" s="77">
        <f t="shared" si="175"/>
        <v>4.9999999999999996E-2</v>
      </c>
      <c r="AL187" s="77">
        <f t="shared" si="175"/>
        <v>4.9999999999999996E-2</v>
      </c>
      <c r="AM187" s="77">
        <f t="shared" si="175"/>
        <v>4.9999999999999996E-2</v>
      </c>
      <c r="AN187" s="77">
        <f t="shared" si="175"/>
        <v>4.9999999999999996E-2</v>
      </c>
      <c r="AO187" s="64"/>
    </row>
    <row r="188" spans="1:41" s="3" customFormat="1" outlineLevel="1">
      <c r="A188" s="110"/>
      <c r="B188" s="110"/>
      <c r="C188" s="36"/>
      <c r="D188"/>
      <c r="E188" s="70" t="s">
        <v>362</v>
      </c>
      <c r="F188"/>
      <c r="G188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3">
        <f t="shared" ref="Z188:AE188" si="176">Z140/SUM(Z140,Z144)</f>
        <v>0.71247851998098788</v>
      </c>
      <c r="AA188" s="73">
        <f t="shared" si="176"/>
        <v>0.51905003994480359</v>
      </c>
      <c r="AB188" s="73">
        <f t="shared" si="176"/>
        <v>0.43396818547358917</v>
      </c>
      <c r="AC188" s="73">
        <f t="shared" si="176"/>
        <v>0.28851592526045233</v>
      </c>
      <c r="AD188" s="73">
        <f t="shared" si="176"/>
        <v>0.28851592526045233</v>
      </c>
      <c r="AE188" s="73">
        <f t="shared" si="176"/>
        <v>0.28851592526045233</v>
      </c>
      <c r="AF188" s="76">
        <v>0.4</v>
      </c>
      <c r="AG188" s="76">
        <f t="shared" ref="AG188:AN188" si="177">AF188</f>
        <v>0.4</v>
      </c>
      <c r="AH188" s="76">
        <f t="shared" si="177"/>
        <v>0.4</v>
      </c>
      <c r="AI188" s="76">
        <f t="shared" si="177"/>
        <v>0.4</v>
      </c>
      <c r="AJ188" s="76">
        <f t="shared" si="177"/>
        <v>0.4</v>
      </c>
      <c r="AK188" s="76">
        <f t="shared" si="177"/>
        <v>0.4</v>
      </c>
      <c r="AL188" s="76">
        <f t="shared" si="177"/>
        <v>0.4</v>
      </c>
      <c r="AM188" s="76">
        <f t="shared" si="177"/>
        <v>0.4</v>
      </c>
      <c r="AN188" s="76">
        <f t="shared" si="177"/>
        <v>0.4</v>
      </c>
      <c r="AO188" s="64"/>
    </row>
    <row r="189" spans="1:41" s="3" customFormat="1" outlineLevel="1">
      <c r="A189" s="110"/>
      <c r="B189" s="110"/>
      <c r="C189" s="36"/>
      <c r="D189"/>
      <c r="E189" s="70"/>
      <c r="F189"/>
      <c r="G189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64"/>
    </row>
    <row r="190" spans="1:41" s="3" customFormat="1" outlineLevel="1">
      <c r="A190" s="110"/>
      <c r="B190" s="110" t="s">
        <v>263</v>
      </c>
      <c r="C190" s="36"/>
      <c r="D190"/>
      <c r="E190" s="70" t="s">
        <v>263</v>
      </c>
      <c r="F190"/>
      <c r="G190"/>
      <c r="H190" s="225"/>
      <c r="I190" s="225"/>
      <c r="J190" s="225"/>
      <c r="K190" s="225"/>
      <c r="L190" s="225"/>
      <c r="M190" s="225"/>
      <c r="N190" s="225"/>
      <c r="O190" s="225"/>
      <c r="P190" s="225"/>
      <c r="Q190" s="225"/>
      <c r="R190" s="225"/>
      <c r="S190" s="225"/>
      <c r="T190" s="225"/>
      <c r="U190" s="225"/>
      <c r="V190" s="225"/>
      <c r="W190" s="225"/>
      <c r="X190" s="225"/>
      <c r="Y190" s="225"/>
      <c r="Z190" s="225" cm="1">
        <f t="array" ref="Z190">INDEX(QRT!$1:$1048576,MATCH(Model!$B190,QRT!$A:$A,0),MATCH(Model!Z$3,QRT!$4:$4,0))+INDEX(QRT!$1:$1048576,MATCH(Model!$B190,QRT!$A:$A,0),MATCH(Model!Z$3,QRT!$4:$4,0)+1)+INDEX(QRT!$1:$1048576,MATCH(Model!$B190,QRT!$A:$A,0),MATCH(Model!Z$3,QRT!$4:$4,0)+2)+INDEX(QRT!$1:$1048576,MATCH(Model!$B190,QRT!$A:$A,0),MATCH(Model!Z$3,QRT!$4:$4,0)+3)</f>
        <v>5.8040000000000003</v>
      </c>
      <c r="AA190" s="225" cm="1">
        <f t="array" ref="AA190">INDEX(QRT!$1:$1048576,MATCH(Model!$B190,QRT!$A:$A,0),MATCH(Model!AA$3,QRT!$4:$4,0))+INDEX(QRT!$1:$1048576,MATCH(Model!$B190,QRT!$A:$A,0),MATCH(Model!AA$3,QRT!$4:$4,0)+1)+INDEX(QRT!$1:$1048576,MATCH(Model!$B190,QRT!$A:$A,0),MATCH(Model!AA$3,QRT!$4:$4,0)+2)+INDEX(QRT!$1:$1048576,MATCH(Model!$B190,QRT!$A:$A,0),MATCH(Model!AA$3,QRT!$4:$4,0)+3)</f>
        <v>12.97</v>
      </c>
      <c r="AB190" s="225" cm="1">
        <f t="array" ref="AB190">INDEX(QRT!$1:$1048576,MATCH(Model!$B190,QRT!$A:$A,0),MATCH(Model!AB$3,QRT!$4:$4,0))+INDEX(QRT!$1:$1048576,MATCH(Model!$B190,QRT!$A:$A,0),MATCH(Model!AB$3,QRT!$4:$4,0)+1)+INDEX(QRT!$1:$1048576,MATCH(Model!$B190,QRT!$A:$A,0),MATCH(Model!AB$3,QRT!$4:$4,0)+2)+INDEX(QRT!$1:$1048576,MATCH(Model!$B190,QRT!$A:$A,0),MATCH(Model!AB$3,QRT!$4:$4,0)+3)</f>
        <v>14.925000000000001</v>
      </c>
      <c r="AC190" s="69" cm="1">
        <f t="array" ref="AC190">INDEX(QRT!$1:$1048576,MATCH(Model!$B190,QRT!$A:$A,0),MATCH(Model!AC$3,QRT!$4:$4,0))+INDEX(QRT!$1:$1048576,MATCH(Model!$B190,QRT!$A:$A,0),MATCH(Model!AC$3,QRT!$4:$4,0)+1)+INDEX(QRT!$1:$1048576,MATCH(Model!$B190,QRT!$A:$A,0),MATCH(Model!AC$3,QRT!$4:$4,0)+2)+INDEX(QRT!$1:$1048576,MATCH(Model!$B190,QRT!$A:$A,0),MATCH(Model!AC$3,QRT!$4:$4,0)+3)</f>
        <v>4.438706313114233</v>
      </c>
      <c r="AD190" s="69" cm="1">
        <f t="array" ref="AD190">INDEX(QRT!$1:$1048576,MATCH(Model!$B190,QRT!$A:$A,0),MATCH(Model!AD$3,QRT!$4:$4,0))+INDEX(QRT!$1:$1048576,MATCH(Model!$B190,QRT!$A:$A,0),MATCH(Model!AD$3,QRT!$4:$4,0)+1)+INDEX(QRT!$1:$1048576,MATCH(Model!$B190,QRT!$A:$A,0),MATCH(Model!AD$3,QRT!$4:$4,0)+2)+INDEX(QRT!$1:$1048576,MATCH(Model!$B190,QRT!$A:$A,0),MATCH(Model!AD$3,QRT!$4:$4,0)+3)</f>
        <v>2.4215403507799858</v>
      </c>
      <c r="AE190" s="69" cm="1">
        <f t="array" ref="AE190">INDEX(QRT!$1:$1048576,MATCH(Model!$B190,QRT!$A:$A,0),MATCH(Model!AE$3,QRT!$4:$4,0))+INDEX(QRT!$1:$1048576,MATCH(Model!$B190,QRT!$A:$A,0),MATCH(Model!AE$3,QRT!$4:$4,0)+1)+INDEX(QRT!$1:$1048576,MATCH(Model!$B190,QRT!$A:$A,0),MATCH(Model!AE$3,QRT!$4:$4,0)+2)+INDEX(QRT!$1:$1048576,MATCH(Model!$B190,QRT!$A:$A,0),MATCH(Model!AE$3,QRT!$4:$4,0)+3)</f>
        <v>6.695159413577656</v>
      </c>
      <c r="AF190" s="7">
        <f>AF172</f>
        <v>13.150225581322546</v>
      </c>
      <c r="AG190" s="7">
        <f t="shared" ref="AG190:AN190" si="178">AG172</f>
        <v>18.992144348102382</v>
      </c>
      <c r="AH190" s="7">
        <f t="shared" si="178"/>
        <v>25.465162207329914</v>
      </c>
      <c r="AI190" s="7">
        <f t="shared" si="178"/>
        <v>31.473280849864175</v>
      </c>
      <c r="AJ190" s="7">
        <f t="shared" si="178"/>
        <v>36.122247489896445</v>
      </c>
      <c r="AK190" s="7">
        <f t="shared" si="178"/>
        <v>40.001367604151561</v>
      </c>
      <c r="AL190" s="7">
        <f t="shared" si="178"/>
        <v>42.996299650865922</v>
      </c>
      <c r="AM190" s="7">
        <f t="shared" si="178"/>
        <v>47.837354910551369</v>
      </c>
      <c r="AN190" s="7">
        <f t="shared" si="178"/>
        <v>55.23789942619117</v>
      </c>
      <c r="AO190" s="64"/>
    </row>
    <row r="191" spans="1:41" s="3" customFormat="1" outlineLevel="1">
      <c r="A191" s="110"/>
      <c r="B191" s="110" t="s">
        <v>264</v>
      </c>
      <c r="C191" s="36"/>
      <c r="D191"/>
      <c r="E191" s="70" t="s">
        <v>264</v>
      </c>
      <c r="F191"/>
      <c r="G191"/>
      <c r="H191" s="225"/>
      <c r="I191" s="225"/>
      <c r="J191" s="225"/>
      <c r="K191" s="225"/>
      <c r="L191" s="225"/>
      <c r="M191" s="225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25"/>
      <c r="Y191" s="225"/>
      <c r="Z191" s="225" cm="1">
        <f t="array" ref="Z191">INDEX(QRT!$1:$1048576,MATCH(Model!$B191,QRT!$A:$A,0),MATCH(Model!Z$3,QRT!$4:$4,0))+INDEX(QRT!$1:$1048576,MATCH(Model!$B191,QRT!$A:$A,0),MATCH(Model!Z$3,QRT!$4:$4,0)+1)+INDEX(QRT!$1:$1048576,MATCH(Model!$B191,QRT!$A:$A,0),MATCH(Model!Z$3,QRT!$4:$4,0)+2)+INDEX(QRT!$1:$1048576,MATCH(Model!$B191,QRT!$A:$A,0),MATCH(Model!Z$3,QRT!$4:$4,0)+3)</f>
        <v>0.32900000000000018</v>
      </c>
      <c r="AA191" s="225" cm="1">
        <f t="array" ref="AA191">INDEX(QRT!$1:$1048576,MATCH(Model!$B191,QRT!$A:$A,0),MATCH(Model!AA$3,QRT!$4:$4,0))+INDEX(QRT!$1:$1048576,MATCH(Model!$B191,QRT!$A:$A,0),MATCH(Model!AA$3,QRT!$4:$4,0)+1)+INDEX(QRT!$1:$1048576,MATCH(Model!$B191,QRT!$A:$A,0),MATCH(Model!AA$3,QRT!$4:$4,0)+2)+INDEX(QRT!$1:$1048576,MATCH(Model!$B191,QRT!$A:$A,0),MATCH(Model!AA$3,QRT!$4:$4,0)+3)</f>
        <v>-0.86099999999999888</v>
      </c>
      <c r="AB191" s="225" cm="1">
        <f t="array" ref="AB191">INDEX(QRT!$1:$1048576,MATCH(Model!$B191,QRT!$A:$A,0),MATCH(Model!AB$3,QRT!$4:$4,0))+INDEX(QRT!$1:$1048576,MATCH(Model!$B191,QRT!$A:$A,0),MATCH(Model!AB$3,QRT!$4:$4,0)+1)+INDEX(QRT!$1:$1048576,MATCH(Model!$B191,QRT!$A:$A,0),MATCH(Model!AB$3,QRT!$4:$4,0)+2)+INDEX(QRT!$1:$1048576,MATCH(Model!$B191,QRT!$A:$A,0),MATCH(Model!AB$3,QRT!$4:$4,0)+3)</f>
        <v>-6.5000000000003944E-2</v>
      </c>
      <c r="AC191" s="69" cm="1">
        <f t="array" ref="AC191">INDEX(QRT!$1:$1048576,MATCH(Model!$B191,QRT!$A:$A,0),MATCH(Model!AC$3,QRT!$4:$4,0))+INDEX(QRT!$1:$1048576,MATCH(Model!$B191,QRT!$A:$A,0),MATCH(Model!AC$3,QRT!$4:$4,0)+1)+INDEX(QRT!$1:$1048576,MATCH(Model!$B191,QRT!$A:$A,0),MATCH(Model!AC$3,QRT!$4:$4,0)+2)+INDEX(QRT!$1:$1048576,MATCH(Model!$B191,QRT!$A:$A,0),MATCH(Model!AC$3,QRT!$4:$4,0)+3)</f>
        <v>2.9321356573151074</v>
      </c>
      <c r="AD191" s="69" cm="1">
        <f t="array" ref="AD191">INDEX(QRT!$1:$1048576,MATCH(Model!$B191,QRT!$A:$A,0),MATCH(Model!AD$3,QRT!$4:$4,0))+INDEX(QRT!$1:$1048576,MATCH(Model!$B191,QRT!$A:$A,0),MATCH(Model!AD$3,QRT!$4:$4,0)+1)+INDEX(QRT!$1:$1048576,MATCH(Model!$B191,QRT!$A:$A,0),MATCH(Model!AD$3,QRT!$4:$4,0)+2)+INDEX(QRT!$1:$1048576,MATCH(Model!$B191,QRT!$A:$A,0),MATCH(Model!AD$3,QRT!$4:$4,0)+3)</f>
        <v>6.0980896962308639</v>
      </c>
      <c r="AE191" s="69" cm="1">
        <f t="array" ref="AE191">INDEX(QRT!$1:$1048576,MATCH(Model!$B191,QRT!$A:$A,0),MATCH(Model!AE$3,QRT!$4:$4,0))+INDEX(QRT!$1:$1048576,MATCH(Model!$B191,QRT!$A:$A,0),MATCH(Model!AE$3,QRT!$4:$4,0)+1)+INDEX(QRT!$1:$1048576,MATCH(Model!$B191,QRT!$A:$A,0),MATCH(Model!AE$3,QRT!$4:$4,0)+2)+INDEX(QRT!$1:$1048576,MATCH(Model!$B191,QRT!$A:$A,0),MATCH(Model!AE$3,QRT!$4:$4,0)+3)</f>
        <v>6.3741320365852046</v>
      </c>
      <c r="AF191" s="7">
        <f>SUM(AF180:AF181)*AF187</f>
        <v>7.6611857834048092</v>
      </c>
      <c r="AG191" s="7">
        <f t="shared" ref="AG191:AN191" si="179">SUM(AG180:AG181)*AG187</f>
        <v>9.1594372007498635</v>
      </c>
      <c r="AH191" s="7">
        <f t="shared" si="179"/>
        <v>10.469417520827111</v>
      </c>
      <c r="AI191" s="7">
        <f t="shared" si="179"/>
        <v>11.699466884627936</v>
      </c>
      <c r="AJ191" s="7">
        <f t="shared" si="179"/>
        <v>12.840768114682259</v>
      </c>
      <c r="AK191" s="7">
        <f t="shared" si="179"/>
        <v>13.945903675228921</v>
      </c>
      <c r="AL191" s="7">
        <f t="shared" si="179"/>
        <v>15.041523857733981</v>
      </c>
      <c r="AM191" s="7">
        <f t="shared" si="179"/>
        <v>16.151698456601192</v>
      </c>
      <c r="AN191" s="7">
        <f t="shared" si="179"/>
        <v>17.283204115549829</v>
      </c>
      <c r="AO191" s="64"/>
    </row>
    <row r="192" spans="1:41" s="3" customFormat="1" outlineLevel="1">
      <c r="A192" s="110"/>
      <c r="B192" s="110"/>
      <c r="C192" s="36"/>
      <c r="D192"/>
      <c r="E192" s="70" t="s">
        <v>265</v>
      </c>
      <c r="F192"/>
      <c r="G192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>
        <f t="shared" ref="Z192:AE192" si="180">SUM(Z18:Z19)-SUM(Z190:Z191)</f>
        <v>1.4160000000000004</v>
      </c>
      <c r="AA192" s="7">
        <f t="shared" si="180"/>
        <v>3.916999999999998</v>
      </c>
      <c r="AB192" s="7">
        <f t="shared" si="180"/>
        <v>4.8120000000000047</v>
      </c>
      <c r="AC192" s="7">
        <f t="shared" si="180"/>
        <v>3.5000000000000142E-2</v>
      </c>
      <c r="AD192" s="7">
        <f t="shared" si="180"/>
        <v>0</v>
      </c>
      <c r="AE192" s="7">
        <f t="shared" si="180"/>
        <v>0</v>
      </c>
      <c r="AF192" s="79">
        <v>0</v>
      </c>
      <c r="AG192" s="79">
        <f>AF192</f>
        <v>0</v>
      </c>
      <c r="AH192" s="79">
        <f t="shared" ref="AH192:AN192" si="181">AG192</f>
        <v>0</v>
      </c>
      <c r="AI192" s="79">
        <f t="shared" si="181"/>
        <v>0</v>
      </c>
      <c r="AJ192" s="79">
        <f t="shared" si="181"/>
        <v>0</v>
      </c>
      <c r="AK192" s="79">
        <f t="shared" si="181"/>
        <v>0</v>
      </c>
      <c r="AL192" s="79">
        <f t="shared" si="181"/>
        <v>0</v>
      </c>
      <c r="AM192" s="79">
        <f t="shared" si="181"/>
        <v>0</v>
      </c>
      <c r="AN192" s="79">
        <f t="shared" si="181"/>
        <v>0</v>
      </c>
      <c r="AO192" s="64"/>
    </row>
    <row r="193" spans="1:41" s="3" customFormat="1" outlineLevel="1">
      <c r="A193" s="110"/>
      <c r="B193" s="110"/>
      <c r="C193" s="143"/>
      <c r="E193" s="2" t="s">
        <v>266</v>
      </c>
      <c r="F193" s="2"/>
      <c r="G193" s="2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>
        <f t="shared" ref="Z193:AN193" si="182">SUM(Z190:Z192)</f>
        <v>7.5490000000000013</v>
      </c>
      <c r="AA193" s="8">
        <f t="shared" si="182"/>
        <v>16.026</v>
      </c>
      <c r="AB193" s="8">
        <f t="shared" si="182"/>
        <v>19.672000000000001</v>
      </c>
      <c r="AC193" s="8">
        <f t="shared" si="182"/>
        <v>7.405841970429341</v>
      </c>
      <c r="AD193" s="8">
        <f t="shared" si="182"/>
        <v>8.5196300470108497</v>
      </c>
      <c r="AE193" s="8">
        <f t="shared" si="182"/>
        <v>13.069291450162861</v>
      </c>
      <c r="AF193" s="8">
        <f t="shared" si="182"/>
        <v>20.811411364727356</v>
      </c>
      <c r="AG193" s="8">
        <f t="shared" si="182"/>
        <v>28.151581548852246</v>
      </c>
      <c r="AH193" s="8">
        <f t="shared" si="182"/>
        <v>35.934579728157026</v>
      </c>
      <c r="AI193" s="8">
        <f t="shared" si="182"/>
        <v>43.172747734492113</v>
      </c>
      <c r="AJ193" s="8">
        <f t="shared" si="182"/>
        <v>48.9630156045787</v>
      </c>
      <c r="AK193" s="8">
        <f t="shared" si="182"/>
        <v>53.94727127938048</v>
      </c>
      <c r="AL193" s="8">
        <f t="shared" si="182"/>
        <v>58.037823508599899</v>
      </c>
      <c r="AM193" s="8">
        <f t="shared" si="182"/>
        <v>63.989053367152565</v>
      </c>
      <c r="AN193" s="8">
        <f t="shared" si="182"/>
        <v>72.521103541740999</v>
      </c>
      <c r="AO193" s="64"/>
    </row>
    <row r="194" spans="1:41" s="3" customFormat="1" outlineLevel="1">
      <c r="A194" s="110"/>
      <c r="B194" s="110"/>
      <c r="C194" s="36"/>
      <c r="D194"/>
      <c r="E194" s="278"/>
      <c r="F194"/>
      <c r="G194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64"/>
    </row>
    <row r="195" spans="1:41">
      <c r="D195" s="104"/>
      <c r="E195" s="105" t="s">
        <v>163</v>
      </c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</row>
    <row r="196" spans="1:41" ht="5.0999999999999996" customHeight="1"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65"/>
      <c r="Y196" s="65"/>
      <c r="Z196" s="65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"/>
    </row>
    <row r="197" spans="1:41" ht="15" customHeight="1" outlineLevel="1">
      <c r="E197" s="3" t="s">
        <v>341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65"/>
      <c r="Y197" s="65"/>
      <c r="Z197" s="274">
        <f>Y202</f>
        <v>3.1869999999999998</v>
      </c>
      <c r="AA197" s="274">
        <f t="shared" ref="AA197:AN197" si="183">Z202</f>
        <v>7.3570000000000002</v>
      </c>
      <c r="AB197" s="274">
        <f t="shared" si="183"/>
        <v>8.2729999999999997</v>
      </c>
      <c r="AC197" s="274">
        <f t="shared" si="183"/>
        <v>8.18</v>
      </c>
      <c r="AD197" s="274">
        <f t="shared" ca="1" si="183"/>
        <v>12.099791794518698</v>
      </c>
      <c r="AE197" s="274">
        <f t="shared" ca="1" si="183"/>
        <v>16.716519751519485</v>
      </c>
      <c r="AF197" s="274">
        <f t="shared" ca="1" si="183"/>
        <v>23.80927397733689</v>
      </c>
      <c r="AG197" s="274">
        <f t="shared" ca="1" si="183"/>
        <v>32.411950052260764</v>
      </c>
      <c r="AH197" s="274">
        <f t="shared" ca="1" si="183"/>
        <v>42.981837878201631</v>
      </c>
      <c r="AI197" s="274">
        <f t="shared" ca="1" si="183"/>
        <v>54.866970893094717</v>
      </c>
      <c r="AJ197" s="274">
        <f t="shared" ca="1" si="183"/>
        <v>68.16589263962328</v>
      </c>
      <c r="AK197" s="274">
        <f t="shared" ca="1" si="183"/>
        <v>82.850948704662216</v>
      </c>
      <c r="AL197" s="274">
        <f t="shared" ca="1" si="183"/>
        <v>99.013299992960782</v>
      </c>
      <c r="AM197" s="274">
        <f t="shared" ca="1" si="183"/>
        <v>116.7486654545057</v>
      </c>
      <c r="AN197" s="274">
        <f t="shared" ca="1" si="183"/>
        <v>136.1575499867831</v>
      </c>
      <c r="AO197" s="7"/>
    </row>
    <row r="198" spans="1:41" ht="15" customHeight="1" outlineLevel="1">
      <c r="B198" s="109" t="s">
        <v>388</v>
      </c>
      <c r="E198" s="70" t="s">
        <v>130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65"/>
      <c r="Y198" s="65"/>
      <c r="Z198" s="206" cm="1">
        <f t="array" ref="Z198">INDEX(QRT!$1:$1048576,MATCH(Model!$B198,QRT!$A:$A,0),MATCH(Model!Z$3,QRT!$4:$4,0))+INDEX(QRT!$1:$1048576,MATCH(Model!$B198,QRT!$A:$A,0),MATCH(Model!Z$3,QRT!$4:$4,0)+1)+INDEX(QRT!$1:$1048576,MATCH(Model!$B198,QRT!$A:$A,0),MATCH(Model!Z$3,QRT!$4:$4,0)+2)+INDEX(QRT!$1:$1048576,MATCH(Model!$B198,QRT!$A:$A,0),MATCH(Model!Z$3,QRT!$4:$4,0)+3)</f>
        <v>2.0919999999999996</v>
      </c>
      <c r="AA198" s="206" cm="1">
        <f t="array" ref="AA198">INDEX(QRT!$1:$1048576,MATCH(Model!$B198,QRT!$A:$A,0),MATCH(Model!AA$3,QRT!$4:$4,0))+INDEX(QRT!$1:$1048576,MATCH(Model!$B198,QRT!$A:$A,0),MATCH(Model!AA$3,QRT!$4:$4,0)+1)+INDEX(QRT!$1:$1048576,MATCH(Model!$B198,QRT!$A:$A,0),MATCH(Model!AA$3,QRT!$4:$4,0)+2)+INDEX(QRT!$1:$1048576,MATCH(Model!$B198,QRT!$A:$A,0),MATCH(Model!AA$3,QRT!$4:$4,0)+3)</f>
        <v>1.802</v>
      </c>
      <c r="AB198" s="206" cm="1">
        <f t="array" ref="AB198">INDEX(QRT!$1:$1048576,MATCH(Model!$B198,QRT!$A:$A,0),MATCH(Model!AB$3,QRT!$4:$4,0))+INDEX(QRT!$1:$1048576,MATCH(Model!$B198,QRT!$A:$A,0),MATCH(Model!AB$3,QRT!$4:$4,0)+1)+INDEX(QRT!$1:$1048576,MATCH(Model!$B198,QRT!$A:$A,0),MATCH(Model!AB$3,QRT!$4:$4,0)+2)+INDEX(QRT!$1:$1048576,MATCH(Model!$B198,QRT!$A:$A,0),MATCH(Model!AB$3,QRT!$4:$4,0)+3)</f>
        <v>4.9909999999999997</v>
      </c>
      <c r="AC198" s="206" cm="1">
        <f t="array" ref="AC198">INDEX(QRT!$1:$1048576,MATCH(Model!$B198,QRT!$A:$A,0),MATCH(Model!AC$3,QRT!$4:$4,0))+INDEX(QRT!$1:$1048576,MATCH(Model!$B198,QRT!$A:$A,0),MATCH(Model!AC$3,QRT!$4:$4,0)+1)+INDEX(QRT!$1:$1048576,MATCH(Model!$B198,QRT!$A:$A,0),MATCH(Model!AC$3,QRT!$4:$4,0)+2)+INDEX(QRT!$1:$1048576,MATCH(Model!$B198,QRT!$A:$A,0),MATCH(Model!AC$3,QRT!$4:$4,0)+3)</f>
        <v>5.3248477928617746</v>
      </c>
      <c r="AD198" s="206" cm="1">
        <f t="array" ref="AD198">INDEX(QRT!$1:$1048576,MATCH(Model!$B198,QRT!$A:$A,0),MATCH(Model!AD$3,QRT!$4:$4,0))+INDEX(QRT!$1:$1048576,MATCH(Model!$B198,QRT!$A:$A,0),MATCH(Model!AD$3,QRT!$4:$4,0)+1)+INDEX(QRT!$1:$1048576,MATCH(Model!$B198,QRT!$A:$A,0),MATCH(Model!AD$3,QRT!$4:$4,0)+2)+INDEX(QRT!$1:$1048576,MATCH(Model!$B198,QRT!$A:$A,0),MATCH(Model!AD$3,QRT!$4:$4,0)+3)</f>
        <v>8.0798623584138571</v>
      </c>
      <c r="AE198" s="206" cm="1">
        <f t="array" ref="AE198">INDEX(QRT!$1:$1048576,MATCH(Model!$B198,QRT!$A:$A,0),MATCH(Model!AE$3,QRT!$4:$4,0))+INDEX(QRT!$1:$1048576,MATCH(Model!$B198,QRT!$A:$A,0),MATCH(Model!AE$3,QRT!$4:$4,0)+1)+INDEX(QRT!$1:$1048576,MATCH(Model!$B198,QRT!$A:$A,0),MATCH(Model!AE$3,QRT!$4:$4,0)+2)+INDEX(QRT!$1:$1048576,MATCH(Model!$B198,QRT!$A:$A,0),MATCH(Model!AE$3,QRT!$4:$4,0)+3)</f>
        <v>11.848772147063467</v>
      </c>
      <c r="AF198" s="74">
        <f ca="1">-AF199*AF204</f>
        <v>13.09510068753529</v>
      </c>
      <c r="AG198" s="74">
        <f t="shared" ref="AG198:AN198" ca="1" si="184">-AG199*AG204</f>
        <v>17.826572528743423</v>
      </c>
      <c r="AH198" s="74">
        <f t="shared" ca="1" si="184"/>
        <v>23.640010833010898</v>
      </c>
      <c r="AI198" s="74">
        <f t="shared" ca="1" si="184"/>
        <v>30.176833991202095</v>
      </c>
      <c r="AJ198" s="74">
        <f t="shared" ca="1" si="184"/>
        <v>37.491240951792804</v>
      </c>
      <c r="AK198" s="74">
        <f t="shared" ca="1" si="184"/>
        <v>45.56802178756422</v>
      </c>
      <c r="AL198" s="74">
        <f t="shared" ca="1" si="184"/>
        <v>54.457314996128432</v>
      </c>
      <c r="AM198" s="74">
        <f t="shared" ca="1" si="184"/>
        <v>64.211765999978141</v>
      </c>
      <c r="AN198" s="74">
        <f t="shared" ca="1" si="184"/>
        <v>74.886652492730704</v>
      </c>
      <c r="AO198" s="7"/>
    </row>
    <row r="199" spans="1:41" ht="15" customHeight="1" outlineLevel="1">
      <c r="E199" s="70" t="s">
        <v>7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65"/>
      <c r="Y199" s="65"/>
      <c r="Z199" s="74">
        <f t="shared" ref="Z199:AE199" si="185">-Z226</f>
        <v>-3.0459999999999998</v>
      </c>
      <c r="AA199" s="74">
        <f t="shared" si="185"/>
        <v>-4.0590000000000002</v>
      </c>
      <c r="AB199" s="74">
        <f t="shared" si="185"/>
        <v>-4.6040000000000001</v>
      </c>
      <c r="AC199" s="74">
        <f t="shared" ca="1" si="185"/>
        <v>-5.8454617229211969</v>
      </c>
      <c r="AD199" s="74">
        <f t="shared" si="185"/>
        <v>-7.6951070080131974</v>
      </c>
      <c r="AE199" s="74">
        <f t="shared" si="185"/>
        <v>-10.77161104278497</v>
      </c>
      <c r="AF199" s="206">
        <f ca="1">-AF197/AF203</f>
        <v>-11.904636988668445</v>
      </c>
      <c r="AG199" s="206">
        <f t="shared" ref="AG199:AN199" ca="1" si="186">-AG197/AG203</f>
        <v>-16.205975026130382</v>
      </c>
      <c r="AH199" s="206">
        <f t="shared" ca="1" si="186"/>
        <v>-21.490918939100816</v>
      </c>
      <c r="AI199" s="206">
        <f t="shared" ca="1" si="186"/>
        <v>-27.433485446547358</v>
      </c>
      <c r="AJ199" s="206">
        <f t="shared" ca="1" si="186"/>
        <v>-34.08294631981164</v>
      </c>
      <c r="AK199" s="206">
        <f t="shared" ca="1" si="186"/>
        <v>-41.425474352331108</v>
      </c>
      <c r="AL199" s="206">
        <f t="shared" ca="1" si="186"/>
        <v>-49.506649996480391</v>
      </c>
      <c r="AM199" s="206">
        <f t="shared" ca="1" si="186"/>
        <v>-58.374332727252849</v>
      </c>
      <c r="AN199" s="206">
        <f t="shared" ca="1" si="186"/>
        <v>-68.078774993391548</v>
      </c>
      <c r="AO199" s="7"/>
    </row>
    <row r="200" spans="1:41" ht="15" customHeight="1" outlineLevel="1">
      <c r="E200" s="70" t="s">
        <v>131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65"/>
      <c r="Y200" s="65"/>
      <c r="Z200" s="74">
        <f>+Z249</f>
        <v>3.9710000000000001</v>
      </c>
      <c r="AA200" s="74">
        <f>+AA249</f>
        <v>4.726</v>
      </c>
      <c r="AB200" s="74">
        <f>+AB249</f>
        <v>0.30100000000000005</v>
      </c>
      <c r="AC200" s="74">
        <f t="shared" ref="AC200:AN200" si="187">+AC249</f>
        <v>3.1374717003711772</v>
      </c>
      <c r="AD200" s="74">
        <f t="shared" si="187"/>
        <v>4.2319726066001255</v>
      </c>
      <c r="AE200" s="74">
        <f t="shared" si="187"/>
        <v>6.0155931215389096</v>
      </c>
      <c r="AF200" s="74">
        <f t="shared" si="187"/>
        <v>7.4122123760570249</v>
      </c>
      <c r="AG200" s="74">
        <f t="shared" si="187"/>
        <v>8.9492903233278192</v>
      </c>
      <c r="AH200" s="74">
        <f t="shared" si="187"/>
        <v>9.7360411209830122</v>
      </c>
      <c r="AI200" s="74">
        <f t="shared" si="187"/>
        <v>10.555573201873838</v>
      </c>
      <c r="AJ200" s="74">
        <f t="shared" si="187"/>
        <v>11.276761433057764</v>
      </c>
      <c r="AK200" s="74">
        <f t="shared" si="187"/>
        <v>12.019803853065447</v>
      </c>
      <c r="AL200" s="74">
        <f t="shared" si="187"/>
        <v>12.784700461896886</v>
      </c>
      <c r="AM200" s="74">
        <f t="shared" si="187"/>
        <v>13.571451259552079</v>
      </c>
      <c r="AN200" s="74">
        <f t="shared" si="187"/>
        <v>14.380056246031026</v>
      </c>
      <c r="AO200" s="7"/>
    </row>
    <row r="201" spans="1:41" ht="15" customHeight="1" outlineLevel="1">
      <c r="B201" s="109" t="s">
        <v>390</v>
      </c>
      <c r="E201" s="70" t="s">
        <v>127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65"/>
      <c r="Y201" s="65"/>
      <c r="Z201" s="7">
        <f>+Z202-SUM(Z197:Z200)</f>
        <v>1.1529999999999996</v>
      </c>
      <c r="AA201" s="7">
        <f>+AA202-SUM(AA197:AA200)</f>
        <v>-1.5530000000000008</v>
      </c>
      <c r="AB201" s="7">
        <f>+AB202-SUM(AB197:AB200)</f>
        <v>-0.78100000000000058</v>
      </c>
      <c r="AC201" s="7" cm="1">
        <f t="array" aca="1" ref="AC201" ca="1">INDEX(QRT!$1:$1048576,MATCH(Model!$B201,QRT!$A:$A,0),MATCH(Model!AC$3,QRT!$4:$4,0))+INDEX(QRT!$1:$1048576,MATCH(Model!$B201,QRT!$A:$A,0),MATCH(Model!AC$3,QRT!$4:$4,0)+1)+INDEX(QRT!$1:$1048576,MATCH(Model!$B201,QRT!$A:$A,0),MATCH(Model!AC$3,QRT!$4:$4,0)+2)+INDEX(QRT!$1:$1048576,MATCH(Model!$B201,QRT!$A:$A,0),MATCH(Model!AC$3,QRT!$4:$4,0)+3)</f>
        <v>1.3029340242069427</v>
      </c>
      <c r="AD201" s="7" cm="1">
        <f t="array" ref="AD201">INDEX(QRT!$1:$1048576,MATCH(Model!$B201,QRT!$A:$A,0),MATCH(Model!AD$3,QRT!$4:$4,0))+INDEX(QRT!$1:$1048576,MATCH(Model!$B201,QRT!$A:$A,0),MATCH(Model!AD$3,QRT!$4:$4,0)+1)+INDEX(QRT!$1:$1048576,MATCH(Model!$B201,QRT!$A:$A,0),MATCH(Model!AD$3,QRT!$4:$4,0)+2)+INDEX(QRT!$1:$1048576,MATCH(Model!$B201,QRT!$A:$A,0),MATCH(Model!AD$3,QRT!$4:$4,0)+3)</f>
        <v>0</v>
      </c>
      <c r="AE201" s="7" cm="1">
        <f t="array" ref="AE201">INDEX(QRT!$1:$1048576,MATCH(Model!$B201,QRT!$A:$A,0),MATCH(Model!AE$3,QRT!$4:$4,0))+INDEX(QRT!$1:$1048576,MATCH(Model!$B201,QRT!$A:$A,0),MATCH(Model!AE$3,QRT!$4:$4,0)+1)+INDEX(QRT!$1:$1048576,MATCH(Model!$B201,QRT!$A:$A,0),MATCH(Model!AE$3,QRT!$4:$4,0)+2)+INDEX(QRT!$1:$1048576,MATCH(Model!$B201,QRT!$A:$A,0),MATCH(Model!AE$3,QRT!$4:$4,0)+3)</f>
        <v>0</v>
      </c>
      <c r="AF201" s="79">
        <v>0</v>
      </c>
      <c r="AG201" s="79">
        <f>AF201</f>
        <v>0</v>
      </c>
      <c r="AH201" s="79">
        <f t="shared" ref="AH201:AN201" si="188">AG201</f>
        <v>0</v>
      </c>
      <c r="AI201" s="79">
        <f t="shared" si="188"/>
        <v>0</v>
      </c>
      <c r="AJ201" s="79">
        <f t="shared" si="188"/>
        <v>0</v>
      </c>
      <c r="AK201" s="79">
        <f t="shared" si="188"/>
        <v>0</v>
      </c>
      <c r="AL201" s="79">
        <f t="shared" si="188"/>
        <v>0</v>
      </c>
      <c r="AM201" s="79">
        <f t="shared" si="188"/>
        <v>0</v>
      </c>
      <c r="AN201" s="79">
        <f t="shared" si="188"/>
        <v>0</v>
      </c>
      <c r="AO201" s="7"/>
    </row>
    <row r="202" spans="1:41" s="3" customFormat="1" outlineLevel="1">
      <c r="A202" s="110"/>
      <c r="B202" s="110"/>
      <c r="C202" s="143"/>
      <c r="E202" s="150" t="s">
        <v>342</v>
      </c>
      <c r="F202" s="2"/>
      <c r="G202" s="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>
        <f>Y131-Y211</f>
        <v>3.1869999999999998</v>
      </c>
      <c r="Z202" s="102">
        <f>Z131-Z211</f>
        <v>7.3570000000000002</v>
      </c>
      <c r="AA202" s="102">
        <f>AA131-AA211</f>
        <v>8.2729999999999997</v>
      </c>
      <c r="AB202" s="102">
        <f>AB131-AB211</f>
        <v>8.18</v>
      </c>
      <c r="AC202" s="102">
        <f t="shared" ref="AC202:AN202" ca="1" si="189">SUM(AC197:AC201)</f>
        <v>12.099791794518698</v>
      </c>
      <c r="AD202" s="102">
        <f t="shared" ca="1" si="189"/>
        <v>16.716519751519485</v>
      </c>
      <c r="AE202" s="102">
        <f t="shared" ca="1" si="189"/>
        <v>23.80927397733689</v>
      </c>
      <c r="AF202" s="103">
        <f t="shared" ca="1" si="189"/>
        <v>32.411950052260764</v>
      </c>
      <c r="AG202" s="103">
        <f t="shared" ca="1" si="189"/>
        <v>42.981837878201631</v>
      </c>
      <c r="AH202" s="103">
        <f t="shared" ca="1" si="189"/>
        <v>54.866970893094717</v>
      </c>
      <c r="AI202" s="103">
        <f t="shared" ca="1" si="189"/>
        <v>68.16589263962328</v>
      </c>
      <c r="AJ202" s="103">
        <f t="shared" ca="1" si="189"/>
        <v>82.850948704662216</v>
      </c>
      <c r="AK202" s="103">
        <f t="shared" ca="1" si="189"/>
        <v>99.013299992960782</v>
      </c>
      <c r="AL202" s="103">
        <f t="shared" ca="1" si="189"/>
        <v>116.7486654545057</v>
      </c>
      <c r="AM202" s="103">
        <f t="shared" ca="1" si="189"/>
        <v>136.1575499867831</v>
      </c>
      <c r="AN202" s="103">
        <f t="shared" ca="1" si="189"/>
        <v>157.34548373215324</v>
      </c>
      <c r="AO202"/>
    </row>
    <row r="203" spans="1:41" ht="15" customHeight="1" outlineLevel="1">
      <c r="E203" s="70" t="s">
        <v>222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65"/>
      <c r="Y203" s="65"/>
      <c r="Z203" s="184">
        <f t="shared" ref="Z203:AE203" si="190">-AVERAGE(Z197,Z202)/Z199</f>
        <v>1.7307944845699279</v>
      </c>
      <c r="AA203" s="184">
        <f t="shared" si="190"/>
        <v>1.9253510716925348</v>
      </c>
      <c r="AB203" s="184">
        <f t="shared" si="190"/>
        <v>1.7868158123370981</v>
      </c>
      <c r="AC203" s="184">
        <f t="shared" ca="1" si="190"/>
        <v>1.7346612428405503</v>
      </c>
      <c r="AD203" s="184">
        <f t="shared" ca="1" si="190"/>
        <v>1.8723788711469964</v>
      </c>
      <c r="AE203" s="184">
        <f t="shared" ca="1" si="190"/>
        <v>1.881138929352695</v>
      </c>
      <c r="AF203" s="60">
        <v>2</v>
      </c>
      <c r="AG203" s="60">
        <v>2</v>
      </c>
      <c r="AH203" s="60">
        <v>2</v>
      </c>
      <c r="AI203" s="60">
        <v>2</v>
      </c>
      <c r="AJ203" s="60">
        <v>2</v>
      </c>
      <c r="AK203" s="60">
        <v>2</v>
      </c>
      <c r="AL203" s="60">
        <v>2</v>
      </c>
      <c r="AM203" s="60">
        <v>2</v>
      </c>
      <c r="AN203" s="60">
        <v>2</v>
      </c>
      <c r="AO203" s="7"/>
    </row>
    <row r="204" spans="1:41" ht="15" customHeight="1" outlineLevel="1">
      <c r="E204" s="70" t="s">
        <v>345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65"/>
      <c r="Y204" s="65"/>
      <c r="Z204" s="194">
        <f t="shared" ref="Z204:AE204" si="191">-Z198/Z199</f>
        <v>0.68680236375574522</v>
      </c>
      <c r="AA204" s="194">
        <f t="shared" si="191"/>
        <v>0.44395171224439517</v>
      </c>
      <c r="AB204" s="194">
        <f t="shared" si="191"/>
        <v>1.0840573414422241</v>
      </c>
      <c r="AC204" s="194">
        <f t="shared" ca="1" si="191"/>
        <v>0.91093707311126626</v>
      </c>
      <c r="AD204" s="194">
        <f t="shared" si="191"/>
        <v>1.05</v>
      </c>
      <c r="AE204" s="194">
        <f t="shared" si="191"/>
        <v>1.1000000000000001</v>
      </c>
      <c r="AF204" s="76">
        <f>AE204</f>
        <v>1.1000000000000001</v>
      </c>
      <c r="AG204" s="76">
        <f t="shared" ref="AG204:AN204" si="192">AF204</f>
        <v>1.1000000000000001</v>
      </c>
      <c r="AH204" s="76">
        <f t="shared" si="192"/>
        <v>1.1000000000000001</v>
      </c>
      <c r="AI204" s="76">
        <f t="shared" si="192"/>
        <v>1.1000000000000001</v>
      </c>
      <c r="AJ204" s="76">
        <f t="shared" si="192"/>
        <v>1.1000000000000001</v>
      </c>
      <c r="AK204" s="76">
        <f t="shared" si="192"/>
        <v>1.1000000000000001</v>
      </c>
      <c r="AL204" s="76">
        <f t="shared" si="192"/>
        <v>1.1000000000000001</v>
      </c>
      <c r="AM204" s="76">
        <f t="shared" si="192"/>
        <v>1.1000000000000001</v>
      </c>
      <c r="AN204" s="76">
        <f t="shared" si="192"/>
        <v>1.1000000000000001</v>
      </c>
      <c r="AO204" s="7"/>
    </row>
    <row r="205" spans="1:41" ht="15" customHeight="1" outlineLevel="1">
      <c r="E205" s="70" t="s">
        <v>223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65"/>
      <c r="Y205" s="65"/>
      <c r="Z205" s="276">
        <f t="shared" ref="Z205:AN205" si="193">Z9/AVERAGE(Z202,Z197)</f>
        <v>87.100341426403631</v>
      </c>
      <c r="AA205" s="276">
        <f t="shared" si="193"/>
        <v>88.009596928982745</v>
      </c>
      <c r="AB205" s="276">
        <f t="shared" si="193"/>
        <v>115.33446787819851</v>
      </c>
      <c r="AC205" s="276">
        <f t="shared" ca="1" si="193"/>
        <v>149.81764449454982</v>
      </c>
      <c r="AD205" s="276">
        <f t="shared" ca="1" si="193"/>
        <v>149.22682825231175</v>
      </c>
      <c r="AE205" s="276">
        <f t="shared" ca="1" si="193"/>
        <v>140.78078832710585</v>
      </c>
      <c r="AF205" s="276">
        <f t="shared" ca="1" si="193"/>
        <v>134.24112181076384</v>
      </c>
      <c r="AG205" s="276">
        <f t="shared" ca="1" si="193"/>
        <v>128.3869514363609</v>
      </c>
      <c r="AH205" s="276">
        <f t="shared" ca="1" si="193"/>
        <v>121.90731256714234</v>
      </c>
      <c r="AI205" s="276">
        <f t="shared" ca="1" si="193"/>
        <v>116.1026959507421</v>
      </c>
      <c r="AJ205" s="276">
        <f t="shared" ca="1" si="193"/>
        <v>110.66779307632015</v>
      </c>
      <c r="AK205" s="276">
        <f t="shared" ca="1" si="193"/>
        <v>105.57729981995475</v>
      </c>
      <c r="AL205" s="276">
        <f t="shared" ca="1" si="193"/>
        <v>100.78120577187524</v>
      </c>
      <c r="AM205" s="276">
        <f t="shared" ca="1" si="193"/>
        <v>96.429603423158881</v>
      </c>
      <c r="AN205" s="276">
        <f t="shared" ca="1" si="193"/>
        <v>92.439926891529439</v>
      </c>
      <c r="AO205" s="7"/>
    </row>
    <row r="206" spans="1:41" ht="15" customHeight="1" outlineLevel="1"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65"/>
      <c r="Y206" s="65"/>
      <c r="Z206" s="65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76"/>
      <c r="AN206" s="76"/>
      <c r="AO206" s="7"/>
    </row>
    <row r="207" spans="1:41" ht="15" customHeight="1" outlineLevel="1">
      <c r="E207" s="3" t="s">
        <v>228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65"/>
      <c r="Y207" s="65"/>
      <c r="Z207" s="65"/>
      <c r="AA207" s="76"/>
      <c r="AB207" s="274">
        <f>AA211</f>
        <v>19.155000000000001</v>
      </c>
      <c r="AC207" s="274">
        <f t="shared" ref="AC207:AN207" si="194">AB211</f>
        <v>15.378</v>
      </c>
      <c r="AD207" s="274">
        <f t="shared" si="194"/>
        <v>22.828756662377895</v>
      </c>
      <c r="AE207" s="274">
        <f t="shared" si="194"/>
        <v>25.330067966738888</v>
      </c>
      <c r="AF207" s="274">
        <f t="shared" si="194"/>
        <v>33.238140203324328</v>
      </c>
      <c r="AG207" s="274">
        <f t="shared" si="194"/>
        <v>37.736000916537307</v>
      </c>
      <c r="AH207" s="274">
        <f t="shared" si="194"/>
        <v>48.397892948157846</v>
      </c>
      <c r="AI207" s="274">
        <f t="shared" si="194"/>
        <v>59.642426576024818</v>
      </c>
      <c r="AJ207" s="274">
        <f t="shared" si="194"/>
        <v>71.422235733441525</v>
      </c>
      <c r="AK207" s="274">
        <f t="shared" si="194"/>
        <v>83.563502744644282</v>
      </c>
      <c r="AL207" s="274">
        <f t="shared" si="194"/>
        <v>96.003681556398789</v>
      </c>
      <c r="AM207" s="274">
        <f t="shared" si="194"/>
        <v>108.72375518752676</v>
      </c>
      <c r="AN207" s="274">
        <f t="shared" si="194"/>
        <v>121.93823029127731</v>
      </c>
      <c r="AO207" s="7"/>
    </row>
    <row r="208" spans="1:41" ht="15" customHeight="1" outlineLevel="1">
      <c r="E208" s="70" t="s">
        <v>346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65"/>
      <c r="Y208" s="65"/>
      <c r="Z208" s="65"/>
      <c r="AA208" s="76"/>
      <c r="AB208" s="7">
        <f t="shared" ref="AB208:AN208" si="195">AB211-SUM(AB209:AB210,AB207)</f>
        <v>1.352999999999998</v>
      </c>
      <c r="AC208" s="7">
        <f t="shared" ca="1" si="195"/>
        <v>8.9237166482371855</v>
      </c>
      <c r="AD208" s="7">
        <f t="shared" si="195"/>
        <v>4.5578425667936422</v>
      </c>
      <c r="AE208" s="7">
        <f t="shared" si="195"/>
        <v>8.9286227640931131</v>
      </c>
      <c r="AF208" s="7">
        <f t="shared" si="195"/>
        <v>4.1810167561317257</v>
      </c>
      <c r="AG208" s="7">
        <f t="shared" si="195"/>
        <v>9.3214374624242708</v>
      </c>
      <c r="AH208" s="7">
        <f t="shared" si="195"/>
        <v>12.724013459379471</v>
      </c>
      <c r="AI208" s="7">
        <f t="shared" si="195"/>
        <v>16.252079094305742</v>
      </c>
      <c r="AJ208" s="7">
        <f t="shared" si="195"/>
        <v>20.001040066780646</v>
      </c>
      <c r="AK208" s="7">
        <f t="shared" si="195"/>
        <v>23.791904171648468</v>
      </c>
      <c r="AL208" s="7">
        <f t="shared" si="195"/>
        <v>27.643182059671489</v>
      </c>
      <c r="AM208" s="7">
        <f t="shared" si="195"/>
        <v>31.780790572805813</v>
      </c>
      <c r="AN208" s="7">
        <f t="shared" si="195"/>
        <v>36.08591374855439</v>
      </c>
      <c r="AO208" s="7"/>
    </row>
    <row r="209" spans="1:41" ht="15" customHeight="1" outlineLevel="1">
      <c r="E209" s="70" t="s">
        <v>7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65"/>
      <c r="Y209" s="65"/>
      <c r="Z209" s="65"/>
      <c r="AA209" s="76"/>
      <c r="AB209" s="7">
        <f>-AB227</f>
        <v>-7.5880000000000001</v>
      </c>
      <c r="AC209" s="7">
        <f ca="1">-AC227</f>
        <v>-9.1580530465968959</v>
      </c>
      <c r="AD209" s="7">
        <f>-AD227</f>
        <v>-9.8283045951740569</v>
      </c>
      <c r="AE209" s="7">
        <f>-AE227</f>
        <v>-12.067839947501842</v>
      </c>
      <c r="AF209" s="206">
        <f>-AF207/AF212</f>
        <v>-13.295256081329731</v>
      </c>
      <c r="AG209" s="206">
        <f t="shared" ref="AG209:AN209" si="196">-AG207/AG212</f>
        <v>-15.094400366614924</v>
      </c>
      <c r="AH209" s="206">
        <f t="shared" si="196"/>
        <v>-19.359157179263139</v>
      </c>
      <c r="AI209" s="206">
        <f t="shared" si="196"/>
        <v>-23.856970630409926</v>
      </c>
      <c r="AJ209" s="206">
        <f t="shared" si="196"/>
        <v>-28.568894293376609</v>
      </c>
      <c r="AK209" s="206">
        <f t="shared" si="196"/>
        <v>-33.425401097857716</v>
      </c>
      <c r="AL209" s="206">
        <f t="shared" si="196"/>
        <v>-38.401472622559517</v>
      </c>
      <c r="AM209" s="206">
        <f t="shared" si="196"/>
        <v>-43.489502075010705</v>
      </c>
      <c r="AN209" s="206">
        <f t="shared" si="196"/>
        <v>-48.775292116510926</v>
      </c>
      <c r="AO209" s="7"/>
    </row>
    <row r="210" spans="1:41" ht="15" customHeight="1" outlineLevel="1">
      <c r="E210" s="70" t="s">
        <v>131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65"/>
      <c r="Y210" s="65"/>
      <c r="Z210" s="65"/>
      <c r="AA210" s="76"/>
      <c r="AB210" s="7">
        <f>+AB250</f>
        <v>2.4580000000000002</v>
      </c>
      <c r="AC210" s="7">
        <f t="shared" ref="AC210:AN210" si="197">+AC250</f>
        <v>7.6850930607376062</v>
      </c>
      <c r="AD210" s="7">
        <f t="shared" si="197"/>
        <v>7.7717733327414065</v>
      </c>
      <c r="AE210" s="7">
        <f t="shared" si="197"/>
        <v>11.04728941999417</v>
      </c>
      <c r="AF210" s="7">
        <f t="shared" si="197"/>
        <v>13.612100038410981</v>
      </c>
      <c r="AG210" s="7">
        <f t="shared" si="197"/>
        <v>16.434854935811195</v>
      </c>
      <c r="AH210" s="7">
        <f t="shared" si="197"/>
        <v>17.87967734775064</v>
      </c>
      <c r="AI210" s="7">
        <f t="shared" si="197"/>
        <v>19.384700693520895</v>
      </c>
      <c r="AJ210" s="7">
        <f t="shared" si="197"/>
        <v>20.709121237798719</v>
      </c>
      <c r="AK210" s="7">
        <f t="shared" si="197"/>
        <v>22.073675737963757</v>
      </c>
      <c r="AL210" s="7">
        <f t="shared" si="197"/>
        <v>23.478364194015995</v>
      </c>
      <c r="AM210" s="7">
        <f t="shared" si="197"/>
        <v>24.923186605955443</v>
      </c>
      <c r="AN210" s="7">
        <f t="shared" si="197"/>
        <v>26.408142973782095</v>
      </c>
      <c r="AO210" s="7"/>
    </row>
    <row r="211" spans="1:41" s="3" customFormat="1" outlineLevel="1">
      <c r="A211" s="110"/>
      <c r="B211" s="110" t="s">
        <v>229</v>
      </c>
      <c r="C211" s="143"/>
      <c r="E211" s="150" t="s">
        <v>229</v>
      </c>
      <c r="F211" s="2"/>
      <c r="G211" s="2"/>
      <c r="H211" s="261"/>
      <c r="I211" s="261"/>
      <c r="J211" s="261"/>
      <c r="K211" s="261"/>
      <c r="L211" s="261"/>
      <c r="M211" s="261"/>
      <c r="N211" s="261"/>
      <c r="O211" s="261"/>
      <c r="P211" s="261"/>
      <c r="Q211" s="261"/>
      <c r="R211" s="261"/>
      <c r="S211" s="261"/>
      <c r="T211" s="261"/>
      <c r="U211" s="261"/>
      <c r="V211" s="261"/>
      <c r="W211" s="261"/>
      <c r="X211" s="261"/>
      <c r="Y211" s="261"/>
      <c r="Z211" s="261"/>
      <c r="AA211" s="261" cm="1">
        <f t="array" ref="AA211">INDEX(QRT!$1:$1048576,MATCH(Model!$B211,QRT!$A:$A,0),MATCH(Model!AA$3,QRT!$4:$4,0)+3)</f>
        <v>19.155000000000001</v>
      </c>
      <c r="AB211" s="261" cm="1">
        <f t="array" ref="AB211">INDEX(QRT!$1:$1048576,MATCH(Model!$B211,QRT!$A:$A,0),MATCH(Model!AB$3,QRT!$4:$4,0)+3)</f>
        <v>15.378</v>
      </c>
      <c r="AC211" s="103" cm="1">
        <f t="array" ref="AC211">INDEX(QRT!$1:$1048576,MATCH(Model!$B211,QRT!$A:$A,0),MATCH(Model!AC$3,QRT!$4:$4,0)+3)</f>
        <v>22.828756662377895</v>
      </c>
      <c r="AD211" s="103" cm="1">
        <f t="array" ref="AD211">INDEX(QRT!$1:$1048576,MATCH(Model!$B211,QRT!$A:$A,0),MATCH(Model!AD$3,QRT!$4:$4,0)+3)</f>
        <v>25.330067966738888</v>
      </c>
      <c r="AE211" s="103" cm="1">
        <f t="array" ref="AE211">INDEX(QRT!$1:$1048576,MATCH(Model!$B211,QRT!$A:$A,0),MATCH(Model!AE$3,QRT!$4:$4,0)+3)</f>
        <v>33.238140203324328</v>
      </c>
      <c r="AF211" s="103">
        <f t="shared" ref="AF211:AN211" si="198">AF61*AF213</f>
        <v>37.736000916537307</v>
      </c>
      <c r="AG211" s="103">
        <f t="shared" si="198"/>
        <v>48.397892948157846</v>
      </c>
      <c r="AH211" s="103">
        <f t="shared" si="198"/>
        <v>59.642426576024818</v>
      </c>
      <c r="AI211" s="103">
        <f t="shared" si="198"/>
        <v>71.422235733441525</v>
      </c>
      <c r="AJ211" s="103">
        <f t="shared" si="198"/>
        <v>83.563502744644282</v>
      </c>
      <c r="AK211" s="103">
        <f t="shared" si="198"/>
        <v>96.003681556398789</v>
      </c>
      <c r="AL211" s="103">
        <f t="shared" si="198"/>
        <v>108.72375518752676</v>
      </c>
      <c r="AM211" s="103">
        <f t="shared" si="198"/>
        <v>121.93823029127731</v>
      </c>
      <c r="AN211" s="103">
        <f t="shared" si="198"/>
        <v>135.65699489710286</v>
      </c>
      <c r="AO211"/>
    </row>
    <row r="212" spans="1:41" ht="15" customHeight="1" outlineLevel="1">
      <c r="E212" s="70" t="s">
        <v>222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65"/>
      <c r="Y212" s="65"/>
      <c r="Z212" s="65"/>
      <c r="AA212" s="76"/>
      <c r="AB212" s="92">
        <f>-AVERAGE(AA211:AB211)/(AB209)</f>
        <v>2.2755007907221931</v>
      </c>
      <c r="AC212" s="92">
        <f ca="1">-AVERAGE(AB211:AC211)/(AC209)</f>
        <v>2.0859650226952664</v>
      </c>
      <c r="AD212" s="92">
        <f>-AVERAGE(AC211:AD211)/(AD209)</f>
        <v>2.4500067210352823</v>
      </c>
      <c r="AE212" s="92">
        <f>-AVERAGE(AD211:AE211)/(AE209)</f>
        <v>2.4266235061473198</v>
      </c>
      <c r="AF212" s="60">
        <v>2.5</v>
      </c>
      <c r="AG212" s="60">
        <f>AF212</f>
        <v>2.5</v>
      </c>
      <c r="AH212" s="60">
        <f t="shared" ref="AH212:AN212" si="199">AG212</f>
        <v>2.5</v>
      </c>
      <c r="AI212" s="60">
        <f t="shared" si="199"/>
        <v>2.5</v>
      </c>
      <c r="AJ212" s="60">
        <f t="shared" si="199"/>
        <v>2.5</v>
      </c>
      <c r="AK212" s="60">
        <f t="shared" si="199"/>
        <v>2.5</v>
      </c>
      <c r="AL212" s="60">
        <f t="shared" si="199"/>
        <v>2.5</v>
      </c>
      <c r="AM212" s="60">
        <f t="shared" si="199"/>
        <v>2.5</v>
      </c>
      <c r="AN212" s="60">
        <f t="shared" si="199"/>
        <v>2.5</v>
      </c>
      <c r="AO212" s="7"/>
    </row>
    <row r="213" spans="1:41" ht="15" customHeight="1" outlineLevel="1">
      <c r="E213" s="70" t="s">
        <v>348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65"/>
      <c r="Y213" s="65"/>
      <c r="Z213" s="65"/>
      <c r="AA213" s="264">
        <f>AVERAGE(Z211:AA211)/AA61</f>
        <v>2.7849868056615705E-2</v>
      </c>
      <c r="AB213" s="264">
        <f>AVERAGE(AA211:AB211)/AB61</f>
        <v>1.8198269601886176E-2</v>
      </c>
      <c r="AC213" s="264">
        <f>AVERAGE(AB211:AC211)/AC61</f>
        <v>1.2575165685003813E-2</v>
      </c>
      <c r="AD213" s="264">
        <f>AVERAGE(AC211:AD211)/AD61</f>
        <v>1.1199292297430408E-2</v>
      </c>
      <c r="AE213" s="264">
        <f>AVERAGE(AD211:AE211)/AE61</f>
        <v>1.0265663281299485E-2</v>
      </c>
      <c r="AF213" s="17">
        <v>0.01</v>
      </c>
      <c r="AG213" s="17">
        <f>AF213</f>
        <v>0.01</v>
      </c>
      <c r="AH213" s="17">
        <f t="shared" ref="AH213:AN213" si="200">AG213</f>
        <v>0.01</v>
      </c>
      <c r="AI213" s="17">
        <f t="shared" si="200"/>
        <v>0.01</v>
      </c>
      <c r="AJ213" s="17">
        <f t="shared" si="200"/>
        <v>0.01</v>
      </c>
      <c r="AK213" s="17">
        <f t="shared" si="200"/>
        <v>0.01</v>
      </c>
      <c r="AL213" s="17">
        <f t="shared" si="200"/>
        <v>0.01</v>
      </c>
      <c r="AM213" s="17">
        <f t="shared" si="200"/>
        <v>0.01</v>
      </c>
      <c r="AN213" s="17">
        <f t="shared" si="200"/>
        <v>0.01</v>
      </c>
      <c r="AO213" s="7"/>
    </row>
    <row r="214" spans="1:41" ht="15" customHeight="1" outlineLevel="1">
      <c r="E214" s="70" t="s">
        <v>347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65"/>
      <c r="Y214" s="65"/>
      <c r="Z214" s="65"/>
      <c r="AA214" s="149">
        <f>AA211/AA202</f>
        <v>2.3153632297836335</v>
      </c>
      <c r="AB214" s="149">
        <f>AB211/AB202</f>
        <v>1.8799511002444989</v>
      </c>
      <c r="AC214" s="149">
        <f ca="1">AC211/AC202</f>
        <v>1.88670656901051</v>
      </c>
      <c r="AD214" s="149">
        <f ca="1">AD211/AD202</f>
        <v>1.5152716201251433</v>
      </c>
      <c r="AE214" s="149">
        <f ca="1">AE211/AE202</f>
        <v>1.3960165368739259</v>
      </c>
      <c r="AF214" s="149">
        <f t="shared" ref="AF214:AN214" ca="1" si="201">AF211/AF202</f>
        <v>1.1642619729973693</v>
      </c>
      <c r="AG214" s="149">
        <f t="shared" ca="1" si="201"/>
        <v>1.1260079916848549</v>
      </c>
      <c r="AH214" s="149">
        <f t="shared" ca="1" si="201"/>
        <v>1.0870369842766574</v>
      </c>
      <c r="AI214" s="149">
        <f t="shared" ca="1" si="201"/>
        <v>1.0477708567689967</v>
      </c>
      <c r="AJ214" s="149">
        <f t="shared" ca="1" si="201"/>
        <v>1.0086004330803995</v>
      </c>
      <c r="AK214" s="149">
        <f t="shared" ca="1" si="201"/>
        <v>0.96960389728676899</v>
      </c>
      <c r="AL214" s="149">
        <f t="shared" ca="1" si="201"/>
        <v>0.93126336617435634</v>
      </c>
      <c r="AM214" s="149">
        <f t="shared" ca="1" si="201"/>
        <v>0.89556715953771149</v>
      </c>
      <c r="AN214" s="149">
        <f t="shared" ca="1" si="201"/>
        <v>0.86216008034923741</v>
      </c>
      <c r="AO214" s="7"/>
    </row>
    <row r="215" spans="1:41" ht="15" customHeight="1" outlineLevel="1"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65"/>
      <c r="Y215" s="65"/>
      <c r="Z215" s="65"/>
      <c r="AA215" s="76"/>
      <c r="AB215" s="76"/>
      <c r="AC215" s="76"/>
      <c r="AD215" s="76"/>
      <c r="AE215" s="76"/>
      <c r="AF215" s="76"/>
      <c r="AG215" s="76"/>
      <c r="AH215" s="76"/>
      <c r="AI215" s="76"/>
      <c r="AJ215" s="76"/>
      <c r="AK215" s="76"/>
      <c r="AL215" s="76"/>
      <c r="AM215" s="76"/>
      <c r="AN215" s="76"/>
      <c r="AO215" s="7"/>
    </row>
    <row r="216" spans="1:41" ht="15" customHeight="1" outlineLevel="1">
      <c r="E216" s="3" t="s">
        <v>343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65"/>
      <c r="Y216" s="65"/>
      <c r="Z216" s="274">
        <f>Y221</f>
        <v>14.026999999999999</v>
      </c>
      <c r="AA216" s="274">
        <f t="shared" ref="AA216:AN216" si="202">Z221</f>
        <v>46.033000000000001</v>
      </c>
      <c r="AB216" s="274">
        <f t="shared" si="202"/>
        <v>92.046999999999997</v>
      </c>
      <c r="AC216" s="274">
        <f t="shared" si="202"/>
        <v>108.926</v>
      </c>
      <c r="AD216" s="274">
        <f t="shared" si="202"/>
        <v>237.28584079609459</v>
      </c>
      <c r="AE216" s="274">
        <f t="shared" si="202"/>
        <v>291.35673761667988</v>
      </c>
      <c r="AF216" s="274">
        <f t="shared" si="202"/>
        <v>373.03314192166789</v>
      </c>
      <c r="AG216" s="274">
        <f t="shared" si="202"/>
        <v>478.88648668435712</v>
      </c>
      <c r="AH216" s="274">
        <f t="shared" si="202"/>
        <v>601.92467290333059</v>
      </c>
      <c r="AI216" s="274">
        <f t="shared" si="202"/>
        <v>722.80100784362855</v>
      </c>
      <c r="AJ216" s="274">
        <f t="shared" si="202"/>
        <v>842.33567834640758</v>
      </c>
      <c r="AK216" s="274">
        <f t="shared" si="202"/>
        <v>958.33245847508056</v>
      </c>
      <c r="AL216" s="274">
        <f t="shared" si="202"/>
        <v>1071.5743459843027</v>
      </c>
      <c r="AM216" s="274">
        <f t="shared" si="202"/>
        <v>1182.7175461405159</v>
      </c>
      <c r="AN216" s="274">
        <f t="shared" si="202"/>
        <v>1292.308263419407</v>
      </c>
      <c r="AO216" s="7"/>
    </row>
    <row r="217" spans="1:41" ht="15" customHeight="1" outlineLevel="1">
      <c r="B217" s="109" t="s">
        <v>389</v>
      </c>
      <c r="E217" s="70" t="s">
        <v>130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65"/>
      <c r="Y217" s="65"/>
      <c r="Z217" s="206" cm="1">
        <f t="array" ref="Z217">INDEX(QRT!$1:$1048576,MATCH(Model!$B217,QRT!$A:$A,0),MATCH(Model!Z$3,QRT!$4:$4,0))+INDEX(QRT!$1:$1048576,MATCH(Model!$B217,QRT!$A:$A,0),MATCH(Model!Z$3,QRT!$4:$4,0)+1)+INDEX(QRT!$1:$1048576,MATCH(Model!$B217,QRT!$A:$A,0),MATCH(Model!Z$3,QRT!$4:$4,0)+2)+INDEX(QRT!$1:$1048576,MATCH(Model!$B217,QRT!$A:$A,0),MATCH(Model!Z$3,QRT!$4:$4,0)+3)</f>
        <v>0</v>
      </c>
      <c r="AA217" s="206" cm="1">
        <f t="array" ref="AA217">INDEX(QRT!$1:$1048576,MATCH(Model!$B217,QRT!$A:$A,0),MATCH(Model!AA$3,QRT!$4:$4,0))+INDEX(QRT!$1:$1048576,MATCH(Model!$B217,QRT!$A:$A,0),MATCH(Model!AA$3,QRT!$4:$4,0)+1)+INDEX(QRT!$1:$1048576,MATCH(Model!$B217,QRT!$A:$A,0),MATCH(Model!AA$3,QRT!$4:$4,0)+2)+INDEX(QRT!$1:$1048576,MATCH(Model!$B217,QRT!$A:$A,0),MATCH(Model!AA$3,QRT!$4:$4,0)+3)</f>
        <v>0</v>
      </c>
      <c r="AB217" s="206" cm="1">
        <f t="array" ref="AB217">INDEX(QRT!$1:$1048576,MATCH(Model!$B217,QRT!$A:$A,0),MATCH(Model!AB$3,QRT!$4:$4,0))+INDEX(QRT!$1:$1048576,MATCH(Model!$B217,QRT!$A:$A,0),MATCH(Model!AB$3,QRT!$4:$4,0)+1)+INDEX(QRT!$1:$1048576,MATCH(Model!$B217,QRT!$A:$A,0),MATCH(Model!AB$3,QRT!$4:$4,0)+2)+INDEX(QRT!$1:$1048576,MATCH(Model!$B217,QRT!$A:$A,0),MATCH(Model!AB$3,QRT!$4:$4,0)+3)</f>
        <v>0</v>
      </c>
      <c r="AC217" s="206" cm="1">
        <f t="array" ref="AC217">INDEX(QRT!$1:$1048576,MATCH(Model!$B217,QRT!$A:$A,0),MATCH(Model!AC$3,QRT!$4:$4,0))+INDEX(QRT!$1:$1048576,MATCH(Model!$B217,QRT!$A:$A,0),MATCH(Model!AC$3,QRT!$4:$4,0)+1)+INDEX(QRT!$1:$1048576,MATCH(Model!$B217,QRT!$A:$A,0),MATCH(Model!AC$3,QRT!$4:$4,0)+2)+INDEX(QRT!$1:$1048576,MATCH(Model!$B217,QRT!$A:$A,0),MATCH(Model!AC$3,QRT!$4:$4,0)+3)</f>
        <v>0</v>
      </c>
      <c r="AD217" s="206" cm="1">
        <f t="array" ref="AD217">INDEX(QRT!$1:$1048576,MATCH(Model!$B217,QRT!$A:$A,0),MATCH(Model!AD$3,QRT!$4:$4,0))+INDEX(QRT!$1:$1048576,MATCH(Model!$B217,QRT!$A:$A,0),MATCH(Model!AD$3,QRT!$4:$4,0)+1)+INDEX(QRT!$1:$1048576,MATCH(Model!$B217,QRT!$A:$A,0),MATCH(Model!AD$3,QRT!$4:$4,0)+2)+INDEX(QRT!$1:$1048576,MATCH(Model!$B217,QRT!$A:$A,0),MATCH(Model!AD$3,QRT!$4:$4,0)+3)</f>
        <v>0.39341230316749054</v>
      </c>
      <c r="AE217" s="206" cm="1">
        <f t="array" ref="AE217">INDEX(QRT!$1:$1048576,MATCH(Model!$B217,QRT!$A:$A,0),MATCH(Model!AE$3,QRT!$4:$4,0))+INDEX(QRT!$1:$1048576,MATCH(Model!$B217,QRT!$A:$A,0),MATCH(Model!AE$3,QRT!$4:$4,0)+1)+INDEX(QRT!$1:$1048576,MATCH(Model!$B217,QRT!$A:$A,0),MATCH(Model!AE$3,QRT!$4:$4,0)+2)+INDEX(QRT!$1:$1048576,MATCH(Model!$B217,QRT!$A:$A,0),MATCH(Model!AE$3,QRT!$4:$4,0)+3)</f>
        <v>1.0315565571386096</v>
      </c>
      <c r="AF217" s="7">
        <f>-AF218*AF223</f>
        <v>1.7649590055546096</v>
      </c>
      <c r="AG217" s="7">
        <f t="shared" ref="AG217:AN217" si="203">-AG218*AG223</f>
        <v>3.06946350132251</v>
      </c>
      <c r="AH217" s="7">
        <f t="shared" si="203"/>
        <v>4.9011447283132101</v>
      </c>
      <c r="AI217" s="7">
        <f t="shared" si="203"/>
        <v>7.1793651749990977</v>
      </c>
      <c r="AJ217" s="7">
        <f t="shared" si="203"/>
        <v>9.9254220433189442</v>
      </c>
      <c r="AK217" s="7">
        <f t="shared" si="203"/>
        <v>13.126372076841552</v>
      </c>
      <c r="AL217" s="7">
        <f t="shared" si="203"/>
        <v>16.799774431276006</v>
      </c>
      <c r="AM217" s="7">
        <f t="shared" si="203"/>
        <v>20.967738146788015</v>
      </c>
      <c r="AN217" s="7">
        <f t="shared" si="203"/>
        <v>23.324110824776451</v>
      </c>
      <c r="AO217" s="7"/>
    </row>
    <row r="218" spans="1:41" ht="15" customHeight="1" outlineLevel="1">
      <c r="E218" s="70" t="s">
        <v>7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65"/>
      <c r="Y218" s="65"/>
      <c r="Z218" s="7">
        <f t="shared" ref="Z218:AE218" si="204">-Z228</f>
        <v>-3.91</v>
      </c>
      <c r="AA218" s="7">
        <f t="shared" si="204"/>
        <v>-8.032</v>
      </c>
      <c r="AB218" s="7">
        <f t="shared" si="204"/>
        <v>-14.212999999999999</v>
      </c>
      <c r="AC218" s="7">
        <f t="shared" ca="1" si="204"/>
        <v>-23.272872482920583</v>
      </c>
      <c r="AD218" s="7">
        <f t="shared" si="204"/>
        <v>-39.341230316749048</v>
      </c>
      <c r="AE218" s="7">
        <f t="shared" si="204"/>
        <v>-51.577827856930483</v>
      </c>
      <c r="AF218" s="206">
        <f>-AF216/AF222</f>
        <v>-58.831966851820326</v>
      </c>
      <c r="AG218" s="206">
        <f t="shared" ref="AG218:AN218" si="205">-AG216/AG222</f>
        <v>-76.736587533062746</v>
      </c>
      <c r="AH218" s="206">
        <f t="shared" si="205"/>
        <v>-98.022894566264199</v>
      </c>
      <c r="AI218" s="206">
        <f t="shared" si="205"/>
        <v>-119.65608624998495</v>
      </c>
      <c r="AJ218" s="206">
        <f t="shared" si="205"/>
        <v>-141.7917434759849</v>
      </c>
      <c r="AK218" s="206">
        <f t="shared" si="205"/>
        <v>-164.07965096051939</v>
      </c>
      <c r="AL218" s="206">
        <f t="shared" si="205"/>
        <v>-186.66416034751117</v>
      </c>
      <c r="AM218" s="206">
        <f t="shared" si="205"/>
        <v>-209.67738146788017</v>
      </c>
      <c r="AN218" s="206">
        <f t="shared" si="205"/>
        <v>-233.24110824776454</v>
      </c>
      <c r="AO218" s="7"/>
    </row>
    <row r="219" spans="1:41" ht="15" customHeight="1" outlineLevel="1">
      <c r="E219" s="70" t="s">
        <v>131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65"/>
      <c r="Y219" s="65"/>
      <c r="Z219" s="7">
        <f t="shared" ref="Z219:AE219" si="206">+Z251</f>
        <v>26.676000000000002</v>
      </c>
      <c r="AA219" s="7">
        <f t="shared" si="206"/>
        <v>53.399000000000001</v>
      </c>
      <c r="AB219" s="7">
        <f t="shared" si="206"/>
        <v>31.030999999999999</v>
      </c>
      <c r="AC219" s="7">
        <f t="shared" si="206"/>
        <v>155.63154449979834</v>
      </c>
      <c r="AD219" s="7">
        <f t="shared" si="206"/>
        <v>93.018714834166843</v>
      </c>
      <c r="AE219" s="7">
        <f t="shared" si="206"/>
        <v>132.22267560477994</v>
      </c>
      <c r="AF219" s="7">
        <f t="shared" ref="AF219:AN219" si="207">+AF251</f>
        <v>162.92035260895497</v>
      </c>
      <c r="AG219" s="7">
        <f t="shared" si="207"/>
        <v>196.70531025071372</v>
      </c>
      <c r="AH219" s="7">
        <f t="shared" si="207"/>
        <v>213.99808477824897</v>
      </c>
      <c r="AI219" s="7">
        <f t="shared" si="207"/>
        <v>232.01139157776487</v>
      </c>
      <c r="AJ219" s="7">
        <f t="shared" si="207"/>
        <v>247.86310156133885</v>
      </c>
      <c r="AK219" s="7">
        <f t="shared" si="207"/>
        <v>264.19516639289998</v>
      </c>
      <c r="AL219" s="7">
        <f t="shared" si="207"/>
        <v>281.00758607244819</v>
      </c>
      <c r="AM219" s="7">
        <f t="shared" si="207"/>
        <v>298.30036059998343</v>
      </c>
      <c r="AN219" s="7">
        <f t="shared" si="207"/>
        <v>316.07348997550582</v>
      </c>
      <c r="AO219" s="7"/>
    </row>
    <row r="220" spans="1:41" ht="15" customHeight="1" outlineLevel="1">
      <c r="E220" s="70" t="s">
        <v>127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65"/>
      <c r="Y220" s="65"/>
      <c r="Z220" s="7">
        <f t="shared" ref="Z220:AE220" si="208">Z221-SUM(Z216:Z219)</f>
        <v>9.240000000000002</v>
      </c>
      <c r="AA220" s="7">
        <f t="shared" si="208"/>
        <v>0.64699999999999136</v>
      </c>
      <c r="AB220" s="7">
        <f t="shared" si="208"/>
        <v>6.0999999999992838E-2</v>
      </c>
      <c r="AC220" s="7">
        <f t="shared" ca="1" si="208"/>
        <v>-3.9988312207831598</v>
      </c>
      <c r="AD220" s="7">
        <f t="shared" si="208"/>
        <v>0</v>
      </c>
      <c r="AE220" s="7">
        <f t="shared" si="208"/>
        <v>0</v>
      </c>
      <c r="AF220" s="79">
        <v>0</v>
      </c>
      <c r="AG220" s="79">
        <f>AF220</f>
        <v>0</v>
      </c>
      <c r="AH220" s="79">
        <f t="shared" ref="AH220:AN220" si="209">AG220</f>
        <v>0</v>
      </c>
      <c r="AI220" s="79">
        <f t="shared" si="209"/>
        <v>0</v>
      </c>
      <c r="AJ220" s="79">
        <f t="shared" si="209"/>
        <v>0</v>
      </c>
      <c r="AK220" s="79">
        <f t="shared" si="209"/>
        <v>0</v>
      </c>
      <c r="AL220" s="79">
        <f t="shared" si="209"/>
        <v>0</v>
      </c>
      <c r="AM220" s="79">
        <f t="shared" si="209"/>
        <v>0</v>
      </c>
      <c r="AN220" s="79">
        <f t="shared" si="209"/>
        <v>0</v>
      </c>
      <c r="AO220" s="7"/>
    </row>
    <row r="221" spans="1:41" s="3" customFormat="1" outlineLevel="1">
      <c r="A221" s="110"/>
      <c r="B221" s="110"/>
      <c r="C221" s="143"/>
      <c r="E221" s="150" t="s">
        <v>344</v>
      </c>
      <c r="F221" s="2"/>
      <c r="G221" s="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>
        <f t="shared" ref="Y221:AE221" si="210">Y133</f>
        <v>14.026999999999999</v>
      </c>
      <c r="Z221" s="102">
        <f t="shared" si="210"/>
        <v>46.033000000000001</v>
      </c>
      <c r="AA221" s="102">
        <f t="shared" si="210"/>
        <v>92.046999999999997</v>
      </c>
      <c r="AB221" s="102">
        <f t="shared" si="210"/>
        <v>108.926</v>
      </c>
      <c r="AC221" s="102">
        <f t="shared" si="210"/>
        <v>237.28584079609459</v>
      </c>
      <c r="AD221" s="102">
        <f t="shared" si="210"/>
        <v>291.35673761667988</v>
      </c>
      <c r="AE221" s="102">
        <f t="shared" si="210"/>
        <v>373.03314192166789</v>
      </c>
      <c r="AF221" s="103">
        <f>SUM(AF216:AF220)</f>
        <v>478.88648668435712</v>
      </c>
      <c r="AG221" s="103">
        <f t="shared" ref="AG221:AN221" si="211">SUM(AG216:AG220)</f>
        <v>601.92467290333059</v>
      </c>
      <c r="AH221" s="103">
        <f t="shared" si="211"/>
        <v>722.80100784362855</v>
      </c>
      <c r="AI221" s="103">
        <f t="shared" si="211"/>
        <v>842.33567834640758</v>
      </c>
      <c r="AJ221" s="103">
        <f t="shared" si="211"/>
        <v>958.33245847508056</v>
      </c>
      <c r="AK221" s="103">
        <f t="shared" si="211"/>
        <v>1071.5743459843027</v>
      </c>
      <c r="AL221" s="103">
        <f t="shared" si="211"/>
        <v>1182.7175461405159</v>
      </c>
      <c r="AM221" s="103">
        <f t="shared" si="211"/>
        <v>1292.308263419407</v>
      </c>
      <c r="AN221" s="103">
        <f t="shared" si="211"/>
        <v>1398.4647559719247</v>
      </c>
      <c r="AO221"/>
    </row>
    <row r="222" spans="1:41" ht="15" customHeight="1" outlineLevel="1">
      <c r="E222" s="70" t="s">
        <v>222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65"/>
      <c r="Y222" s="92"/>
      <c r="Z222" s="92">
        <f t="shared" ref="Z222:AE222" si="212">-AVERAGE(Y221:Z221)/(Z218)</f>
        <v>7.6803069053708439</v>
      </c>
      <c r="AA222" s="92">
        <f t="shared" si="212"/>
        <v>8.5956175298804762</v>
      </c>
      <c r="AB222" s="92">
        <f t="shared" si="212"/>
        <v>7.0700415112924793</v>
      </c>
      <c r="AC222" s="92">
        <f t="shared" ca="1" si="212"/>
        <v>7.4380986070836626</v>
      </c>
      <c r="AD222" s="92">
        <f t="shared" si="212"/>
        <v>6.7186838611362818</v>
      </c>
      <c r="AE222" s="92">
        <f t="shared" si="212"/>
        <v>6.4406539315815143</v>
      </c>
      <c r="AF222" s="100">
        <f>AE222-0.1</f>
        <v>6.3406539315815147</v>
      </c>
      <c r="AG222" s="100">
        <f t="shared" ref="AG222:AN222" si="213">AF222-0.1</f>
        <v>6.240653931581515</v>
      </c>
      <c r="AH222" s="100">
        <f t="shared" si="213"/>
        <v>6.1406539315815154</v>
      </c>
      <c r="AI222" s="100">
        <f t="shared" si="213"/>
        <v>6.0406539315815158</v>
      </c>
      <c r="AJ222" s="100">
        <f t="shared" si="213"/>
        <v>5.9406539315815161</v>
      </c>
      <c r="AK222" s="100">
        <f t="shared" si="213"/>
        <v>5.8406539315815165</v>
      </c>
      <c r="AL222" s="100">
        <f t="shared" si="213"/>
        <v>5.7406539315815168</v>
      </c>
      <c r="AM222" s="100">
        <f t="shared" si="213"/>
        <v>5.6406539315815172</v>
      </c>
      <c r="AN222" s="100">
        <f t="shared" si="213"/>
        <v>5.5406539315815175</v>
      </c>
      <c r="AO222" s="7"/>
    </row>
    <row r="223" spans="1:41" ht="15" customHeight="1" outlineLevel="1">
      <c r="E223" s="70" t="s">
        <v>349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65"/>
      <c r="Y223" s="87"/>
      <c r="Z223" s="87">
        <f t="shared" ref="Z223:AE223" si="214">-Z217/Z218</f>
        <v>0</v>
      </c>
      <c r="AA223" s="87">
        <f t="shared" si="214"/>
        <v>0</v>
      </c>
      <c r="AB223" s="87">
        <f t="shared" si="214"/>
        <v>0</v>
      </c>
      <c r="AC223" s="87">
        <f t="shared" ca="1" si="214"/>
        <v>0</v>
      </c>
      <c r="AD223" s="87">
        <f t="shared" si="214"/>
        <v>1.0000000000000002E-2</v>
      </c>
      <c r="AE223" s="87">
        <f t="shared" si="214"/>
        <v>0.02</v>
      </c>
      <c r="AF223" s="17">
        <f>AE223+0.01</f>
        <v>0.03</v>
      </c>
      <c r="AG223" s="17">
        <f t="shared" ref="AG223:AM223" si="215">AF223+0.01</f>
        <v>0.04</v>
      </c>
      <c r="AH223" s="17">
        <f t="shared" si="215"/>
        <v>0.05</v>
      </c>
      <c r="AI223" s="17">
        <f t="shared" si="215"/>
        <v>6.0000000000000005E-2</v>
      </c>
      <c r="AJ223" s="17">
        <f t="shared" si="215"/>
        <v>7.0000000000000007E-2</v>
      </c>
      <c r="AK223" s="17">
        <f t="shared" si="215"/>
        <v>0.08</v>
      </c>
      <c r="AL223" s="17">
        <f t="shared" si="215"/>
        <v>0.09</v>
      </c>
      <c r="AM223" s="17">
        <f t="shared" si="215"/>
        <v>9.9999999999999992E-2</v>
      </c>
      <c r="AN223" s="17">
        <f>AM223</f>
        <v>9.9999999999999992E-2</v>
      </c>
      <c r="AO223" s="7"/>
    </row>
    <row r="224" spans="1:41" ht="15" customHeight="1" outlineLevel="1">
      <c r="E224" s="70" t="s">
        <v>391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65"/>
      <c r="Y224" s="92">
        <f t="shared" ref="Y224:AN224" si="216">Y61/AVERAGE(X221:Y221)</f>
        <v>3.7633136094674562</v>
      </c>
      <c r="Z224" s="92">
        <f t="shared" si="216"/>
        <v>15.291142191142191</v>
      </c>
      <c r="AA224" s="92">
        <f t="shared" si="216"/>
        <v>9.9622682502896893</v>
      </c>
      <c r="AB224" s="92">
        <f t="shared" si="216"/>
        <v>9.4420544053181263</v>
      </c>
      <c r="AC224" s="92">
        <f t="shared" si="216"/>
        <v>8.7757559952552722</v>
      </c>
      <c r="AD224" s="92">
        <f t="shared" si="216"/>
        <v>8.1343557056202425</v>
      </c>
      <c r="AE224" s="92">
        <f t="shared" si="216"/>
        <v>8.5872066454329286</v>
      </c>
      <c r="AF224" s="92">
        <f t="shared" si="216"/>
        <v>8.8590518751830576</v>
      </c>
      <c r="AG224" s="92">
        <f t="shared" si="216"/>
        <v>8.9558462676534312</v>
      </c>
      <c r="AH224" s="92">
        <f t="shared" si="216"/>
        <v>9.0044946577007359</v>
      </c>
      <c r="AI224" s="92">
        <f t="shared" si="216"/>
        <v>9.1266451503737311</v>
      </c>
      <c r="AJ224" s="92">
        <f t="shared" si="216"/>
        <v>9.2813885063962207</v>
      </c>
      <c r="AK224" s="92">
        <f t="shared" si="216"/>
        <v>9.45892504478471</v>
      </c>
      <c r="AL224" s="92">
        <f t="shared" si="216"/>
        <v>9.6459341017322728</v>
      </c>
      <c r="AM224" s="92">
        <f t="shared" si="216"/>
        <v>9.8534916137265487</v>
      </c>
      <c r="AN224" s="92">
        <f t="shared" si="216"/>
        <v>10.083124360135679</v>
      </c>
      <c r="AO224" s="7"/>
    </row>
    <row r="225" spans="1:41" ht="15" customHeight="1" outlineLevel="1"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65"/>
      <c r="Y225" s="65"/>
      <c r="Z225" s="65"/>
      <c r="AA225" s="76"/>
      <c r="AB225" s="76"/>
      <c r="AC225" s="76"/>
      <c r="AD225" s="76"/>
      <c r="AE225" s="76"/>
      <c r="AF225" s="76"/>
      <c r="AG225" s="76"/>
      <c r="AH225" s="76"/>
      <c r="AI225" s="76"/>
      <c r="AJ225" s="76"/>
      <c r="AK225" s="76"/>
      <c r="AL225" s="76"/>
      <c r="AM225" s="76"/>
      <c r="AN225" s="76"/>
      <c r="AO225" s="7"/>
    </row>
    <row r="226" spans="1:41" ht="15" customHeight="1" outlineLevel="1">
      <c r="B226" s="109" t="s">
        <v>336</v>
      </c>
      <c r="E226" s="144" t="s">
        <v>336</v>
      </c>
      <c r="H226" s="260"/>
      <c r="I226" s="260"/>
      <c r="J226" s="260"/>
      <c r="K226" s="260"/>
      <c r="L226" s="260"/>
      <c r="M226" s="260"/>
      <c r="N226" s="260"/>
      <c r="O226" s="260"/>
      <c r="P226" s="260"/>
      <c r="Q226" s="260"/>
      <c r="R226" s="260"/>
      <c r="S226" s="260"/>
      <c r="T226" s="260"/>
      <c r="U226" s="260"/>
      <c r="V226" s="260"/>
      <c r="W226" s="260"/>
      <c r="X226" s="260"/>
      <c r="Y226" s="260">
        <v>0.34399999999999997</v>
      </c>
      <c r="Z226" s="260">
        <v>3.0459999999999998</v>
      </c>
      <c r="AA226" s="260">
        <f>9.855-AA227</f>
        <v>4.0590000000000002</v>
      </c>
      <c r="AB226" s="260">
        <f>12.192-AB227</f>
        <v>4.6040000000000001</v>
      </c>
      <c r="AC226" s="162" cm="1">
        <f t="array" aca="1" ref="AC226" ca="1">INDEX(QRT!$1:$1048576,MATCH(Model!$B226,QRT!$A:$A,0),MATCH(Model!AC$3,QRT!$4:$4,0))+INDEX(QRT!$1:$1048576,MATCH(Model!$B226,QRT!$A:$A,0),MATCH(Model!AC$3,QRT!$4:$4,0)+1)+INDEX(QRT!$1:$1048576,MATCH(Model!$B226,QRT!$A:$A,0),MATCH(Model!AC$3,QRT!$4:$4,0)+2)+INDEX(QRT!$1:$1048576,MATCH(Model!$B226,QRT!$A:$A,0),MATCH(Model!AC$3,QRT!$4:$4,0)+3)</f>
        <v>5.8454617229211969</v>
      </c>
      <c r="AD226" s="162" cm="1">
        <f t="array" ref="AD226">INDEX(QRT!$1:$1048576,MATCH(Model!$B226,QRT!$A:$A,0),MATCH(Model!AD$3,QRT!$4:$4,0))+INDEX(QRT!$1:$1048576,MATCH(Model!$B226,QRT!$A:$A,0),MATCH(Model!AD$3,QRT!$4:$4,0)+1)+INDEX(QRT!$1:$1048576,MATCH(Model!$B226,QRT!$A:$A,0),MATCH(Model!AD$3,QRT!$4:$4,0)+2)+INDEX(QRT!$1:$1048576,MATCH(Model!$B226,QRT!$A:$A,0),MATCH(Model!AD$3,QRT!$4:$4,0)+3)</f>
        <v>7.6951070080131974</v>
      </c>
      <c r="AE226" s="162" cm="1">
        <f t="array" ref="AE226">INDEX(QRT!$1:$1048576,MATCH(Model!$B226,QRT!$A:$A,0),MATCH(Model!AE$3,QRT!$4:$4,0))+INDEX(QRT!$1:$1048576,MATCH(Model!$B226,QRT!$A:$A,0),MATCH(Model!AE$3,QRT!$4:$4,0)+1)+INDEX(QRT!$1:$1048576,MATCH(Model!$B226,QRT!$A:$A,0),MATCH(Model!AE$3,QRT!$4:$4,0)+2)+INDEX(QRT!$1:$1048576,MATCH(Model!$B226,QRT!$A:$A,0),MATCH(Model!AE$3,QRT!$4:$4,0)+3)</f>
        <v>10.77161104278497</v>
      </c>
      <c r="AF226" s="7">
        <f ca="1">-AF199</f>
        <v>11.904636988668445</v>
      </c>
      <c r="AG226" s="7">
        <f t="shared" ref="AG226:AN226" ca="1" si="217">-AG199</f>
        <v>16.205975026130382</v>
      </c>
      <c r="AH226" s="7">
        <f t="shared" ca="1" si="217"/>
        <v>21.490918939100816</v>
      </c>
      <c r="AI226" s="7">
        <f t="shared" ca="1" si="217"/>
        <v>27.433485446547358</v>
      </c>
      <c r="AJ226" s="7">
        <f t="shared" ca="1" si="217"/>
        <v>34.08294631981164</v>
      </c>
      <c r="AK226" s="7">
        <f t="shared" ca="1" si="217"/>
        <v>41.425474352331108</v>
      </c>
      <c r="AL226" s="7">
        <f t="shared" ca="1" si="217"/>
        <v>49.506649996480391</v>
      </c>
      <c r="AM226" s="7">
        <f t="shared" ca="1" si="217"/>
        <v>58.374332727252849</v>
      </c>
      <c r="AN226" s="7">
        <f t="shared" ca="1" si="217"/>
        <v>68.078774993391548</v>
      </c>
      <c r="AO226" s="7"/>
    </row>
    <row r="227" spans="1:41" ht="15" customHeight="1" outlineLevel="1">
      <c r="B227" s="109" t="s">
        <v>337</v>
      </c>
      <c r="E227" s="144" t="s">
        <v>337</v>
      </c>
      <c r="H227" s="260"/>
      <c r="I227" s="260"/>
      <c r="J227" s="260"/>
      <c r="K227" s="260"/>
      <c r="L227" s="260"/>
      <c r="M227" s="260"/>
      <c r="N227" s="260"/>
      <c r="O227" s="260"/>
      <c r="P227" s="260"/>
      <c r="Q227" s="260"/>
      <c r="R227" s="260"/>
      <c r="S227" s="260"/>
      <c r="T227" s="260"/>
      <c r="U227" s="260"/>
      <c r="V227" s="260"/>
      <c r="W227" s="260"/>
      <c r="X227" s="260"/>
      <c r="Y227" s="260"/>
      <c r="Z227" s="260"/>
      <c r="AA227" s="260">
        <f>2.575+3.221</f>
        <v>5.7960000000000003</v>
      </c>
      <c r="AB227" s="260">
        <f>3.159+4.429</f>
        <v>7.5880000000000001</v>
      </c>
      <c r="AC227" s="162" cm="1">
        <f t="array" aca="1" ref="AC227" ca="1">INDEX(QRT!$1:$1048576,MATCH(Model!$B227,QRT!$A:$A,0),MATCH(Model!AC$3,QRT!$4:$4,0))+INDEX(QRT!$1:$1048576,MATCH(Model!$B227,QRT!$A:$A,0),MATCH(Model!AC$3,QRT!$4:$4,0)+1)+INDEX(QRT!$1:$1048576,MATCH(Model!$B227,QRT!$A:$A,0),MATCH(Model!AC$3,QRT!$4:$4,0)+2)+INDEX(QRT!$1:$1048576,MATCH(Model!$B227,QRT!$A:$A,0),MATCH(Model!AC$3,QRT!$4:$4,0)+3)</f>
        <v>9.1580530465968959</v>
      </c>
      <c r="AD227" s="162" cm="1">
        <f t="array" ref="AD227">INDEX(QRT!$1:$1048576,MATCH(Model!$B227,QRT!$A:$A,0),MATCH(Model!AD$3,QRT!$4:$4,0))+INDEX(QRT!$1:$1048576,MATCH(Model!$B227,QRT!$A:$A,0),MATCH(Model!AD$3,QRT!$4:$4,0)+1)+INDEX(QRT!$1:$1048576,MATCH(Model!$B227,QRT!$A:$A,0),MATCH(Model!AD$3,QRT!$4:$4,0)+2)+INDEX(QRT!$1:$1048576,MATCH(Model!$B227,QRT!$A:$A,0),MATCH(Model!AD$3,QRT!$4:$4,0)+3)</f>
        <v>9.8283045951740569</v>
      </c>
      <c r="AE227" s="162" cm="1">
        <f t="array" ref="AE227">INDEX(QRT!$1:$1048576,MATCH(Model!$B227,QRT!$A:$A,0),MATCH(Model!AE$3,QRT!$4:$4,0))+INDEX(QRT!$1:$1048576,MATCH(Model!$B227,QRT!$A:$A,0),MATCH(Model!AE$3,QRT!$4:$4,0)+1)+INDEX(QRT!$1:$1048576,MATCH(Model!$B227,QRT!$A:$A,0),MATCH(Model!AE$3,QRT!$4:$4,0)+2)+INDEX(QRT!$1:$1048576,MATCH(Model!$B227,QRT!$A:$A,0),MATCH(Model!AE$3,QRT!$4:$4,0)+3)</f>
        <v>12.067839947501842</v>
      </c>
      <c r="AF227" s="7">
        <f>-AF209</f>
        <v>13.295256081329731</v>
      </c>
      <c r="AG227" s="7">
        <f t="shared" ref="AG227:AN227" si="218">-AG209</f>
        <v>15.094400366614924</v>
      </c>
      <c r="AH227" s="7">
        <f t="shared" si="218"/>
        <v>19.359157179263139</v>
      </c>
      <c r="AI227" s="7">
        <f t="shared" si="218"/>
        <v>23.856970630409926</v>
      </c>
      <c r="AJ227" s="7">
        <f t="shared" si="218"/>
        <v>28.568894293376609</v>
      </c>
      <c r="AK227" s="7">
        <f t="shared" si="218"/>
        <v>33.425401097857716</v>
      </c>
      <c r="AL227" s="7">
        <f t="shared" si="218"/>
        <v>38.401472622559517</v>
      </c>
      <c r="AM227" s="7">
        <f t="shared" si="218"/>
        <v>43.489502075010705</v>
      </c>
      <c r="AN227" s="7">
        <f t="shared" si="218"/>
        <v>48.775292116510926</v>
      </c>
      <c r="AO227" s="7"/>
    </row>
    <row r="228" spans="1:41" ht="15" customHeight="1" outlineLevel="1">
      <c r="B228" s="109" t="s">
        <v>338</v>
      </c>
      <c r="E228" s="144" t="s">
        <v>338</v>
      </c>
      <c r="H228" s="260"/>
      <c r="I228" s="260"/>
      <c r="J228" s="260"/>
      <c r="K228" s="260"/>
      <c r="L228" s="260"/>
      <c r="M228" s="260"/>
      <c r="N228" s="260"/>
      <c r="O228" s="260"/>
      <c r="P228" s="260"/>
      <c r="Q228" s="260"/>
      <c r="R228" s="260"/>
      <c r="S228" s="260"/>
      <c r="T228" s="260"/>
      <c r="U228" s="260"/>
      <c r="V228" s="260"/>
      <c r="W228" s="260"/>
      <c r="X228" s="260"/>
      <c r="Y228" s="260">
        <v>0.438</v>
      </c>
      <c r="Z228" s="260">
        <v>3.91</v>
      </c>
      <c r="AA228" s="260">
        <v>8.032</v>
      </c>
      <c r="AB228" s="260">
        <v>14.212999999999999</v>
      </c>
      <c r="AC228" s="162" cm="1">
        <f t="array" aca="1" ref="AC228" ca="1">INDEX(QRT!$1:$1048576,MATCH(Model!$B228,QRT!$A:$A,0),MATCH(Model!AC$3,QRT!$4:$4,0))+INDEX(QRT!$1:$1048576,MATCH(Model!$B228,QRT!$A:$A,0),MATCH(Model!AC$3,QRT!$4:$4,0)+1)+INDEX(QRT!$1:$1048576,MATCH(Model!$B228,QRT!$A:$A,0),MATCH(Model!AC$3,QRT!$4:$4,0)+2)+INDEX(QRT!$1:$1048576,MATCH(Model!$B228,QRT!$A:$A,0),MATCH(Model!AC$3,QRT!$4:$4,0)+3)</f>
        <v>23.272872482920583</v>
      </c>
      <c r="AD228" s="162" cm="1">
        <f t="array" ref="AD228">INDEX(QRT!$1:$1048576,MATCH(Model!$B228,QRT!$A:$A,0),MATCH(Model!AD$3,QRT!$4:$4,0))+INDEX(QRT!$1:$1048576,MATCH(Model!$B228,QRT!$A:$A,0),MATCH(Model!AD$3,QRT!$4:$4,0)+1)+INDEX(QRT!$1:$1048576,MATCH(Model!$B228,QRT!$A:$A,0),MATCH(Model!AD$3,QRT!$4:$4,0)+2)+INDEX(QRT!$1:$1048576,MATCH(Model!$B228,QRT!$A:$A,0),MATCH(Model!AD$3,QRT!$4:$4,0)+3)</f>
        <v>39.341230316749048</v>
      </c>
      <c r="AE228" s="162" cm="1">
        <f t="array" ref="AE228">INDEX(QRT!$1:$1048576,MATCH(Model!$B228,QRT!$A:$A,0),MATCH(Model!AE$3,QRT!$4:$4,0))+INDEX(QRT!$1:$1048576,MATCH(Model!$B228,QRT!$A:$A,0),MATCH(Model!AE$3,QRT!$4:$4,0)+1)+INDEX(QRT!$1:$1048576,MATCH(Model!$B228,QRT!$A:$A,0),MATCH(Model!AE$3,QRT!$4:$4,0)+2)+INDEX(QRT!$1:$1048576,MATCH(Model!$B228,QRT!$A:$A,0),MATCH(Model!AE$3,QRT!$4:$4,0)+3)</f>
        <v>51.577827856930483</v>
      </c>
      <c r="AF228" s="7">
        <f>-AF218</f>
        <v>58.831966851820326</v>
      </c>
      <c r="AG228" s="7">
        <f t="shared" ref="AG228:AN228" si="219">-AG218</f>
        <v>76.736587533062746</v>
      </c>
      <c r="AH228" s="7">
        <f t="shared" si="219"/>
        <v>98.022894566264199</v>
      </c>
      <c r="AI228" s="7">
        <f t="shared" si="219"/>
        <v>119.65608624998495</v>
      </c>
      <c r="AJ228" s="7">
        <f t="shared" si="219"/>
        <v>141.7917434759849</v>
      </c>
      <c r="AK228" s="7">
        <f t="shared" si="219"/>
        <v>164.07965096051939</v>
      </c>
      <c r="AL228" s="7">
        <f t="shared" si="219"/>
        <v>186.66416034751117</v>
      </c>
      <c r="AM228" s="7">
        <f t="shared" si="219"/>
        <v>209.67738146788017</v>
      </c>
      <c r="AN228" s="7">
        <f t="shared" si="219"/>
        <v>233.24110824776454</v>
      </c>
      <c r="AO228" s="7"/>
    </row>
    <row r="229" spans="1:41" ht="15" customHeight="1" outlineLevel="1">
      <c r="B229" s="109" t="s">
        <v>339</v>
      </c>
      <c r="E229" s="144" t="s">
        <v>339</v>
      </c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>
        <f>Y230-SUM(Y226:Y228)</f>
        <v>1.0000000000000009E-3</v>
      </c>
      <c r="Z229" s="74">
        <f>Z230-SUM(Z226:Z228)</f>
        <v>0</v>
      </c>
      <c r="AA229" s="74">
        <f>AA230-SUM(AA226:AA228)</f>
        <v>0</v>
      </c>
      <c r="AB229" s="74">
        <f>AB230-SUM(AB226:AB228)</f>
        <v>0.64399999999999835</v>
      </c>
      <c r="AC229" s="162" cm="1">
        <f t="array" aca="1" ref="AC229" ca="1">INDEX(QRT!$1:$1048576,MATCH(Model!$B229,QRT!$A:$A,0),MATCH(Model!AC$3,QRT!$4:$4,0))+INDEX(QRT!$1:$1048576,MATCH(Model!$B229,QRT!$A:$A,0),MATCH(Model!AC$3,QRT!$4:$4,0)+1)+INDEX(QRT!$1:$1048576,MATCH(Model!$B229,QRT!$A:$A,0),MATCH(Model!AC$3,QRT!$4:$4,0)+2)+INDEX(QRT!$1:$1048576,MATCH(Model!$B229,QRT!$A:$A,0),MATCH(Model!AC$3,QRT!$4:$4,0)+3)</f>
        <v>0.77128696070094804</v>
      </c>
      <c r="AD229" s="162" cm="1">
        <f t="array" ref="AD229">INDEX(QRT!$1:$1048576,MATCH(Model!$B229,QRT!$A:$A,0),MATCH(Model!AD$3,QRT!$4:$4,0))+INDEX(QRT!$1:$1048576,MATCH(Model!$B229,QRT!$A:$A,0),MATCH(Model!AD$3,QRT!$4:$4,0)+1)+INDEX(QRT!$1:$1048576,MATCH(Model!$B229,QRT!$A:$A,0),MATCH(Model!AD$3,QRT!$4:$4,0)+2)+INDEX(QRT!$1:$1048576,MATCH(Model!$B229,QRT!$A:$A,0),MATCH(Model!AD$3,QRT!$4:$4,0)+3)</f>
        <v>0</v>
      </c>
      <c r="AE229" s="162" cm="1">
        <f t="array" ref="AE229">INDEX(QRT!$1:$1048576,MATCH(Model!$B229,QRT!$A:$A,0),MATCH(Model!AE$3,QRT!$4:$4,0))+INDEX(QRT!$1:$1048576,MATCH(Model!$B229,QRT!$A:$A,0),MATCH(Model!AE$3,QRT!$4:$4,0)+1)+INDEX(QRT!$1:$1048576,MATCH(Model!$B229,QRT!$A:$A,0),MATCH(Model!AE$3,QRT!$4:$4,0)+2)+INDEX(QRT!$1:$1048576,MATCH(Model!$B229,QRT!$A:$A,0),MATCH(Model!AE$3,QRT!$4:$4,0)+3)</f>
        <v>0</v>
      </c>
      <c r="AF229" s="79">
        <v>0</v>
      </c>
      <c r="AG229" s="79">
        <f>AF229</f>
        <v>0</v>
      </c>
      <c r="AH229" s="79">
        <f t="shared" ref="AH229:AN229" si="220">AG229</f>
        <v>0</v>
      </c>
      <c r="AI229" s="79">
        <f t="shared" si="220"/>
        <v>0</v>
      </c>
      <c r="AJ229" s="79">
        <f t="shared" si="220"/>
        <v>0</v>
      </c>
      <c r="AK229" s="79">
        <f t="shared" si="220"/>
        <v>0</v>
      </c>
      <c r="AL229" s="79">
        <f t="shared" si="220"/>
        <v>0</v>
      </c>
      <c r="AM229" s="79">
        <f t="shared" si="220"/>
        <v>0</v>
      </c>
      <c r="AN229" s="79">
        <f t="shared" si="220"/>
        <v>0</v>
      </c>
      <c r="AO229" s="7"/>
    </row>
    <row r="230" spans="1:41" s="3" customFormat="1" outlineLevel="1">
      <c r="A230" s="110"/>
      <c r="B230" s="110"/>
      <c r="C230" s="143"/>
      <c r="E230" s="150" t="s">
        <v>340</v>
      </c>
      <c r="F230" s="2"/>
      <c r="G230" s="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>
        <f t="shared" ref="Y230:AE230" si="221">Y13</f>
        <v>0.78300000000000003</v>
      </c>
      <c r="Z230" s="102">
        <f t="shared" si="221"/>
        <v>6.9560000000000004</v>
      </c>
      <c r="AA230" s="102">
        <f t="shared" si="221"/>
        <v>17.887</v>
      </c>
      <c r="AB230" s="102">
        <f t="shared" si="221"/>
        <v>27.048999999999999</v>
      </c>
      <c r="AC230" s="103">
        <f t="shared" si="221"/>
        <v>39.047674213139622</v>
      </c>
      <c r="AD230" s="103">
        <f t="shared" si="221"/>
        <v>56.864641919936297</v>
      </c>
      <c r="AE230" s="103">
        <f t="shared" si="221"/>
        <v>74.41727884721729</v>
      </c>
      <c r="AF230" s="102">
        <f ca="1">SUM(AF226:AF229)</f>
        <v>84.031859921818494</v>
      </c>
      <c r="AG230" s="102">
        <f t="shared" ref="AG230:AN230" ca="1" si="222">SUM(AG226:AG229)</f>
        <v>108.03696292580806</v>
      </c>
      <c r="AH230" s="102">
        <f t="shared" ca="1" si="222"/>
        <v>138.87297068462817</v>
      </c>
      <c r="AI230" s="102">
        <f t="shared" ca="1" si="222"/>
        <v>170.94654232694222</v>
      </c>
      <c r="AJ230" s="102">
        <f t="shared" ca="1" si="222"/>
        <v>204.44358408917316</v>
      </c>
      <c r="AK230" s="102">
        <f t="shared" ca="1" si="222"/>
        <v>238.93052641070821</v>
      </c>
      <c r="AL230" s="102">
        <f t="shared" ca="1" si="222"/>
        <v>274.57228296655109</v>
      </c>
      <c r="AM230" s="102">
        <f t="shared" ca="1" si="222"/>
        <v>311.54121627014371</v>
      </c>
      <c r="AN230" s="102">
        <f t="shared" ca="1" si="222"/>
        <v>350.09517535766702</v>
      </c>
      <c r="AO230"/>
    </row>
    <row r="231" spans="1:41" s="63" customFormat="1" ht="15" customHeight="1" outlineLevel="1">
      <c r="A231" s="199"/>
      <c r="B231" s="199"/>
      <c r="C231" s="142"/>
      <c r="E231" s="208" t="str">
        <f>"% - "&amp;E226</f>
        <v>% - PP&amp;E D&amp;A</v>
      </c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214"/>
      <c r="Y231" s="214">
        <f t="shared" ref="Y231:AB234" si="223">IFERROR(Y226/Y$230,"na")</f>
        <v>0.43933588761174963</v>
      </c>
      <c r="Z231" s="214">
        <f t="shared" si="223"/>
        <v>0.43789534215066123</v>
      </c>
      <c r="AA231" s="214">
        <f t="shared" si="223"/>
        <v>0.22692458209873093</v>
      </c>
      <c r="AB231" s="214">
        <f t="shared" si="223"/>
        <v>0.17020961957928205</v>
      </c>
      <c r="AC231" s="214">
        <f t="shared" ref="AC231:AE234" ca="1" si="224">IFERROR(AC226/AC$230,"na")</f>
        <v>0.14970063750824336</v>
      </c>
      <c r="AD231" s="214">
        <f t="shared" si="224"/>
        <v>0.13532322983494166</v>
      </c>
      <c r="AE231" s="214">
        <f t="shared" si="224"/>
        <v>0.14474610211023264</v>
      </c>
      <c r="AF231" s="214">
        <f t="shared" ref="AF231:AN231" ca="1" si="225">IFERROR(AF226/AF$230,"na")</f>
        <v>0.14166813634428982</v>
      </c>
      <c r="AG231" s="214">
        <f t="shared" ca="1" si="225"/>
        <v>0.15000398555501296</v>
      </c>
      <c r="AH231" s="214">
        <f t="shared" ca="1" si="225"/>
        <v>0.15475235269435797</v>
      </c>
      <c r="AI231" s="214">
        <f t="shared" ca="1" si="225"/>
        <v>0.16047990835684586</v>
      </c>
      <c r="AJ231" s="214">
        <f t="shared" ca="1" si="225"/>
        <v>0.16671076508297525</v>
      </c>
      <c r="AK231" s="214">
        <f t="shared" ca="1" si="225"/>
        <v>0.17337874307916198</v>
      </c>
      <c r="AL231" s="214">
        <f t="shared" ca="1" si="225"/>
        <v>0.18030461582501167</v>
      </c>
      <c r="AM231" s="214">
        <f t="shared" ca="1" si="225"/>
        <v>0.18737274453161049</v>
      </c>
      <c r="AN231" s="214">
        <f t="shared" ca="1" si="225"/>
        <v>0.19445790683587791</v>
      </c>
      <c r="AO231" s="204"/>
    </row>
    <row r="232" spans="1:41" s="63" customFormat="1" ht="15" customHeight="1" outlineLevel="1">
      <c r="A232" s="199"/>
      <c r="B232" s="199"/>
      <c r="C232" s="142"/>
      <c r="E232" s="208" t="str">
        <f>"% - "&amp;E227</f>
        <v>% - ROU D&amp;A</v>
      </c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214"/>
      <c r="Y232" s="214">
        <f t="shared" si="223"/>
        <v>0</v>
      </c>
      <c r="Z232" s="214">
        <f t="shared" si="223"/>
        <v>0</v>
      </c>
      <c r="AA232" s="214">
        <f t="shared" si="223"/>
        <v>0.32403421479286632</v>
      </c>
      <c r="AB232" s="214">
        <f t="shared" si="223"/>
        <v>0.2805279307922659</v>
      </c>
      <c r="AC232" s="214">
        <f t="shared" ca="1" si="224"/>
        <v>0.23453517350631839</v>
      </c>
      <c r="AD232" s="214">
        <f t="shared" si="224"/>
        <v>0.17283683257888116</v>
      </c>
      <c r="AE232" s="214">
        <f t="shared" si="224"/>
        <v>0.16216448833446023</v>
      </c>
      <c r="AF232" s="214">
        <f t="shared" ref="AF232:AN232" ca="1" si="226">IFERROR(AF227/AF$230,"na")</f>
        <v>0.15821684886779089</v>
      </c>
      <c r="AG232" s="214">
        <f t="shared" ca="1" si="226"/>
        <v>0.13971514894379863</v>
      </c>
      <c r="AH232" s="214">
        <f t="shared" ca="1" si="226"/>
        <v>0.1394019086927043</v>
      </c>
      <c r="AI232" s="214">
        <f t="shared" ca="1" si="226"/>
        <v>0.13955807649377602</v>
      </c>
      <c r="AJ232" s="214">
        <f t="shared" ca="1" si="226"/>
        <v>0.13973974493088309</v>
      </c>
      <c r="AK232" s="214">
        <f t="shared" ca="1" si="226"/>
        <v>0.1398959002852625</v>
      </c>
      <c r="AL232" s="214">
        <f t="shared" ca="1" si="226"/>
        <v>0.13985924656217996</v>
      </c>
      <c r="AM232" s="214">
        <f t="shared" ca="1" si="226"/>
        <v>0.13959469824146822</v>
      </c>
      <c r="AN232" s="214">
        <f t="shared" ca="1" si="226"/>
        <v>0.13932009221972488</v>
      </c>
      <c r="AO232" s="204"/>
    </row>
    <row r="233" spans="1:41" s="63" customFormat="1" ht="15" customHeight="1" outlineLevel="1">
      <c r="A233" s="199"/>
      <c r="B233" s="199"/>
      <c r="C233" s="142"/>
      <c r="E233" s="208" t="str">
        <f>"% - "&amp;E228</f>
        <v>% - Intangible D&amp;A</v>
      </c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214"/>
      <c r="Y233" s="214">
        <f t="shared" si="223"/>
        <v>0.55938697318007657</v>
      </c>
      <c r="Z233" s="214">
        <f t="shared" si="223"/>
        <v>0.56210465784933872</v>
      </c>
      <c r="AA233" s="214">
        <f t="shared" si="223"/>
        <v>0.44904120310840273</v>
      </c>
      <c r="AB233" s="214">
        <f t="shared" si="223"/>
        <v>0.52545380605567671</v>
      </c>
      <c r="AC233" s="214">
        <f t="shared" ca="1" si="224"/>
        <v>0.59601174594642603</v>
      </c>
      <c r="AD233" s="214">
        <f t="shared" si="224"/>
        <v>0.69183993758617723</v>
      </c>
      <c r="AE233" s="214">
        <f t="shared" si="224"/>
        <v>0.69308940955530718</v>
      </c>
      <c r="AF233" s="214">
        <f t="shared" ref="AF233:AN233" ca="1" si="227">IFERROR(AF228/AF$230,"na")</f>
        <v>0.70011501478791938</v>
      </c>
      <c r="AG233" s="214">
        <f t="shared" ca="1" si="227"/>
        <v>0.71028086550118841</v>
      </c>
      <c r="AH233" s="214">
        <f t="shared" ca="1" si="227"/>
        <v>0.70584573861293753</v>
      </c>
      <c r="AI233" s="214">
        <f t="shared" ca="1" si="227"/>
        <v>0.69996201514937817</v>
      </c>
      <c r="AJ233" s="214">
        <f t="shared" ca="1" si="227"/>
        <v>0.69354948998614163</v>
      </c>
      <c r="AK233" s="214">
        <f t="shared" ca="1" si="227"/>
        <v>0.68672535663557555</v>
      </c>
      <c r="AL233" s="214">
        <f t="shared" ca="1" si="227"/>
        <v>0.67983613761280837</v>
      </c>
      <c r="AM233" s="214">
        <f t="shared" ca="1" si="227"/>
        <v>0.67303255722692135</v>
      </c>
      <c r="AN233" s="214">
        <f t="shared" ca="1" si="227"/>
        <v>0.66622200094439721</v>
      </c>
      <c r="AO233" s="204"/>
    </row>
    <row r="234" spans="1:41" s="63" customFormat="1" ht="15" customHeight="1" outlineLevel="1">
      <c r="A234" s="199"/>
      <c r="B234" s="199"/>
      <c r="C234" s="142"/>
      <c r="E234" s="208" t="str">
        <f>"% - "&amp;E229</f>
        <v>% - Other D&amp;A</v>
      </c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214"/>
      <c r="Y234" s="214">
        <f t="shared" si="223"/>
        <v>1.2771392081736921E-3</v>
      </c>
      <c r="Z234" s="214">
        <f t="shared" si="223"/>
        <v>0</v>
      </c>
      <c r="AA234" s="214">
        <f t="shared" si="223"/>
        <v>0</v>
      </c>
      <c r="AB234" s="214">
        <f t="shared" si="223"/>
        <v>2.3808643572775273E-2</v>
      </c>
      <c r="AC234" s="214">
        <f t="shared" ca="1" si="224"/>
        <v>1.9752443039012253E-2</v>
      </c>
      <c r="AD234" s="214">
        <f t="shared" si="224"/>
        <v>0</v>
      </c>
      <c r="AE234" s="214">
        <f t="shared" si="224"/>
        <v>0</v>
      </c>
      <c r="AF234" s="214">
        <f t="shared" ref="AF234:AN234" ca="1" si="228">IFERROR(AF229/AF$230,"na")</f>
        <v>0</v>
      </c>
      <c r="AG234" s="214">
        <f t="shared" ca="1" si="228"/>
        <v>0</v>
      </c>
      <c r="AH234" s="214">
        <f t="shared" ca="1" si="228"/>
        <v>0</v>
      </c>
      <c r="AI234" s="214">
        <f t="shared" ca="1" si="228"/>
        <v>0</v>
      </c>
      <c r="AJ234" s="214">
        <f t="shared" ca="1" si="228"/>
        <v>0</v>
      </c>
      <c r="AK234" s="214">
        <f t="shared" ca="1" si="228"/>
        <v>0</v>
      </c>
      <c r="AL234" s="214">
        <f t="shared" ca="1" si="228"/>
        <v>0</v>
      </c>
      <c r="AM234" s="214">
        <f t="shared" ca="1" si="228"/>
        <v>0</v>
      </c>
      <c r="AN234" s="214">
        <f t="shared" ca="1" si="228"/>
        <v>0</v>
      </c>
      <c r="AO234" s="204"/>
    </row>
    <row r="235" spans="1:41" ht="15" customHeight="1" outlineLevel="1"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65"/>
      <c r="Y235" s="65"/>
      <c r="Z235" s="65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"/>
    </row>
    <row r="236" spans="1:41" ht="15" customHeight="1" outlineLevel="1">
      <c r="E236" s="195" t="s">
        <v>355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65"/>
      <c r="Y236" s="65"/>
      <c r="Z236" s="65"/>
      <c r="AA236" s="274">
        <f>Z240</f>
        <v>19.286000000000001</v>
      </c>
      <c r="AB236" s="274">
        <f t="shared" ref="AB236:AN236" si="229">AA240</f>
        <v>35.015000000000001</v>
      </c>
      <c r="AC236" s="274">
        <f t="shared" si="229"/>
        <v>30.916</v>
      </c>
      <c r="AD236" s="274">
        <f t="shared" si="229"/>
        <v>102.53577582868317</v>
      </c>
      <c r="AE236" s="274">
        <f t="shared" si="229"/>
        <v>95.420516693624862</v>
      </c>
      <c r="AF236" s="274">
        <f t="shared" si="229"/>
        <v>101.08141312821712</v>
      </c>
      <c r="AG236" s="274">
        <f t="shared" si="229"/>
        <v>115.16139465741135</v>
      </c>
      <c r="AH236" s="274">
        <f t="shared" si="229"/>
        <v>134.4645309726919</v>
      </c>
      <c r="AI236" s="274">
        <f t="shared" si="229"/>
        <v>149.41960374636989</v>
      </c>
      <c r="AJ236" s="274">
        <f t="shared" si="229"/>
        <v>162.2407818649697</v>
      </c>
      <c r="AK236" s="274">
        <f t="shared" si="229"/>
        <v>172.92553945485335</v>
      </c>
      <c r="AL236" s="274">
        <f t="shared" si="229"/>
        <v>182.58807185403214</v>
      </c>
      <c r="AM236" s="274">
        <f t="shared" si="229"/>
        <v>191.78040187300536</v>
      </c>
      <c r="AN236" s="274">
        <f t="shared" si="229"/>
        <v>200.76941874659903</v>
      </c>
      <c r="AO236" s="7"/>
    </row>
    <row r="237" spans="1:41" ht="15" customHeight="1" outlineLevel="1">
      <c r="E237" s="70" t="s">
        <v>354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65"/>
      <c r="Y237" s="65"/>
      <c r="Z237" s="65"/>
      <c r="AA237" s="74">
        <f>AA110</f>
        <v>-5.883</v>
      </c>
      <c r="AB237" s="74">
        <f>AB110</f>
        <v>-17.898</v>
      </c>
      <c r="AC237" s="74">
        <f>AC110</f>
        <v>-17.865899999999996</v>
      </c>
      <c r="AD237" s="74">
        <f>AD110</f>
        <v>-44.130128238538262</v>
      </c>
      <c r="AE237" s="74">
        <f>AE110</f>
        <v>-46.954376080709373</v>
      </c>
      <c r="AF237" s="206">
        <f>-AF236*AF241</f>
        <v>-50.750795125421547</v>
      </c>
      <c r="AG237" s="206">
        <f t="shared" ref="AG237:AN237" si="230">-AG236*AG241</f>
        <v>-58.971663802847679</v>
      </c>
      <c r="AH237" s="206">
        <f t="shared" si="230"/>
        <v>-70.201028453736257</v>
      </c>
      <c r="AI237" s="206">
        <f t="shared" si="230"/>
        <v>-79.502945097653992</v>
      </c>
      <c r="AJ237" s="206">
        <f t="shared" si="230"/>
        <v>-87.947224976548995</v>
      </c>
      <c r="AK237" s="206">
        <f t="shared" si="230"/>
        <v>-95.468456770468421</v>
      </c>
      <c r="AL237" s="206">
        <f t="shared" si="230"/>
        <v>-102.62881300692428</v>
      </c>
      <c r="AM237" s="206">
        <f t="shared" si="230"/>
        <v>-109.71342726158983</v>
      </c>
      <c r="AN237" s="206">
        <f t="shared" si="230"/>
        <v>-116.86354392435798</v>
      </c>
      <c r="AO237" s="7"/>
    </row>
    <row r="238" spans="1:41" ht="15" customHeight="1" outlineLevel="1">
      <c r="E238" s="70" t="s">
        <v>131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65"/>
      <c r="Y238" s="65"/>
      <c r="Z238" s="65"/>
      <c r="AA238" s="74">
        <f>-AA247</f>
        <v>23.492000000000001</v>
      </c>
      <c r="AB238" s="74">
        <f>-AB247</f>
        <v>13.442</v>
      </c>
      <c r="AC238" s="74">
        <f>-AC247</f>
        <v>58.308675828683164</v>
      </c>
      <c r="AD238" s="74">
        <f>-AD247</f>
        <v>37.014869103479946</v>
      </c>
      <c r="AE238" s="74">
        <f>-AE247</f>
        <v>52.615272515301648</v>
      </c>
      <c r="AF238" s="74">
        <f t="shared" ref="AF238:AN238" si="231">-AF247</f>
        <v>64.830776654615775</v>
      </c>
      <c r="AG238" s="74">
        <f t="shared" si="231"/>
        <v>78.27480011812824</v>
      </c>
      <c r="AH238" s="74">
        <f t="shared" si="231"/>
        <v>85.156101227414226</v>
      </c>
      <c r="AI238" s="74">
        <f t="shared" si="231"/>
        <v>92.32412321625381</v>
      </c>
      <c r="AJ238" s="74">
        <f t="shared" si="231"/>
        <v>98.63198256643264</v>
      </c>
      <c r="AK238" s="74">
        <f t="shared" si="231"/>
        <v>105.13098916964721</v>
      </c>
      <c r="AL238" s="74">
        <f t="shared" si="231"/>
        <v>111.82114302589748</v>
      </c>
      <c r="AM238" s="74">
        <f t="shared" si="231"/>
        <v>118.7024441351835</v>
      </c>
      <c r="AN238" s="74">
        <f t="shared" si="231"/>
        <v>125.77489249750521</v>
      </c>
      <c r="AO238" s="7"/>
    </row>
    <row r="239" spans="1:41" ht="15" customHeight="1" outlineLevel="1">
      <c r="E239" s="70" t="s">
        <v>127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65"/>
      <c r="Y239" s="65"/>
      <c r="Z239" s="65"/>
      <c r="AA239" s="74">
        <f>AA240-SUM(AA236:AA238)</f>
        <v>-1.8800000000000026</v>
      </c>
      <c r="AB239" s="74">
        <f>AB240-SUM(AB236:AB238)</f>
        <v>0.35699999999999932</v>
      </c>
      <c r="AC239" s="74">
        <f>AC240-SUM(AC236:AC238)</f>
        <v>31.177000000000007</v>
      </c>
      <c r="AD239" s="74">
        <f>AD240-SUM(AD236:AD238)</f>
        <v>0</v>
      </c>
      <c r="AE239" s="74">
        <f>AE240-SUM(AE236:AE238)</f>
        <v>0</v>
      </c>
      <c r="AF239" s="79">
        <v>0</v>
      </c>
      <c r="AG239" s="79">
        <f>AF239</f>
        <v>0</v>
      </c>
      <c r="AH239" s="79">
        <f t="shared" ref="AH239:AN239" si="232">AG239</f>
        <v>0</v>
      </c>
      <c r="AI239" s="79">
        <f t="shared" si="232"/>
        <v>0</v>
      </c>
      <c r="AJ239" s="79">
        <f t="shared" si="232"/>
        <v>0</v>
      </c>
      <c r="AK239" s="79">
        <f t="shared" si="232"/>
        <v>0</v>
      </c>
      <c r="AL239" s="79">
        <f t="shared" si="232"/>
        <v>0</v>
      </c>
      <c r="AM239" s="79">
        <f t="shared" si="232"/>
        <v>0</v>
      </c>
      <c r="AN239" s="79">
        <f t="shared" si="232"/>
        <v>0</v>
      </c>
      <c r="AO239" s="7"/>
    </row>
    <row r="240" spans="1:41" s="3" customFormat="1" outlineLevel="1">
      <c r="A240" s="110"/>
      <c r="B240" s="110"/>
      <c r="C240" s="143"/>
      <c r="E240" s="150" t="s">
        <v>356</v>
      </c>
      <c r="F240" s="2"/>
      <c r="G240" s="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>
        <f t="shared" ref="Z240:AE240" si="233">Z180</f>
        <v>19.286000000000001</v>
      </c>
      <c r="AA240" s="102">
        <f t="shared" si="233"/>
        <v>35.015000000000001</v>
      </c>
      <c r="AB240" s="102">
        <f t="shared" si="233"/>
        <v>30.916</v>
      </c>
      <c r="AC240" s="102">
        <f t="shared" si="233"/>
        <v>102.53577582868317</v>
      </c>
      <c r="AD240" s="102">
        <f t="shared" si="233"/>
        <v>95.420516693624862</v>
      </c>
      <c r="AE240" s="102">
        <f t="shared" si="233"/>
        <v>101.08141312821712</v>
      </c>
      <c r="AF240" s="103">
        <f>SUM(AF236:AF239)</f>
        <v>115.16139465741135</v>
      </c>
      <c r="AG240" s="103">
        <f t="shared" ref="AG240:AN240" si="234">SUM(AG236:AG239)</f>
        <v>134.4645309726919</v>
      </c>
      <c r="AH240" s="103">
        <f t="shared" si="234"/>
        <v>149.41960374636989</v>
      </c>
      <c r="AI240" s="103">
        <f t="shared" si="234"/>
        <v>162.2407818649697</v>
      </c>
      <c r="AJ240" s="103">
        <f t="shared" si="234"/>
        <v>172.92553945485335</v>
      </c>
      <c r="AK240" s="103">
        <f t="shared" si="234"/>
        <v>182.58807185403214</v>
      </c>
      <c r="AL240" s="103">
        <f t="shared" si="234"/>
        <v>191.78040187300536</v>
      </c>
      <c r="AM240" s="103">
        <f t="shared" si="234"/>
        <v>200.76941874659903</v>
      </c>
      <c r="AN240" s="103">
        <f t="shared" si="234"/>
        <v>209.68076731974625</v>
      </c>
      <c r="AO240"/>
    </row>
    <row r="241" spans="1:41" s="3" customFormat="1" outlineLevel="1">
      <c r="A241" s="110"/>
      <c r="B241" s="110"/>
      <c r="C241" s="143"/>
      <c r="E241" s="242"/>
      <c r="F241" s="167"/>
      <c r="G241" s="167"/>
      <c r="H241" s="274"/>
      <c r="I241" s="274"/>
      <c r="J241" s="274"/>
      <c r="K241" s="274"/>
      <c r="L241" s="274"/>
      <c r="M241" s="274"/>
      <c r="N241" s="274"/>
      <c r="O241" s="274"/>
      <c r="P241" s="274"/>
      <c r="Q241" s="274"/>
      <c r="R241" s="274"/>
      <c r="S241" s="274"/>
      <c r="T241" s="274"/>
      <c r="U241" s="274"/>
      <c r="V241" s="274"/>
      <c r="W241" s="274"/>
      <c r="X241" s="274"/>
      <c r="Y241" s="274"/>
      <c r="Z241" s="274"/>
      <c r="AA241" s="279">
        <f>-AA237/AA236</f>
        <v>0.30503992533443947</v>
      </c>
      <c r="AB241" s="279">
        <f>-AB237/AB236</f>
        <v>0.51115236327288305</v>
      </c>
      <c r="AC241" s="279">
        <f>-AC237/AC236</f>
        <v>0.57788523741751829</v>
      </c>
      <c r="AD241" s="279">
        <f>-AD237/AD236</f>
        <v>0.43038761721831514</v>
      </c>
      <c r="AE241" s="279">
        <f>-AE237/AE236</f>
        <v>0.49207840942079534</v>
      </c>
      <c r="AF241" s="76">
        <f>AE241+0.01</f>
        <v>0.50207840942079529</v>
      </c>
      <c r="AG241" s="76">
        <f t="shared" ref="AG241:AN241" si="235">AF241+0.01</f>
        <v>0.5120784094207953</v>
      </c>
      <c r="AH241" s="76">
        <f t="shared" si="235"/>
        <v>0.52207840942079531</v>
      </c>
      <c r="AI241" s="76">
        <f t="shared" si="235"/>
        <v>0.53207840942079532</v>
      </c>
      <c r="AJ241" s="76">
        <f t="shared" si="235"/>
        <v>0.54207840942079533</v>
      </c>
      <c r="AK241" s="76">
        <f t="shared" si="235"/>
        <v>0.55207840942079534</v>
      </c>
      <c r="AL241" s="76">
        <f t="shared" si="235"/>
        <v>0.56207840942079534</v>
      </c>
      <c r="AM241" s="76">
        <f t="shared" si="235"/>
        <v>0.57207840942079535</v>
      </c>
      <c r="AN241" s="76">
        <f t="shared" si="235"/>
        <v>0.58207840942079536</v>
      </c>
      <c r="AO241"/>
    </row>
    <row r="242" spans="1:41" s="3" customFormat="1" outlineLevel="1">
      <c r="A242" s="110"/>
      <c r="B242" s="110"/>
      <c r="C242" s="143"/>
      <c r="E242" s="242"/>
      <c r="F242" s="167"/>
      <c r="G242" s="167"/>
      <c r="H242" s="274"/>
      <c r="I242" s="274"/>
      <c r="J242" s="274"/>
      <c r="K242" s="274"/>
      <c r="L242" s="274"/>
      <c r="M242" s="274"/>
      <c r="N242" s="274"/>
      <c r="O242" s="274"/>
      <c r="P242" s="274"/>
      <c r="Q242" s="274"/>
      <c r="R242" s="274"/>
      <c r="S242" s="274"/>
      <c r="T242" s="274"/>
      <c r="U242" s="274"/>
      <c r="V242" s="274"/>
      <c r="W242" s="274"/>
      <c r="X242" s="274"/>
      <c r="Y242" s="274"/>
      <c r="Z242" s="274"/>
      <c r="AA242" s="280">
        <f>1/AA241</f>
        <v>3.2782593914669387</v>
      </c>
      <c r="AB242" s="280">
        <f t="shared" ref="AB242:AN242" si="236">1/AB241</f>
        <v>1.9563638395351437</v>
      </c>
      <c r="AC242" s="280">
        <f t="shared" si="236"/>
        <v>1.7304473886006306</v>
      </c>
      <c r="AD242" s="280">
        <f t="shared" si="236"/>
        <v>2.3234869220058152</v>
      </c>
      <c r="AE242" s="280">
        <f t="shared" si="236"/>
        <v>2.0321964566115747</v>
      </c>
      <c r="AF242" s="280">
        <f t="shared" si="236"/>
        <v>1.9917207775447148</v>
      </c>
      <c r="AG242" s="280">
        <f t="shared" si="236"/>
        <v>1.9528259375963262</v>
      </c>
      <c r="AH242" s="280">
        <f t="shared" si="236"/>
        <v>1.9154210975884272</v>
      </c>
      <c r="AI242" s="280">
        <f t="shared" si="236"/>
        <v>1.8794222473499163</v>
      </c>
      <c r="AJ242" s="280">
        <f t="shared" si="236"/>
        <v>1.8447515758255133</v>
      </c>
      <c r="AK242" s="280">
        <f t="shared" si="236"/>
        <v>1.8113369096413945</v>
      </c>
      <c r="AL242" s="280">
        <f t="shared" si="236"/>
        <v>1.779111211602078</v>
      </c>
      <c r="AM242" s="280">
        <f t="shared" si="236"/>
        <v>1.7480121317853208</v>
      </c>
      <c r="AN242" s="280">
        <f t="shared" si="236"/>
        <v>1.7179816049096597</v>
      </c>
      <c r="AO242"/>
    </row>
    <row r="243" spans="1:41" ht="15" customHeight="1" outlineLevel="1"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65"/>
      <c r="Y243" s="65"/>
      <c r="Z243" s="65"/>
      <c r="AA243" s="76"/>
      <c r="AB243" s="76"/>
      <c r="AC243" s="76"/>
      <c r="AD243" s="76"/>
      <c r="AE243" s="76"/>
      <c r="AF243" s="76"/>
      <c r="AG243" s="76"/>
      <c r="AH243" s="76"/>
      <c r="AI243" s="76"/>
      <c r="AJ243" s="76"/>
      <c r="AK243" s="76"/>
      <c r="AL243" s="76"/>
      <c r="AM243" s="76"/>
      <c r="AN243" s="76"/>
      <c r="AO243" s="7"/>
    </row>
    <row r="244" spans="1:41" ht="15" customHeight="1" outlineLevel="1">
      <c r="D244" s="143"/>
      <c r="E244" s="105" t="s">
        <v>274</v>
      </c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7"/>
    </row>
    <row r="245" spans="1:41" ht="5.0999999999999996" customHeight="1" outlineLevel="1"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65"/>
      <c r="Y245" s="65"/>
      <c r="Z245" s="65"/>
      <c r="AA245" s="76"/>
      <c r="AB245" s="76"/>
      <c r="AC245" s="76"/>
      <c r="AD245" s="76"/>
      <c r="AE245" s="76"/>
      <c r="AF245" s="76"/>
      <c r="AG245" s="76"/>
      <c r="AH245" s="76"/>
      <c r="AI245" s="76"/>
      <c r="AJ245" s="76"/>
      <c r="AK245" s="76"/>
      <c r="AL245" s="76"/>
      <c r="AM245" s="76"/>
      <c r="AN245" s="76"/>
      <c r="AO245" s="7"/>
    </row>
    <row r="246" spans="1:41" ht="15" customHeight="1" outlineLevel="2">
      <c r="B246" s="109" t="s">
        <v>367</v>
      </c>
      <c r="E246" s="70" t="s">
        <v>277</v>
      </c>
      <c r="H246" s="275"/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U246" s="275"/>
      <c r="V246" s="275"/>
      <c r="W246" s="275"/>
      <c r="X246" s="275"/>
      <c r="Y246" s="275"/>
      <c r="Z246" s="225" cm="1">
        <f t="array" ref="Z246">INDEX(QRT!$1:$1048576,MATCH(Model!$B246,QRT!$A:$A,0),MATCH(Model!Z$3,QRT!$4:$4,0))+INDEX(QRT!$1:$1048576,MATCH(Model!$B246,QRT!$A:$A,0),MATCH(Model!Z$3,QRT!$4:$4,0)+1)+INDEX(QRT!$1:$1048576,MATCH(Model!$B246,QRT!$A:$A,0),MATCH(Model!Z$3,QRT!$4:$4,0)+2)+INDEX(QRT!$1:$1048576,MATCH(Model!$B246,QRT!$A:$A,0),MATCH(Model!Z$3,QRT!$4:$4,0)+3)</f>
        <v>-0.24399999999999999</v>
      </c>
      <c r="AA246" s="225" cm="1">
        <f t="array" ref="AA246">INDEX(QRT!$1:$1048576,MATCH(Model!$B246,QRT!$A:$A,0),MATCH(Model!AA$3,QRT!$4:$4,0))+INDEX(QRT!$1:$1048576,MATCH(Model!$B246,QRT!$A:$A,0),MATCH(Model!AA$3,QRT!$4:$4,0)+1)+INDEX(QRT!$1:$1048576,MATCH(Model!$B246,QRT!$A:$A,0),MATCH(Model!AA$3,QRT!$4:$4,0)+2)+INDEX(QRT!$1:$1048576,MATCH(Model!$B246,QRT!$A:$A,0),MATCH(Model!AA$3,QRT!$4:$4,0)+3)</f>
        <v>-7.7330000000000005</v>
      </c>
      <c r="AB246" s="225" cm="1">
        <f t="array" ref="AB246">INDEX(QRT!$1:$1048576,MATCH(Model!$B246,QRT!$A:$A,0),MATCH(Model!AB$3,QRT!$4:$4,0))+INDEX(QRT!$1:$1048576,MATCH(Model!$B246,QRT!$A:$A,0),MATCH(Model!AB$3,QRT!$4:$4,0)+1)+INDEX(QRT!$1:$1048576,MATCH(Model!$B246,QRT!$A:$A,0),MATCH(Model!AB$3,QRT!$4:$4,0)+2)+INDEX(QRT!$1:$1048576,MATCH(Model!$B246,QRT!$A:$A,0),MATCH(Model!AB$3,QRT!$4:$4,0)+3)</f>
        <v>-2.8380000000000001</v>
      </c>
      <c r="AC246" s="239" cm="1">
        <f t="array" ref="AC246">INDEX(QRT!$1:$1048576,MATCH(Model!$B246,QRT!$A:$A,0),MATCH(Model!AC$3,QRT!$4:$4,0))+INDEX(QRT!$1:$1048576,MATCH(Model!$B246,QRT!$A:$A,0),MATCH(Model!AC$3,QRT!$4:$4,0)+1)+INDEX(QRT!$1:$1048576,MATCH(Model!$B246,QRT!$A:$A,0),MATCH(Model!AC$3,QRT!$4:$4,0)+2)+INDEX(QRT!$1:$1048576,MATCH(Model!$B246,QRT!$A:$A,0),MATCH(Model!AC$3,QRT!$4:$4,0)+3)</f>
        <v>-1.875</v>
      </c>
      <c r="AD246" s="239" cm="1">
        <f t="array" ref="AD246">INDEX(QRT!$1:$1048576,MATCH(Model!$B246,QRT!$A:$A,0),MATCH(Model!AD$3,QRT!$4:$4,0))+INDEX(QRT!$1:$1048576,MATCH(Model!$B246,QRT!$A:$A,0),MATCH(Model!AD$3,QRT!$4:$4,0)+1)+INDEX(QRT!$1:$1048576,MATCH(Model!$B246,QRT!$A:$A,0),MATCH(Model!AD$3,QRT!$4:$4,0)+2)+INDEX(QRT!$1:$1048576,MATCH(Model!$B246,QRT!$A:$A,0),MATCH(Model!AD$3,QRT!$4:$4,0)+3)</f>
        <v>0</v>
      </c>
      <c r="AE246" s="239" cm="1">
        <f t="array" ref="AE246">INDEX(QRT!$1:$1048576,MATCH(Model!$B246,QRT!$A:$A,0),MATCH(Model!AE$3,QRT!$4:$4,0))+INDEX(QRT!$1:$1048576,MATCH(Model!$B246,QRT!$A:$A,0),MATCH(Model!AE$3,QRT!$4:$4,0)+1)+INDEX(QRT!$1:$1048576,MATCH(Model!$B246,QRT!$A:$A,0),MATCH(Model!AE$3,QRT!$4:$4,0)+2)+INDEX(QRT!$1:$1048576,MATCH(Model!$B246,QRT!$A:$A,0),MATCH(Model!AE$3,QRT!$4:$4,0)+3)</f>
        <v>0</v>
      </c>
      <c r="AF246" s="7">
        <f>AF$255*AF267</f>
        <v>0</v>
      </c>
      <c r="AG246" s="7">
        <f t="shared" ref="AG246:AN246" si="237">AG$255*AG267</f>
        <v>0</v>
      </c>
      <c r="AH246" s="7">
        <f t="shared" si="237"/>
        <v>0</v>
      </c>
      <c r="AI246" s="7">
        <f t="shared" si="237"/>
        <v>0</v>
      </c>
      <c r="AJ246" s="7">
        <f t="shared" si="237"/>
        <v>0</v>
      </c>
      <c r="AK246" s="7">
        <f t="shared" si="237"/>
        <v>0</v>
      </c>
      <c r="AL246" s="7">
        <f t="shared" si="237"/>
        <v>0</v>
      </c>
      <c r="AM246" s="7">
        <f t="shared" si="237"/>
        <v>0</v>
      </c>
      <c r="AN246" s="7">
        <f t="shared" si="237"/>
        <v>0</v>
      </c>
      <c r="AO246" s="7"/>
    </row>
    <row r="247" spans="1:41" ht="15" customHeight="1" outlineLevel="2">
      <c r="B247" s="109" t="s">
        <v>368</v>
      </c>
      <c r="E247" s="70" t="s">
        <v>275</v>
      </c>
      <c r="H247" s="275"/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U247" s="275"/>
      <c r="V247" s="275"/>
      <c r="W247" s="275"/>
      <c r="X247" s="275"/>
      <c r="Y247" s="275"/>
      <c r="Z247" s="225" cm="1">
        <f t="array" ref="Z247">INDEX(QRT!$1:$1048576,MATCH(Model!$B247,QRT!$A:$A,0),MATCH(Model!Z$3,QRT!$4:$4,0))+INDEX(QRT!$1:$1048576,MATCH(Model!$B247,QRT!$A:$A,0),MATCH(Model!Z$3,QRT!$4:$4,0)+1)+INDEX(QRT!$1:$1048576,MATCH(Model!$B247,QRT!$A:$A,0),MATCH(Model!Z$3,QRT!$4:$4,0)+2)+INDEX(QRT!$1:$1048576,MATCH(Model!$B247,QRT!$A:$A,0),MATCH(Model!Z$3,QRT!$4:$4,0)+3)</f>
        <v>-10.9</v>
      </c>
      <c r="AA247" s="225" cm="1">
        <f t="array" ref="AA247">INDEX(QRT!$1:$1048576,MATCH(Model!$B247,QRT!$A:$A,0),MATCH(Model!AA$3,QRT!$4:$4,0))+INDEX(QRT!$1:$1048576,MATCH(Model!$B247,QRT!$A:$A,0),MATCH(Model!AA$3,QRT!$4:$4,0)+1)+INDEX(QRT!$1:$1048576,MATCH(Model!$B247,QRT!$A:$A,0),MATCH(Model!AA$3,QRT!$4:$4,0)+2)+INDEX(QRT!$1:$1048576,MATCH(Model!$B247,QRT!$A:$A,0),MATCH(Model!AA$3,QRT!$4:$4,0)+3)</f>
        <v>-23.492000000000001</v>
      </c>
      <c r="AB247" s="225" cm="1">
        <f t="array" ref="AB247">INDEX(QRT!$1:$1048576,MATCH(Model!$B247,QRT!$A:$A,0),MATCH(Model!AB$3,QRT!$4:$4,0))+INDEX(QRT!$1:$1048576,MATCH(Model!$B247,QRT!$A:$A,0),MATCH(Model!AB$3,QRT!$4:$4,0)+1)+INDEX(QRT!$1:$1048576,MATCH(Model!$B247,QRT!$A:$A,0),MATCH(Model!AB$3,QRT!$4:$4,0)+2)+INDEX(QRT!$1:$1048576,MATCH(Model!$B247,QRT!$A:$A,0),MATCH(Model!AB$3,QRT!$4:$4,0)+3)</f>
        <v>-13.442</v>
      </c>
      <c r="AC247" s="239" cm="1">
        <f t="array" ref="AC247">INDEX(QRT!$1:$1048576,MATCH(Model!$B247,QRT!$A:$A,0),MATCH(Model!AC$3,QRT!$4:$4,0))+INDEX(QRT!$1:$1048576,MATCH(Model!$B247,QRT!$A:$A,0),MATCH(Model!AC$3,QRT!$4:$4,0)+1)+INDEX(QRT!$1:$1048576,MATCH(Model!$B247,QRT!$A:$A,0),MATCH(Model!AC$3,QRT!$4:$4,0)+2)+INDEX(QRT!$1:$1048576,MATCH(Model!$B247,QRT!$A:$A,0),MATCH(Model!AC$3,QRT!$4:$4,0)+3)</f>
        <v>-58.308675828683164</v>
      </c>
      <c r="AD247" s="239" cm="1">
        <f t="array" ref="AD247">INDEX(QRT!$1:$1048576,MATCH(Model!$B247,QRT!$A:$A,0),MATCH(Model!AD$3,QRT!$4:$4,0))+INDEX(QRT!$1:$1048576,MATCH(Model!$B247,QRT!$A:$A,0),MATCH(Model!AD$3,QRT!$4:$4,0)+1)+INDEX(QRT!$1:$1048576,MATCH(Model!$B247,QRT!$A:$A,0),MATCH(Model!AD$3,QRT!$4:$4,0)+2)+INDEX(QRT!$1:$1048576,MATCH(Model!$B247,QRT!$A:$A,0),MATCH(Model!AD$3,QRT!$4:$4,0)+3)</f>
        <v>-37.014869103479946</v>
      </c>
      <c r="AE247" s="239" cm="1">
        <f t="array" ref="AE247">INDEX(QRT!$1:$1048576,MATCH(Model!$B247,QRT!$A:$A,0),MATCH(Model!AE$3,QRT!$4:$4,0))+INDEX(QRT!$1:$1048576,MATCH(Model!$B247,QRT!$A:$A,0),MATCH(Model!AE$3,QRT!$4:$4,0)+1)+INDEX(QRT!$1:$1048576,MATCH(Model!$B247,QRT!$A:$A,0),MATCH(Model!AE$3,QRT!$4:$4,0)+2)+INDEX(QRT!$1:$1048576,MATCH(Model!$B247,QRT!$A:$A,0),MATCH(Model!AE$3,QRT!$4:$4,0)+3)</f>
        <v>-52.615272515301648</v>
      </c>
      <c r="AF247" s="7">
        <f t="shared" ref="AF247:AN247" si="238">AF$255*AF268</f>
        <v>-64.830776654615775</v>
      </c>
      <c r="AG247" s="7">
        <f t="shared" si="238"/>
        <v>-78.27480011812824</v>
      </c>
      <c r="AH247" s="7">
        <f t="shared" si="238"/>
        <v>-85.156101227414226</v>
      </c>
      <c r="AI247" s="7">
        <f t="shared" si="238"/>
        <v>-92.32412321625381</v>
      </c>
      <c r="AJ247" s="7">
        <f t="shared" si="238"/>
        <v>-98.63198256643264</v>
      </c>
      <c r="AK247" s="7">
        <f t="shared" si="238"/>
        <v>-105.13098916964721</v>
      </c>
      <c r="AL247" s="7">
        <f t="shared" si="238"/>
        <v>-111.82114302589748</v>
      </c>
      <c r="AM247" s="7">
        <f t="shared" si="238"/>
        <v>-118.7024441351835</v>
      </c>
      <c r="AN247" s="7">
        <f t="shared" si="238"/>
        <v>-125.77489249750521</v>
      </c>
      <c r="AO247" s="7"/>
    </row>
    <row r="248" spans="1:41" ht="15" customHeight="1" outlineLevel="2">
      <c r="B248" s="109" t="s">
        <v>369</v>
      </c>
      <c r="E248" s="70" t="s">
        <v>278</v>
      </c>
      <c r="H248" s="275"/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U248" s="275"/>
      <c r="V248" s="275"/>
      <c r="W248" s="275"/>
      <c r="X248" s="275"/>
      <c r="Y248" s="275"/>
      <c r="Z248" s="225" cm="1">
        <f t="array" ref="Z248">INDEX(QRT!$1:$1048576,MATCH(Model!$B248,QRT!$A:$A,0),MATCH(Model!Z$3,QRT!$4:$4,0))+INDEX(QRT!$1:$1048576,MATCH(Model!$B248,QRT!$A:$A,0),MATCH(Model!Z$3,QRT!$4:$4,0)+1)+INDEX(QRT!$1:$1048576,MATCH(Model!$B248,QRT!$A:$A,0),MATCH(Model!Z$3,QRT!$4:$4,0)+2)+INDEX(QRT!$1:$1048576,MATCH(Model!$B248,QRT!$A:$A,0),MATCH(Model!Z$3,QRT!$4:$4,0)+3)</f>
        <v>-3.2599999999999949</v>
      </c>
      <c r="AA248" s="225" cm="1">
        <f t="array" ref="AA248">INDEX(QRT!$1:$1048576,MATCH(Model!$B248,QRT!$A:$A,0),MATCH(Model!AA$3,QRT!$4:$4,0))+INDEX(QRT!$1:$1048576,MATCH(Model!$B248,QRT!$A:$A,0),MATCH(Model!AA$3,QRT!$4:$4,0)+1)+INDEX(QRT!$1:$1048576,MATCH(Model!$B248,QRT!$A:$A,0),MATCH(Model!AA$3,QRT!$4:$4,0)+2)+INDEX(QRT!$1:$1048576,MATCH(Model!$B248,QRT!$A:$A,0),MATCH(Model!AA$3,QRT!$4:$4,0)+3)</f>
        <v>-6.6780000000000035</v>
      </c>
      <c r="AB248" s="225" cm="1">
        <f t="array" ref="AB248">INDEX(QRT!$1:$1048576,MATCH(Model!$B248,QRT!$A:$A,0),MATCH(Model!AB$3,QRT!$4:$4,0))+INDEX(QRT!$1:$1048576,MATCH(Model!$B248,QRT!$A:$A,0),MATCH(Model!AB$3,QRT!$4:$4,0)+1)+INDEX(QRT!$1:$1048576,MATCH(Model!$B248,QRT!$A:$A,0),MATCH(Model!AB$3,QRT!$4:$4,0)+2)+INDEX(QRT!$1:$1048576,MATCH(Model!$B248,QRT!$A:$A,0),MATCH(Model!AB$3,QRT!$4:$4,0)+3)</f>
        <v>3.2290000000000005</v>
      </c>
      <c r="AC248" s="239" cm="1">
        <f t="array" ref="AC248">INDEX(QRT!$1:$1048576,MATCH(Model!$B248,QRT!$A:$A,0),MATCH(Model!AC$3,QRT!$4:$4,0))+INDEX(QRT!$1:$1048576,MATCH(Model!$B248,QRT!$A:$A,0),MATCH(Model!AC$3,QRT!$4:$4,0)+1)+INDEX(QRT!$1:$1048576,MATCH(Model!$B248,QRT!$A:$A,0),MATCH(Model!AC$3,QRT!$4:$4,0)+2)+INDEX(QRT!$1:$1048576,MATCH(Model!$B248,QRT!$A:$A,0),MATCH(Model!AC$3,QRT!$4:$4,0)+3)</f>
        <v>4.0831119400248239</v>
      </c>
      <c r="AD248" s="239" cm="1">
        <f t="array" ref="AD248">INDEX(QRT!$1:$1048576,MATCH(Model!$B248,QRT!$A:$A,0),MATCH(Model!AD$3,QRT!$4:$4,0))+INDEX(QRT!$1:$1048576,MATCH(Model!$B248,QRT!$A:$A,0),MATCH(Model!AD$3,QRT!$4:$4,0)+1)+INDEX(QRT!$1:$1048576,MATCH(Model!$B248,QRT!$A:$A,0),MATCH(Model!AD$3,QRT!$4:$4,0)+2)+INDEX(QRT!$1:$1048576,MATCH(Model!$B248,QRT!$A:$A,0),MATCH(Model!AD$3,QRT!$4:$4,0)+3)</f>
        <v>-0.91571935662570003</v>
      </c>
      <c r="AE248" s="239" cm="1">
        <f t="array" ref="AE248">INDEX(QRT!$1:$1048576,MATCH(Model!$B248,QRT!$A:$A,0),MATCH(Model!AE$3,QRT!$4:$4,0))+INDEX(QRT!$1:$1048576,MATCH(Model!$B248,QRT!$A:$A,0),MATCH(Model!AE$3,QRT!$4:$4,0)+1)+INDEX(QRT!$1:$1048576,MATCH(Model!$B248,QRT!$A:$A,0),MATCH(Model!AE$3,QRT!$4:$4,0)+2)+INDEX(QRT!$1:$1048576,MATCH(Model!$B248,QRT!$A:$A,0),MATCH(Model!AE$3,QRT!$4:$4,0)+3)</f>
        <v>-1.3016613232293774</v>
      </c>
      <c r="AF248" s="7">
        <f t="shared" ref="AF248:AN248" si="239">AF$255*AF269</f>
        <v>-1.6038634885278535</v>
      </c>
      <c r="AG248" s="7">
        <f t="shared" si="239"/>
        <v>-1.9364582758294528</v>
      </c>
      <c r="AH248" s="7">
        <f t="shared" si="239"/>
        <v>-2.1066963660122617</v>
      </c>
      <c r="AI248" s="7">
        <f t="shared" si="239"/>
        <v>-2.2840277099526878</v>
      </c>
      <c r="AJ248" s="7">
        <f t="shared" si="239"/>
        <v>-2.4400792926202626</v>
      </c>
      <c r="AK248" s="7">
        <f t="shared" si="239"/>
        <v>-2.6008597111262493</v>
      </c>
      <c r="AL248" s="7">
        <f t="shared" si="239"/>
        <v>-2.7663689654706474</v>
      </c>
      <c r="AM248" s="7">
        <f t="shared" si="239"/>
        <v>-2.9366070556534565</v>
      </c>
      <c r="AN248" s="7">
        <f t="shared" si="239"/>
        <v>-3.1115739816746766</v>
      </c>
      <c r="AO248" s="7"/>
    </row>
    <row r="249" spans="1:41" ht="15" customHeight="1" outlineLevel="2">
      <c r="B249" s="109" t="s">
        <v>370</v>
      </c>
      <c r="E249" s="70" t="s">
        <v>141</v>
      </c>
      <c r="H249" s="275"/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U249" s="275"/>
      <c r="V249" s="275"/>
      <c r="W249" s="275"/>
      <c r="X249" s="275"/>
      <c r="Y249" s="275"/>
      <c r="Z249" s="225" cm="1">
        <f t="array" ref="Z249">INDEX(QRT!$1:$1048576,MATCH(Model!$B249,QRT!$A:$A,0),MATCH(Model!Z$3,QRT!$4:$4,0))+INDEX(QRT!$1:$1048576,MATCH(Model!$B249,QRT!$A:$A,0),MATCH(Model!Z$3,QRT!$4:$4,0)+1)+INDEX(QRT!$1:$1048576,MATCH(Model!$B249,QRT!$A:$A,0),MATCH(Model!Z$3,QRT!$4:$4,0)+2)+INDEX(QRT!$1:$1048576,MATCH(Model!$B249,QRT!$A:$A,0),MATCH(Model!Z$3,QRT!$4:$4,0)+3)</f>
        <v>3.9710000000000001</v>
      </c>
      <c r="AA249" s="225" cm="1">
        <f t="array" ref="AA249">INDEX(QRT!$1:$1048576,MATCH(Model!$B249,QRT!$A:$A,0),MATCH(Model!AA$3,QRT!$4:$4,0))+INDEX(QRT!$1:$1048576,MATCH(Model!$B249,QRT!$A:$A,0),MATCH(Model!AA$3,QRT!$4:$4,0)+1)+INDEX(QRT!$1:$1048576,MATCH(Model!$B249,QRT!$A:$A,0),MATCH(Model!AA$3,QRT!$4:$4,0)+2)+INDEX(QRT!$1:$1048576,MATCH(Model!$B249,QRT!$A:$A,0),MATCH(Model!AA$3,QRT!$4:$4,0)+3)</f>
        <v>4.726</v>
      </c>
      <c r="AB249" s="225" cm="1">
        <f t="array" ref="AB249">INDEX(QRT!$1:$1048576,MATCH(Model!$B249,QRT!$A:$A,0),MATCH(Model!AB$3,QRT!$4:$4,0))+INDEX(QRT!$1:$1048576,MATCH(Model!$B249,QRT!$A:$A,0),MATCH(Model!AB$3,QRT!$4:$4,0)+1)+INDEX(QRT!$1:$1048576,MATCH(Model!$B249,QRT!$A:$A,0),MATCH(Model!AB$3,QRT!$4:$4,0)+2)+INDEX(QRT!$1:$1048576,MATCH(Model!$B249,QRT!$A:$A,0),MATCH(Model!AB$3,QRT!$4:$4,0)+3)</f>
        <v>0.30100000000000005</v>
      </c>
      <c r="AC249" s="239" cm="1">
        <f t="array" ref="AC249">INDEX(QRT!$1:$1048576,MATCH(Model!$B249,QRT!$A:$A,0),MATCH(Model!AC$3,QRT!$4:$4,0))+INDEX(QRT!$1:$1048576,MATCH(Model!$B249,QRT!$A:$A,0),MATCH(Model!AC$3,QRT!$4:$4,0)+1)+INDEX(QRT!$1:$1048576,MATCH(Model!$B249,QRT!$A:$A,0),MATCH(Model!AC$3,QRT!$4:$4,0)+2)+INDEX(QRT!$1:$1048576,MATCH(Model!$B249,QRT!$A:$A,0),MATCH(Model!AC$3,QRT!$4:$4,0)+3)</f>
        <v>3.1374717003711772</v>
      </c>
      <c r="AD249" s="239" cm="1">
        <f t="array" ref="AD249">INDEX(QRT!$1:$1048576,MATCH(Model!$B249,QRT!$A:$A,0),MATCH(Model!AD$3,QRT!$4:$4,0))+INDEX(QRT!$1:$1048576,MATCH(Model!$B249,QRT!$A:$A,0),MATCH(Model!AD$3,QRT!$4:$4,0)+1)+INDEX(QRT!$1:$1048576,MATCH(Model!$B249,QRT!$A:$A,0),MATCH(Model!AD$3,QRT!$4:$4,0)+2)+INDEX(QRT!$1:$1048576,MATCH(Model!$B249,QRT!$A:$A,0),MATCH(Model!AD$3,QRT!$4:$4,0)+3)</f>
        <v>4.2319726066001255</v>
      </c>
      <c r="AE249" s="239" cm="1">
        <f t="array" ref="AE249">INDEX(QRT!$1:$1048576,MATCH(Model!$B249,QRT!$A:$A,0),MATCH(Model!AE$3,QRT!$4:$4,0))+INDEX(QRT!$1:$1048576,MATCH(Model!$B249,QRT!$A:$A,0),MATCH(Model!AE$3,QRT!$4:$4,0)+1)+INDEX(QRT!$1:$1048576,MATCH(Model!$B249,QRT!$A:$A,0),MATCH(Model!AE$3,QRT!$4:$4,0)+2)+INDEX(QRT!$1:$1048576,MATCH(Model!$B249,QRT!$A:$A,0),MATCH(Model!AE$3,QRT!$4:$4,0)+3)</f>
        <v>6.0155931215389096</v>
      </c>
      <c r="AF249" s="7">
        <f t="shared" ref="AF249:AN249" si="240">AF$255*AF270</f>
        <v>7.4122123760570249</v>
      </c>
      <c r="AG249" s="7">
        <f t="shared" si="240"/>
        <v>8.9492903233278192</v>
      </c>
      <c r="AH249" s="7">
        <f t="shared" si="240"/>
        <v>9.7360411209830122</v>
      </c>
      <c r="AI249" s="7">
        <f t="shared" si="240"/>
        <v>10.555573201873838</v>
      </c>
      <c r="AJ249" s="7">
        <f t="shared" si="240"/>
        <v>11.276761433057764</v>
      </c>
      <c r="AK249" s="7">
        <f t="shared" si="240"/>
        <v>12.019803853065447</v>
      </c>
      <c r="AL249" s="7">
        <f t="shared" si="240"/>
        <v>12.784700461896886</v>
      </c>
      <c r="AM249" s="7">
        <f t="shared" si="240"/>
        <v>13.571451259552079</v>
      </c>
      <c r="AN249" s="7">
        <f t="shared" si="240"/>
        <v>14.380056246031026</v>
      </c>
      <c r="AO249" s="7"/>
    </row>
    <row r="250" spans="1:41" ht="15" customHeight="1" outlineLevel="2">
      <c r="B250" s="109" t="s">
        <v>371</v>
      </c>
      <c r="E250" s="70" t="s">
        <v>279</v>
      </c>
      <c r="H250" s="275"/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U250" s="275"/>
      <c r="V250" s="275"/>
      <c r="W250" s="275"/>
      <c r="X250" s="275"/>
      <c r="Y250" s="275"/>
      <c r="Z250" s="225" cm="1">
        <f t="array" ref="Z250">INDEX(QRT!$1:$1048576,MATCH(Model!$B250,QRT!$A:$A,0),MATCH(Model!Z$3,QRT!$4:$4,0))+INDEX(QRT!$1:$1048576,MATCH(Model!$B250,QRT!$A:$A,0),MATCH(Model!Z$3,QRT!$4:$4,0)+1)+INDEX(QRT!$1:$1048576,MATCH(Model!$B250,QRT!$A:$A,0),MATCH(Model!Z$3,QRT!$4:$4,0)+2)+INDEX(QRT!$1:$1048576,MATCH(Model!$B250,QRT!$A:$A,0),MATCH(Model!Z$3,QRT!$4:$4,0)+3)</f>
        <v>0</v>
      </c>
      <c r="AA250" s="225" cm="1">
        <f t="array" ref="AA250">INDEX(QRT!$1:$1048576,MATCH(Model!$B250,QRT!$A:$A,0),MATCH(Model!AA$3,QRT!$4:$4,0))+INDEX(QRT!$1:$1048576,MATCH(Model!$B250,QRT!$A:$A,0),MATCH(Model!AA$3,QRT!$4:$4,0)+1)+INDEX(QRT!$1:$1048576,MATCH(Model!$B250,QRT!$A:$A,0),MATCH(Model!AA$3,QRT!$4:$4,0)+2)+INDEX(QRT!$1:$1048576,MATCH(Model!$B250,QRT!$A:$A,0),MATCH(Model!AA$3,QRT!$4:$4,0)+3)</f>
        <v>12.143000000000001</v>
      </c>
      <c r="AB250" s="225" cm="1">
        <f t="array" ref="AB250">INDEX(QRT!$1:$1048576,MATCH(Model!$B250,QRT!$A:$A,0),MATCH(Model!AB$3,QRT!$4:$4,0))+INDEX(QRT!$1:$1048576,MATCH(Model!$B250,QRT!$A:$A,0),MATCH(Model!AB$3,QRT!$4:$4,0)+1)+INDEX(QRT!$1:$1048576,MATCH(Model!$B250,QRT!$A:$A,0),MATCH(Model!AB$3,QRT!$4:$4,0)+2)+INDEX(QRT!$1:$1048576,MATCH(Model!$B250,QRT!$A:$A,0),MATCH(Model!AB$3,QRT!$4:$4,0)+3)</f>
        <v>2.4580000000000002</v>
      </c>
      <c r="AC250" s="239" cm="1">
        <f t="array" ref="AC250">INDEX(QRT!$1:$1048576,MATCH(Model!$B250,QRT!$A:$A,0),MATCH(Model!AC$3,QRT!$4:$4,0))+INDEX(QRT!$1:$1048576,MATCH(Model!$B250,QRT!$A:$A,0),MATCH(Model!AC$3,QRT!$4:$4,0)+1)+INDEX(QRT!$1:$1048576,MATCH(Model!$B250,QRT!$A:$A,0),MATCH(Model!AC$3,QRT!$4:$4,0)+2)+INDEX(QRT!$1:$1048576,MATCH(Model!$B250,QRT!$A:$A,0),MATCH(Model!AC$3,QRT!$4:$4,0)+3)</f>
        <v>7.6850930607376062</v>
      </c>
      <c r="AD250" s="239" cm="1">
        <f t="array" ref="AD250">INDEX(QRT!$1:$1048576,MATCH(Model!$B250,QRT!$A:$A,0),MATCH(Model!AD$3,QRT!$4:$4,0))+INDEX(QRT!$1:$1048576,MATCH(Model!$B250,QRT!$A:$A,0),MATCH(Model!AD$3,QRT!$4:$4,0)+1)+INDEX(QRT!$1:$1048576,MATCH(Model!$B250,QRT!$A:$A,0),MATCH(Model!AD$3,QRT!$4:$4,0)+2)+INDEX(QRT!$1:$1048576,MATCH(Model!$B250,QRT!$A:$A,0),MATCH(Model!AD$3,QRT!$4:$4,0)+3)</f>
        <v>7.7717733327414065</v>
      </c>
      <c r="AE250" s="239" cm="1">
        <f t="array" ref="AE250">INDEX(QRT!$1:$1048576,MATCH(Model!$B250,QRT!$A:$A,0),MATCH(Model!AE$3,QRT!$4:$4,0))+INDEX(QRT!$1:$1048576,MATCH(Model!$B250,QRT!$A:$A,0),MATCH(Model!AE$3,QRT!$4:$4,0)+1)+INDEX(QRT!$1:$1048576,MATCH(Model!$B250,QRT!$A:$A,0),MATCH(Model!AE$3,QRT!$4:$4,0)+2)+INDEX(QRT!$1:$1048576,MATCH(Model!$B250,QRT!$A:$A,0),MATCH(Model!AE$3,QRT!$4:$4,0)+3)</f>
        <v>11.04728941999417</v>
      </c>
      <c r="AF250" s="7">
        <f t="shared" ref="AF250:AN250" si="241">AF$255*AF271</f>
        <v>13.612100038410981</v>
      </c>
      <c r="AG250" s="7">
        <f t="shared" si="241"/>
        <v>16.434854935811195</v>
      </c>
      <c r="AH250" s="7">
        <f t="shared" si="241"/>
        <v>17.87967734775064</v>
      </c>
      <c r="AI250" s="7">
        <f t="shared" si="241"/>
        <v>19.384700693520895</v>
      </c>
      <c r="AJ250" s="7">
        <f t="shared" si="241"/>
        <v>20.709121237798719</v>
      </c>
      <c r="AK250" s="7">
        <f t="shared" si="241"/>
        <v>22.073675737963757</v>
      </c>
      <c r="AL250" s="7">
        <f t="shared" si="241"/>
        <v>23.478364194015995</v>
      </c>
      <c r="AM250" s="7">
        <f t="shared" si="241"/>
        <v>24.923186605955443</v>
      </c>
      <c r="AN250" s="7">
        <f t="shared" si="241"/>
        <v>26.408142973782095</v>
      </c>
      <c r="AO250" s="7"/>
    </row>
    <row r="251" spans="1:41" ht="15" customHeight="1" outlineLevel="2">
      <c r="B251" s="109" t="s">
        <v>372</v>
      </c>
      <c r="E251" s="70" t="s">
        <v>280</v>
      </c>
      <c r="H251" s="275"/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25" cm="1">
        <f t="array" ref="Z251">INDEX(QRT!$1:$1048576,MATCH(Model!$B251,QRT!$A:$A,0),MATCH(Model!Z$3,QRT!$4:$4,0))+INDEX(QRT!$1:$1048576,MATCH(Model!$B251,QRT!$A:$A,0),MATCH(Model!Z$3,QRT!$4:$4,0)+1)+INDEX(QRT!$1:$1048576,MATCH(Model!$B251,QRT!$A:$A,0),MATCH(Model!Z$3,QRT!$4:$4,0)+2)+INDEX(QRT!$1:$1048576,MATCH(Model!$B251,QRT!$A:$A,0),MATCH(Model!Z$3,QRT!$4:$4,0)+3)</f>
        <v>26.676000000000002</v>
      </c>
      <c r="AA251" s="225" cm="1">
        <f t="array" ref="AA251">INDEX(QRT!$1:$1048576,MATCH(Model!$B251,QRT!$A:$A,0),MATCH(Model!AA$3,QRT!$4:$4,0))+INDEX(QRT!$1:$1048576,MATCH(Model!$B251,QRT!$A:$A,0),MATCH(Model!AA$3,QRT!$4:$4,0)+1)+INDEX(QRT!$1:$1048576,MATCH(Model!$B251,QRT!$A:$A,0),MATCH(Model!AA$3,QRT!$4:$4,0)+2)+INDEX(QRT!$1:$1048576,MATCH(Model!$B251,QRT!$A:$A,0),MATCH(Model!AA$3,QRT!$4:$4,0)+3)</f>
        <v>53.399000000000001</v>
      </c>
      <c r="AB251" s="225" cm="1">
        <f t="array" ref="AB251">INDEX(QRT!$1:$1048576,MATCH(Model!$B251,QRT!$A:$A,0),MATCH(Model!AB$3,QRT!$4:$4,0))+INDEX(QRT!$1:$1048576,MATCH(Model!$B251,QRT!$A:$A,0),MATCH(Model!AB$3,QRT!$4:$4,0)+1)+INDEX(QRT!$1:$1048576,MATCH(Model!$B251,QRT!$A:$A,0),MATCH(Model!AB$3,QRT!$4:$4,0)+2)+INDEX(QRT!$1:$1048576,MATCH(Model!$B251,QRT!$A:$A,0),MATCH(Model!AB$3,QRT!$4:$4,0)+3)</f>
        <v>31.030999999999999</v>
      </c>
      <c r="AC251" s="239" cm="1">
        <f t="array" ref="AC251">INDEX(QRT!$1:$1048576,MATCH(Model!$B251,QRT!$A:$A,0),MATCH(Model!AC$3,QRT!$4:$4,0))+INDEX(QRT!$1:$1048576,MATCH(Model!$B251,QRT!$A:$A,0),MATCH(Model!AC$3,QRT!$4:$4,0)+1)+INDEX(QRT!$1:$1048576,MATCH(Model!$B251,QRT!$A:$A,0),MATCH(Model!AC$3,QRT!$4:$4,0)+2)+INDEX(QRT!$1:$1048576,MATCH(Model!$B251,QRT!$A:$A,0),MATCH(Model!AC$3,QRT!$4:$4,0)+3)</f>
        <v>155.63154449979834</v>
      </c>
      <c r="AD251" s="239" cm="1">
        <f t="array" ref="AD251">INDEX(QRT!$1:$1048576,MATCH(Model!$B251,QRT!$A:$A,0),MATCH(Model!AD$3,QRT!$4:$4,0))+INDEX(QRT!$1:$1048576,MATCH(Model!$B251,QRT!$A:$A,0),MATCH(Model!AD$3,QRT!$4:$4,0)+1)+INDEX(QRT!$1:$1048576,MATCH(Model!$B251,QRT!$A:$A,0),MATCH(Model!AD$3,QRT!$4:$4,0)+2)+INDEX(QRT!$1:$1048576,MATCH(Model!$B251,QRT!$A:$A,0),MATCH(Model!AD$3,QRT!$4:$4,0)+3)</f>
        <v>93.018714834166843</v>
      </c>
      <c r="AE251" s="239" cm="1">
        <f t="array" ref="AE251">INDEX(QRT!$1:$1048576,MATCH(Model!$B251,QRT!$A:$A,0),MATCH(Model!AE$3,QRT!$4:$4,0))+INDEX(QRT!$1:$1048576,MATCH(Model!$B251,QRT!$A:$A,0),MATCH(Model!AE$3,QRT!$4:$4,0)+1)+INDEX(QRT!$1:$1048576,MATCH(Model!$B251,QRT!$A:$A,0),MATCH(Model!AE$3,QRT!$4:$4,0)+2)+INDEX(QRT!$1:$1048576,MATCH(Model!$B251,QRT!$A:$A,0),MATCH(Model!AE$3,QRT!$4:$4,0)+3)</f>
        <v>132.22267560477994</v>
      </c>
      <c r="AF251" s="7">
        <f t="shared" ref="AF251:AN251" si="242">AF$255*AF272</f>
        <v>162.92035260895497</v>
      </c>
      <c r="AG251" s="7">
        <f t="shared" si="242"/>
        <v>196.70531025071372</v>
      </c>
      <c r="AH251" s="7">
        <f t="shared" si="242"/>
        <v>213.99808477824897</v>
      </c>
      <c r="AI251" s="7">
        <f t="shared" si="242"/>
        <v>232.01139157776487</v>
      </c>
      <c r="AJ251" s="7">
        <f t="shared" si="242"/>
        <v>247.86310156133885</v>
      </c>
      <c r="AK251" s="7">
        <f t="shared" si="242"/>
        <v>264.19516639289998</v>
      </c>
      <c r="AL251" s="7">
        <f t="shared" si="242"/>
        <v>281.00758607244819</v>
      </c>
      <c r="AM251" s="7">
        <f t="shared" si="242"/>
        <v>298.30036059998343</v>
      </c>
      <c r="AN251" s="7">
        <f t="shared" si="242"/>
        <v>316.07348997550582</v>
      </c>
      <c r="AO251" s="7"/>
    </row>
    <row r="252" spans="1:41" ht="15" customHeight="1" outlineLevel="2">
      <c r="B252" s="109" t="s">
        <v>373</v>
      </c>
      <c r="E252" s="70" t="s">
        <v>287</v>
      </c>
      <c r="H252" s="275"/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U252" s="275"/>
      <c r="V252" s="275"/>
      <c r="W252" s="275"/>
      <c r="X252" s="275"/>
      <c r="Y252" s="275"/>
      <c r="Z252" s="225" cm="1">
        <f t="array" ref="Z252">INDEX(QRT!$1:$1048576,MATCH(Model!$B252,QRT!$A:$A,0),MATCH(Model!Z$3,QRT!$4:$4,0))+INDEX(QRT!$1:$1048576,MATCH(Model!$B252,QRT!$A:$A,0),MATCH(Model!Z$3,QRT!$4:$4,0)+1)+INDEX(QRT!$1:$1048576,MATCH(Model!$B252,QRT!$A:$A,0),MATCH(Model!Z$3,QRT!$4:$4,0)+2)+INDEX(QRT!$1:$1048576,MATCH(Model!$B252,QRT!$A:$A,0),MATCH(Model!Z$3,QRT!$4:$4,0)+3)</f>
        <v>-0.89900000000000002</v>
      </c>
      <c r="AA252" s="225" cm="1">
        <f t="array" ref="AA252">INDEX(QRT!$1:$1048576,MATCH(Model!$B252,QRT!$A:$A,0),MATCH(Model!AA$3,QRT!$4:$4,0))+INDEX(QRT!$1:$1048576,MATCH(Model!$B252,QRT!$A:$A,0),MATCH(Model!AA$3,QRT!$4:$4,0)+1)+INDEX(QRT!$1:$1048576,MATCH(Model!$B252,QRT!$A:$A,0),MATCH(Model!AA$3,QRT!$4:$4,0)+2)+INDEX(QRT!$1:$1048576,MATCH(Model!$B252,QRT!$A:$A,0),MATCH(Model!AA$3,QRT!$4:$4,0)+3)</f>
        <v>-6.3529999999999998</v>
      </c>
      <c r="AB252" s="225" cm="1">
        <f t="array" ref="AB252">INDEX(QRT!$1:$1048576,MATCH(Model!$B252,QRT!$A:$A,0),MATCH(Model!AB$3,QRT!$4:$4,0))+INDEX(QRT!$1:$1048576,MATCH(Model!$B252,QRT!$A:$A,0),MATCH(Model!AB$3,QRT!$4:$4,0)+1)+INDEX(QRT!$1:$1048576,MATCH(Model!$B252,QRT!$A:$A,0),MATCH(Model!AB$3,QRT!$4:$4,0)+2)+INDEX(QRT!$1:$1048576,MATCH(Model!$B252,QRT!$A:$A,0),MATCH(Model!AB$3,QRT!$4:$4,0)+3)</f>
        <v>-8.1130000000000013</v>
      </c>
      <c r="AC252" s="239" cm="1">
        <f t="array" ref="AC252">INDEX(QRT!$1:$1048576,MATCH(Model!$B252,QRT!$A:$A,0),MATCH(Model!AC$3,QRT!$4:$4,0))+INDEX(QRT!$1:$1048576,MATCH(Model!$B252,QRT!$A:$A,0),MATCH(Model!AC$3,QRT!$4:$4,0)+1)+INDEX(QRT!$1:$1048576,MATCH(Model!$B252,QRT!$A:$A,0),MATCH(Model!AC$3,QRT!$4:$4,0)+2)+INDEX(QRT!$1:$1048576,MATCH(Model!$B252,QRT!$A:$A,0),MATCH(Model!AC$3,QRT!$4:$4,0)+3)</f>
        <v>-38.77130427095377</v>
      </c>
      <c r="AD252" s="239" cm="1">
        <f t="array" ref="AD252">INDEX(QRT!$1:$1048576,MATCH(Model!$B252,QRT!$A:$A,0),MATCH(Model!AD$3,QRT!$4:$4,0))+INDEX(QRT!$1:$1048576,MATCH(Model!$B252,QRT!$A:$A,0),MATCH(Model!AD$3,QRT!$4:$4,0)+1)+INDEX(QRT!$1:$1048576,MATCH(Model!$B252,QRT!$A:$A,0),MATCH(Model!AD$3,QRT!$4:$4,0)+2)+INDEX(QRT!$1:$1048576,MATCH(Model!$B252,QRT!$A:$A,0),MATCH(Model!AD$3,QRT!$4:$4,0)+3)</f>
        <v>-18.878817598020383</v>
      </c>
      <c r="AE252" s="239" cm="1">
        <f t="array" ref="AE252">INDEX(QRT!$1:$1048576,MATCH(Model!$B252,QRT!$A:$A,0),MATCH(Model!AE$3,QRT!$4:$4,0))+INDEX(QRT!$1:$1048576,MATCH(Model!$B252,QRT!$A:$A,0),MATCH(Model!AE$3,QRT!$4:$4,0)+1)+INDEX(QRT!$1:$1048576,MATCH(Model!$B252,QRT!$A:$A,0),MATCH(Model!AE$3,QRT!$4:$4,0)+2)+INDEX(QRT!$1:$1048576,MATCH(Model!$B252,QRT!$A:$A,0),MATCH(Model!AE$3,QRT!$4:$4,0)+3)</f>
        <v>-26.835543573302239</v>
      </c>
      <c r="AF252" s="7">
        <f t="shared" ref="AF252:AN252" si="243">AF$255*AF273</f>
        <v>-33.065858041503155</v>
      </c>
      <c r="AG252" s="7">
        <f t="shared" si="243"/>
        <v>-39.922758333156395</v>
      </c>
      <c r="AH252" s="7">
        <f t="shared" si="243"/>
        <v>-43.432451373433871</v>
      </c>
      <c r="AI252" s="7">
        <f t="shared" si="243"/>
        <v>-47.088381623722917</v>
      </c>
      <c r="AJ252" s="7">
        <f t="shared" si="243"/>
        <v>-50.305600243977281</v>
      </c>
      <c r="AK252" s="7">
        <f t="shared" si="243"/>
        <v>-53.62031033757269</v>
      </c>
      <c r="AL252" s="7">
        <f t="shared" si="243"/>
        <v>-57.032511904509136</v>
      </c>
      <c r="AM252" s="7">
        <f t="shared" si="243"/>
        <v>-60.542204944786626</v>
      </c>
      <c r="AN252" s="7">
        <f t="shared" si="243"/>
        <v>-64.149389458405139</v>
      </c>
      <c r="AO252" s="7"/>
    </row>
    <row r="253" spans="1:41" ht="15" customHeight="1" outlineLevel="2">
      <c r="B253" s="109" t="s">
        <v>374</v>
      </c>
      <c r="E253" s="70" t="s">
        <v>268</v>
      </c>
      <c r="H253" s="275"/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25" cm="1">
        <f t="array" ref="Z253">INDEX(QRT!$1:$1048576,MATCH(Model!$B253,QRT!$A:$A,0),MATCH(Model!Z$3,QRT!$4:$4,0))+INDEX(QRT!$1:$1048576,MATCH(Model!$B253,QRT!$A:$A,0),MATCH(Model!Z$3,QRT!$4:$4,0)+1)+INDEX(QRT!$1:$1048576,MATCH(Model!$B253,QRT!$A:$A,0),MATCH(Model!Z$3,QRT!$4:$4,0)+2)+INDEX(QRT!$1:$1048576,MATCH(Model!$B253,QRT!$A:$A,0),MATCH(Model!Z$3,QRT!$4:$4,0)+3)</f>
        <v>-0.31900000000000001</v>
      </c>
      <c r="AA253" s="225" cm="1">
        <f t="array" ref="AA253">INDEX(QRT!$1:$1048576,MATCH(Model!$B253,QRT!$A:$A,0),MATCH(Model!AA$3,QRT!$4:$4,0))+INDEX(QRT!$1:$1048576,MATCH(Model!$B253,QRT!$A:$A,0),MATCH(Model!AA$3,QRT!$4:$4,0)+1)+INDEX(QRT!$1:$1048576,MATCH(Model!$B253,QRT!$A:$A,0),MATCH(Model!AA$3,QRT!$4:$4,0)+2)+INDEX(QRT!$1:$1048576,MATCH(Model!$B253,QRT!$A:$A,0),MATCH(Model!AA$3,QRT!$4:$4,0)+3)</f>
        <v>-12.143000000000001</v>
      </c>
      <c r="AB253" s="225" cm="1">
        <f t="array" ref="AB253">INDEX(QRT!$1:$1048576,MATCH(Model!$B253,QRT!$A:$A,0),MATCH(Model!AB$3,QRT!$4:$4,0))+INDEX(QRT!$1:$1048576,MATCH(Model!$B253,QRT!$A:$A,0),MATCH(Model!AB$3,QRT!$4:$4,0)+1)+INDEX(QRT!$1:$1048576,MATCH(Model!$B253,QRT!$A:$A,0),MATCH(Model!AB$3,QRT!$4:$4,0)+2)+INDEX(QRT!$1:$1048576,MATCH(Model!$B253,QRT!$A:$A,0),MATCH(Model!AB$3,QRT!$4:$4,0)+3)</f>
        <v>-2.4530000000000003</v>
      </c>
      <c r="AC253" s="239" cm="1">
        <f t="array" ref="AC253">INDEX(QRT!$1:$1048576,MATCH(Model!$B253,QRT!$A:$A,0),MATCH(Model!AC$3,QRT!$4:$4,0))+INDEX(QRT!$1:$1048576,MATCH(Model!$B253,QRT!$A:$A,0),MATCH(Model!AC$3,QRT!$4:$4,0)+1)+INDEX(QRT!$1:$1048576,MATCH(Model!$B253,QRT!$A:$A,0),MATCH(Model!AC$3,QRT!$4:$4,0)+2)+INDEX(QRT!$1:$1048576,MATCH(Model!$B253,QRT!$A:$A,0),MATCH(Model!AC$3,QRT!$4:$4,0)+3)</f>
        <v>-7.631093060737606</v>
      </c>
      <c r="AD253" s="239" cm="1">
        <f t="array" ref="AD253">INDEX(QRT!$1:$1048576,MATCH(Model!$B253,QRT!$A:$A,0),MATCH(Model!AD$3,QRT!$4:$4,0))+INDEX(QRT!$1:$1048576,MATCH(Model!$B253,QRT!$A:$A,0),MATCH(Model!AD$3,QRT!$4:$4,0)+1)+INDEX(QRT!$1:$1048576,MATCH(Model!$B253,QRT!$A:$A,0),MATCH(Model!AD$3,QRT!$4:$4,0)+2)+INDEX(QRT!$1:$1048576,MATCH(Model!$B253,QRT!$A:$A,0),MATCH(Model!AD$3,QRT!$4:$4,0)+3)</f>
        <v>-7.7717733327414065</v>
      </c>
      <c r="AE253" s="239" cm="1">
        <f t="array" ref="AE253">INDEX(QRT!$1:$1048576,MATCH(Model!$B253,QRT!$A:$A,0),MATCH(Model!AE$3,QRT!$4:$4,0))+INDEX(QRT!$1:$1048576,MATCH(Model!$B253,QRT!$A:$A,0),MATCH(Model!AE$3,QRT!$4:$4,0)+1)+INDEX(QRT!$1:$1048576,MATCH(Model!$B253,QRT!$A:$A,0),MATCH(Model!AE$3,QRT!$4:$4,0)+2)+INDEX(QRT!$1:$1048576,MATCH(Model!$B253,QRT!$A:$A,0),MATCH(Model!AE$3,QRT!$4:$4,0)+3)</f>
        <v>-11.04728941999417</v>
      </c>
      <c r="AF253" s="7">
        <f t="shared" ref="AF253:AN253" si="244">AF$255*AF274</f>
        <v>-13.612100038410981</v>
      </c>
      <c r="AG253" s="7">
        <f t="shared" si="244"/>
        <v>-16.434854935811195</v>
      </c>
      <c r="AH253" s="7">
        <f t="shared" si="244"/>
        <v>-17.87967734775064</v>
      </c>
      <c r="AI253" s="7">
        <f t="shared" si="244"/>
        <v>-19.384700693520895</v>
      </c>
      <c r="AJ253" s="7">
        <f t="shared" si="244"/>
        <v>-20.709121237798719</v>
      </c>
      <c r="AK253" s="7">
        <f t="shared" si="244"/>
        <v>-22.073675737963757</v>
      </c>
      <c r="AL253" s="7">
        <f t="shared" si="244"/>
        <v>-23.478364194015995</v>
      </c>
      <c r="AM253" s="7">
        <f t="shared" si="244"/>
        <v>-24.923186605955443</v>
      </c>
      <c r="AN253" s="7">
        <f t="shared" si="244"/>
        <v>-26.408142973782095</v>
      </c>
      <c r="AO253" s="7"/>
    </row>
    <row r="254" spans="1:41" ht="15" customHeight="1" outlineLevel="2">
      <c r="B254" s="109" t="s">
        <v>375</v>
      </c>
      <c r="E254" s="70" t="s">
        <v>142</v>
      </c>
      <c r="H254" s="275"/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U254" s="275"/>
      <c r="V254" s="275"/>
      <c r="W254" s="275"/>
      <c r="X254" s="275"/>
      <c r="Y254" s="275"/>
      <c r="Z254" s="225" cm="1">
        <f t="array" ref="Z254">INDEX(QRT!$1:$1048576,MATCH(Model!$B254,QRT!$A:$A,0),MATCH(Model!Z$3,QRT!$4:$4,0))+INDEX(QRT!$1:$1048576,MATCH(Model!$B254,QRT!$A:$A,0),MATCH(Model!Z$3,QRT!$4:$4,0)+1)+INDEX(QRT!$1:$1048576,MATCH(Model!$B254,QRT!$A:$A,0),MATCH(Model!Z$3,QRT!$4:$4,0)+2)+INDEX(QRT!$1:$1048576,MATCH(Model!$B254,QRT!$A:$A,0),MATCH(Model!Z$3,QRT!$4:$4,0)+3)</f>
        <v>16.738</v>
      </c>
      <c r="AA254" s="225" cm="1">
        <f t="array" ref="AA254">INDEX(QRT!$1:$1048576,MATCH(Model!$B254,QRT!$A:$A,0),MATCH(Model!AA$3,QRT!$4:$4,0))+INDEX(QRT!$1:$1048576,MATCH(Model!$B254,QRT!$A:$A,0),MATCH(Model!AA$3,QRT!$4:$4,0)+1)+INDEX(QRT!$1:$1048576,MATCH(Model!$B254,QRT!$A:$A,0),MATCH(Model!AA$3,QRT!$4:$4,0)+2)+INDEX(QRT!$1:$1048576,MATCH(Model!$B254,QRT!$A:$A,0),MATCH(Model!AA$3,QRT!$4:$4,0)+3)</f>
        <v>49.674000000000007</v>
      </c>
      <c r="AB254" s="225" cm="1">
        <f t="array" ref="AB254">INDEX(QRT!$1:$1048576,MATCH(Model!$B254,QRT!$A:$A,0),MATCH(Model!AB$3,QRT!$4:$4,0))+INDEX(QRT!$1:$1048576,MATCH(Model!$B254,QRT!$A:$A,0),MATCH(Model!AB$3,QRT!$4:$4,0)+1)+INDEX(QRT!$1:$1048576,MATCH(Model!$B254,QRT!$A:$A,0),MATCH(Model!AB$3,QRT!$4:$4,0)+2)+INDEX(QRT!$1:$1048576,MATCH(Model!$B254,QRT!$A:$A,0),MATCH(Model!AB$3,QRT!$4:$4,0)+3)</f>
        <v>35.841000000000001</v>
      </c>
      <c r="AC254" s="239" cm="1">
        <f t="array" ref="AC254">INDEX(QRT!$1:$1048576,MATCH(Model!$B254,QRT!$A:$A,0),MATCH(Model!AC$3,QRT!$4:$4,0))+INDEX(QRT!$1:$1048576,MATCH(Model!$B254,QRT!$A:$A,0),MATCH(Model!AC$3,QRT!$4:$4,0)+1)+INDEX(QRT!$1:$1048576,MATCH(Model!$B254,QRT!$A:$A,0),MATCH(Model!AC$3,QRT!$4:$4,0)+2)+INDEX(QRT!$1:$1048576,MATCH(Model!$B254,QRT!$A:$A,0),MATCH(Model!AC$3,QRT!$4:$4,0)+3)</f>
        <v>221.66717613075951</v>
      </c>
      <c r="AD254" s="239" cm="1">
        <f t="array" ref="AD254">INDEX(QRT!$1:$1048576,MATCH(Model!$B254,QRT!$A:$A,0),MATCH(Model!AD$3,QRT!$4:$4,0))+INDEX(QRT!$1:$1048576,MATCH(Model!$B254,QRT!$A:$A,0),MATCH(Model!AD$3,QRT!$4:$4,0)+1)+INDEX(QRT!$1:$1048576,MATCH(Model!$B254,QRT!$A:$A,0),MATCH(Model!AD$3,QRT!$4:$4,0)+2)+INDEX(QRT!$1:$1048576,MATCH(Model!$B254,QRT!$A:$A,0),MATCH(Model!AD$3,QRT!$4:$4,0)+3)</f>
        <v>108.4438495138791</v>
      </c>
      <c r="AE254" s="239" cm="1">
        <f t="array" ref="AE254">INDEX(QRT!$1:$1048576,MATCH(Model!$B254,QRT!$A:$A,0),MATCH(Model!AE$3,QRT!$4:$4,0))+INDEX(QRT!$1:$1048576,MATCH(Model!$B254,QRT!$A:$A,0),MATCH(Model!AE$3,QRT!$4:$4,0)+1)+INDEX(QRT!$1:$1048576,MATCH(Model!$B254,QRT!$A:$A,0),MATCH(Model!AE$3,QRT!$4:$4,0)+2)+INDEX(QRT!$1:$1048576,MATCH(Model!$B254,QRT!$A:$A,0),MATCH(Model!AE$3,QRT!$4:$4,0)+3)</f>
        <v>154.14893617021278</v>
      </c>
      <c r="AF254" s="7">
        <f t="shared" ref="AF254:AN254" si="245">AF$255*AF275</f>
        <v>189.93715654501906</v>
      </c>
      <c r="AG254" s="7">
        <f t="shared" si="245"/>
        <v>229.32461603494443</v>
      </c>
      <c r="AH254" s="7">
        <f t="shared" si="245"/>
        <v>249.48502184021422</v>
      </c>
      <c r="AI254" s="7">
        <f t="shared" si="245"/>
        <v>270.48544455403697</v>
      </c>
      <c r="AJ254" s="7">
        <f t="shared" si="245"/>
        <v>288.96581654220097</v>
      </c>
      <c r="AK254" s="7">
        <f t="shared" si="245"/>
        <v>308.00619980273365</v>
      </c>
      <c r="AL254" s="7">
        <f t="shared" si="245"/>
        <v>327.6065943356349</v>
      </c>
      <c r="AM254" s="7">
        <f t="shared" si="245"/>
        <v>347.76700014090477</v>
      </c>
      <c r="AN254" s="7">
        <f t="shared" si="245"/>
        <v>368.48741721854316</v>
      </c>
      <c r="AO254" s="7"/>
    </row>
    <row r="255" spans="1:41" s="3" customFormat="1" outlineLevel="2">
      <c r="A255" s="110"/>
      <c r="B255" s="110"/>
      <c r="C255" s="143"/>
      <c r="E255" s="150" t="s">
        <v>258</v>
      </c>
      <c r="F255" s="2"/>
      <c r="G255" s="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>
        <f t="shared" ref="Z255:AE255" si="246">SUM(Z246:Z254)</f>
        <v>31.763000000000005</v>
      </c>
      <c r="AA255" s="102">
        <f t="shared" si="246"/>
        <v>63.542999999999999</v>
      </c>
      <c r="AB255" s="102">
        <f t="shared" si="246"/>
        <v>46.013999999999996</v>
      </c>
      <c r="AC255" s="102">
        <f t="shared" si="246"/>
        <v>285.61832417131694</v>
      </c>
      <c r="AD255" s="102">
        <f t="shared" si="246"/>
        <v>148.88513089652005</v>
      </c>
      <c r="AE255" s="102">
        <f t="shared" si="246"/>
        <v>211.63472748469837</v>
      </c>
      <c r="AF255" s="103">
        <f>AF262*AF263/(1-SUM(AF267:AF268))</f>
        <v>260.76922334538426</v>
      </c>
      <c r="AG255" s="103">
        <f t="shared" ref="AG255:AN255" si="247">AG262*AG263/(1-SUM(AG267:AG268))</f>
        <v>314.84519988187185</v>
      </c>
      <c r="AH255" s="103">
        <f t="shared" si="247"/>
        <v>342.52389877258582</v>
      </c>
      <c r="AI255" s="103">
        <f t="shared" si="247"/>
        <v>371.35587678374623</v>
      </c>
      <c r="AJ255" s="103">
        <f t="shared" si="247"/>
        <v>396.7280174335674</v>
      </c>
      <c r="AK255" s="103">
        <f t="shared" si="247"/>
        <v>422.86901083035292</v>
      </c>
      <c r="AL255" s="103">
        <f t="shared" si="247"/>
        <v>449.77885697410267</v>
      </c>
      <c r="AM255" s="103">
        <f t="shared" si="247"/>
        <v>477.4575558648167</v>
      </c>
      <c r="AN255" s="103">
        <f t="shared" si="247"/>
        <v>505.90510750249496</v>
      </c>
      <c r="AO255"/>
    </row>
    <row r="256" spans="1:41" s="3" customFormat="1" outlineLevel="2">
      <c r="A256" s="110"/>
      <c r="B256" s="110"/>
      <c r="C256" s="143"/>
      <c r="E256" s="242" t="s">
        <v>494</v>
      </c>
      <c r="F256" s="167"/>
      <c r="G256" s="167"/>
      <c r="H256" s="274"/>
      <c r="I256" s="274"/>
      <c r="J256" s="274"/>
      <c r="K256" s="274"/>
      <c r="L256" s="274"/>
      <c r="M256" s="274"/>
      <c r="N256" s="274"/>
      <c r="O256" s="274"/>
      <c r="P256" s="274"/>
      <c r="Q256" s="274"/>
      <c r="R256" s="274"/>
      <c r="S256" s="274"/>
      <c r="T256" s="274"/>
      <c r="U256" s="274"/>
      <c r="V256" s="274"/>
      <c r="W256" s="274"/>
      <c r="X256" s="274"/>
      <c r="Y256" s="274"/>
      <c r="Z256" s="274">
        <f>Z255-SUM(Z246:Z247)</f>
        <v>42.907000000000004</v>
      </c>
      <c r="AA256" s="274">
        <f t="shared" ref="AA256:AN256" si="248">AA255-SUM(AA246:AA247)</f>
        <v>94.768000000000001</v>
      </c>
      <c r="AB256" s="274">
        <f t="shared" si="248"/>
        <v>62.293999999999997</v>
      </c>
      <c r="AC256" s="274">
        <f t="shared" si="248"/>
        <v>345.80200000000013</v>
      </c>
      <c r="AD256" s="274">
        <f t="shared" si="248"/>
        <v>185.9</v>
      </c>
      <c r="AE256" s="274">
        <f t="shared" si="248"/>
        <v>264.25</v>
      </c>
      <c r="AF256" s="274">
        <f t="shared" si="248"/>
        <v>325.60000000000002</v>
      </c>
      <c r="AG256" s="274">
        <f t="shared" si="248"/>
        <v>393.12000000000012</v>
      </c>
      <c r="AH256" s="274">
        <f t="shared" si="248"/>
        <v>427.68000000000006</v>
      </c>
      <c r="AI256" s="274">
        <f t="shared" si="248"/>
        <v>463.68000000000006</v>
      </c>
      <c r="AJ256" s="274">
        <f t="shared" si="248"/>
        <v>495.36</v>
      </c>
      <c r="AK256" s="274">
        <f t="shared" si="248"/>
        <v>528.00000000000011</v>
      </c>
      <c r="AL256" s="274">
        <f t="shared" si="248"/>
        <v>561.60000000000014</v>
      </c>
      <c r="AM256" s="274">
        <f t="shared" si="248"/>
        <v>596.1600000000002</v>
      </c>
      <c r="AN256" s="274">
        <f t="shared" si="248"/>
        <v>631.68000000000018</v>
      </c>
      <c r="AO256"/>
    </row>
    <row r="257" spans="2:41" ht="15" customHeight="1" outlineLevel="2">
      <c r="E257" s="67" t="s">
        <v>306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65"/>
      <c r="Y257" s="7">
        <f t="shared" ref="Y257:AE257" si="249">-Y109</f>
        <v>34.07</v>
      </c>
      <c r="Z257" s="7">
        <f t="shared" si="249"/>
        <v>26.135999999999999</v>
      </c>
      <c r="AA257" s="7">
        <f t="shared" si="249"/>
        <v>55.166000000000004</v>
      </c>
      <c r="AB257" s="7">
        <f t="shared" si="249"/>
        <v>43.702999999999996</v>
      </c>
      <c r="AC257" s="7">
        <f t="shared" si="249"/>
        <v>255.75332417131685</v>
      </c>
      <c r="AD257" s="7">
        <f t="shared" si="249"/>
        <v>148.88513089652005</v>
      </c>
      <c r="AE257" s="7">
        <f t="shared" si="249"/>
        <v>211.63472748469835</v>
      </c>
      <c r="AF257" s="244">
        <f>AF255</f>
        <v>260.76922334538426</v>
      </c>
      <c r="AG257" s="244">
        <f t="shared" ref="AG257:AN257" si="250">AG255</f>
        <v>314.84519988187185</v>
      </c>
      <c r="AH257" s="244">
        <f t="shared" si="250"/>
        <v>342.52389877258582</v>
      </c>
      <c r="AI257" s="244">
        <f t="shared" si="250"/>
        <v>371.35587678374623</v>
      </c>
      <c r="AJ257" s="244">
        <f t="shared" si="250"/>
        <v>396.7280174335674</v>
      </c>
      <c r="AK257" s="244">
        <f t="shared" si="250"/>
        <v>422.86901083035292</v>
      </c>
      <c r="AL257" s="244">
        <f t="shared" si="250"/>
        <v>449.77885697410267</v>
      </c>
      <c r="AM257" s="244">
        <f t="shared" si="250"/>
        <v>477.4575558648167</v>
      </c>
      <c r="AN257" s="244">
        <f t="shared" si="250"/>
        <v>505.90510750249496</v>
      </c>
      <c r="AO257" s="7"/>
    </row>
    <row r="258" spans="2:41" ht="15" customHeight="1" outlineLevel="2">
      <c r="E258" s="84" t="s">
        <v>230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65"/>
      <c r="Y258" s="65"/>
      <c r="Z258" s="7">
        <f t="shared" ref="Z258:AN258" si="251">Z255-Z257</f>
        <v>5.627000000000006</v>
      </c>
      <c r="AA258" s="7">
        <f t="shared" si="251"/>
        <v>8.3769999999999953</v>
      </c>
      <c r="AB258" s="7">
        <f t="shared" si="251"/>
        <v>2.3109999999999999</v>
      </c>
      <c r="AC258" s="7">
        <f t="shared" si="251"/>
        <v>29.865000000000094</v>
      </c>
      <c r="AD258" s="7">
        <f t="shared" si="251"/>
        <v>0</v>
      </c>
      <c r="AE258" s="7">
        <f t="shared" si="251"/>
        <v>0</v>
      </c>
      <c r="AF258" s="7">
        <f t="shared" si="251"/>
        <v>0</v>
      </c>
      <c r="AG258" s="7">
        <f t="shared" si="251"/>
        <v>0</v>
      </c>
      <c r="AH258" s="7">
        <f t="shared" si="251"/>
        <v>0</v>
      </c>
      <c r="AI258" s="7">
        <f t="shared" si="251"/>
        <v>0</v>
      </c>
      <c r="AJ258" s="7">
        <f t="shared" si="251"/>
        <v>0</v>
      </c>
      <c r="AK258" s="7">
        <f t="shared" si="251"/>
        <v>0</v>
      </c>
      <c r="AL258" s="7">
        <f t="shared" si="251"/>
        <v>0</v>
      </c>
      <c r="AM258" s="7">
        <f t="shared" si="251"/>
        <v>0</v>
      </c>
      <c r="AN258" s="7">
        <f t="shared" si="251"/>
        <v>0</v>
      </c>
      <c r="AO258" s="7"/>
    </row>
    <row r="259" spans="2:41" ht="15" customHeight="1" outlineLevel="2">
      <c r="E259" s="84" t="s">
        <v>307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65"/>
      <c r="Y259" s="65"/>
      <c r="Z259" s="214">
        <f t="shared" ref="Z259:AE259" si="252">IFERROR(IF(Z257&lt;2,"na",Z255/Z257-1),"na")</f>
        <v>0.21529690847872685</v>
      </c>
      <c r="AA259" s="214">
        <f t="shared" si="252"/>
        <v>0.15185077765290211</v>
      </c>
      <c r="AB259" s="214">
        <f t="shared" si="252"/>
        <v>5.2879665011555277E-2</v>
      </c>
      <c r="AC259" s="214">
        <f t="shared" si="252"/>
        <v>0.11677267576782291</v>
      </c>
      <c r="AD259" s="214">
        <f t="shared" si="252"/>
        <v>0</v>
      </c>
      <c r="AE259" s="214">
        <f t="shared" si="252"/>
        <v>2.2204460492503131E-16</v>
      </c>
      <c r="AF259" s="214">
        <f t="shared" ref="AF259:AN259" si="253">IFERROR(IF(AF257&lt;2,"na",AF255/AF257-1),"na")</f>
        <v>0</v>
      </c>
      <c r="AG259" s="214">
        <f t="shared" si="253"/>
        <v>0</v>
      </c>
      <c r="AH259" s="214">
        <f t="shared" si="253"/>
        <v>0</v>
      </c>
      <c r="AI259" s="214">
        <f t="shared" si="253"/>
        <v>0</v>
      </c>
      <c r="AJ259" s="214">
        <f t="shared" si="253"/>
        <v>0</v>
      </c>
      <c r="AK259" s="214">
        <f t="shared" si="253"/>
        <v>0</v>
      </c>
      <c r="AL259" s="214">
        <f t="shared" si="253"/>
        <v>0</v>
      </c>
      <c r="AM259" s="214">
        <f t="shared" si="253"/>
        <v>0</v>
      </c>
      <c r="AN259" s="214">
        <f t="shared" si="253"/>
        <v>0</v>
      </c>
      <c r="AO259" s="7"/>
    </row>
    <row r="260" spans="2:41" ht="15" customHeight="1" outlineLevel="2">
      <c r="E260" s="84" t="s">
        <v>552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65"/>
      <c r="Y260" s="65"/>
      <c r="Z260" s="214">
        <f>Z256/Z9</f>
        <v>9.3440013240619971E-2</v>
      </c>
      <c r="AA260" s="214">
        <f t="shared" ref="AA260:AN260" si="254">AA256/AA9</f>
        <v>0.1377852412419398</v>
      </c>
      <c r="AB260" s="214">
        <f t="shared" si="254"/>
        <v>6.5655634122717244E-2</v>
      </c>
      <c r="AC260" s="214">
        <f t="shared" si="254"/>
        <v>0.22763080795537219</v>
      </c>
      <c r="AD260" s="214">
        <f t="shared" si="254"/>
        <v>8.646176289084799E-2</v>
      </c>
      <c r="AE260" s="214">
        <f t="shared" si="254"/>
        <v>9.2633925702714934E-2</v>
      </c>
      <c r="AF260" s="214">
        <f t="shared" si="254"/>
        <v>8.6283652769710978E-2</v>
      </c>
      <c r="AG260" s="214">
        <f t="shared" si="254"/>
        <v>8.1226676628483957E-2</v>
      </c>
      <c r="AH260" s="214">
        <f t="shared" si="254"/>
        <v>7.1707344008689236E-2</v>
      </c>
      <c r="AI260" s="214">
        <f t="shared" si="254"/>
        <v>6.4920958471605852E-2</v>
      </c>
      <c r="AJ260" s="214">
        <f t="shared" si="254"/>
        <v>5.9279468156538999E-2</v>
      </c>
      <c r="AK260" s="214">
        <f t="shared" si="254"/>
        <v>5.4997890855864595E-2</v>
      </c>
      <c r="AL260" s="214">
        <f t="shared" si="254"/>
        <v>5.1653845015870933E-2</v>
      </c>
      <c r="AM260" s="214">
        <f t="shared" si="254"/>
        <v>4.8890327387558101E-2</v>
      </c>
      <c r="AN260" s="214">
        <f t="shared" si="254"/>
        <v>4.6564498976196224E-2</v>
      </c>
      <c r="AO260" s="7"/>
    </row>
    <row r="261" spans="2:41" ht="15" customHeight="1" outlineLevel="2"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65"/>
      <c r="Y261" s="65"/>
      <c r="Z261" s="65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"/>
    </row>
    <row r="262" spans="2:41" ht="15" customHeight="1" outlineLevel="2">
      <c r="B262" s="109" t="s">
        <v>376</v>
      </c>
      <c r="E262" s="70" t="s">
        <v>387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65"/>
      <c r="Y262" s="65"/>
      <c r="Z262" s="225" cm="1">
        <f t="array" ref="Z262">(INDEX(QRT!$1:$1048576,MATCH(Model!$B262,QRT!$A:$A,0),MATCH(Model!Z$3,QRT!$4:$4,0))+INDEX(QRT!$1:$1048576,MATCH(Model!$B262,QRT!$A:$A,0),MATCH(Model!Z$3,QRT!$4:$4,0)+1)+INDEX(QRT!$1:$1048576,MATCH(Model!$B262,QRT!$A:$A,0),MATCH(Model!Z$3,QRT!$4:$4,0)+2)+INDEX(QRT!$1:$1048576,MATCH(Model!$B262,QRT!$A:$A,0),MATCH(Model!Z$3,QRT!$4:$4,0)+3))*4</f>
        <v>161.6702110091517</v>
      </c>
      <c r="AA262" s="225" cm="1">
        <f t="array" ref="AA262">(INDEX(QRT!$1:$1048576,MATCH(Model!$B262,QRT!$A:$A,0),MATCH(Model!AA$3,QRT!$4:$4,0))+INDEX(QRT!$1:$1048576,MATCH(Model!$B262,QRT!$A:$A,0),MATCH(Model!AA$3,QRT!$4:$4,0)+1)+INDEX(QRT!$1:$1048576,MATCH(Model!$B262,QRT!$A:$A,0),MATCH(Model!AA$3,QRT!$4:$4,0)+2)+INDEX(QRT!$1:$1048576,MATCH(Model!$B262,QRT!$A:$A,0),MATCH(Model!AA$3,QRT!$4:$4,0)+3))*4</f>
        <v>379.29469912488986</v>
      </c>
      <c r="AB262" s="225" cm="1">
        <f t="array" ref="AB262">(INDEX(QRT!$1:$1048576,MATCH(Model!$B262,QRT!$A:$A,0),MATCH(Model!AB$3,QRT!$4:$4,0))+INDEX(QRT!$1:$1048576,MATCH(Model!$B262,QRT!$A:$A,0),MATCH(Model!AB$3,QRT!$4:$4,0)+1)+INDEX(QRT!$1:$1048576,MATCH(Model!$B262,QRT!$A:$A,0),MATCH(Model!AB$3,QRT!$4:$4,0)+2)+INDEX(QRT!$1:$1048576,MATCH(Model!$B262,QRT!$A:$A,0),MATCH(Model!AB$3,QRT!$4:$4,0)+3))*4</f>
        <v>213.8967250571211</v>
      </c>
      <c r="AC262" s="239" cm="1">
        <f t="array" ref="AC262">(INDEX(QRT!$1:$1048576,MATCH(Model!$B262,QRT!$A:$A,0),MATCH(Model!AC$3,QRT!$4:$4,0))+INDEX(QRT!$1:$1048576,MATCH(Model!$B262,QRT!$A:$A,0),MATCH(Model!AC$3,QRT!$4:$4,0)+1)+INDEX(QRT!$1:$1048576,MATCH(Model!$B262,QRT!$A:$A,0),MATCH(Model!AC$3,QRT!$4:$4,0)+2)+INDEX(QRT!$1:$1048576,MATCH(Model!$B262,QRT!$A:$A,0),MATCH(Model!AC$3,QRT!$4:$4,0)+3))*4</f>
        <v>607.36750454476032</v>
      </c>
      <c r="AD262" s="239" cm="1">
        <f t="array" ref="AD262">(INDEX(QRT!$1:$1048576,MATCH(Model!$B262,QRT!$A:$A,0),MATCH(Model!AD$3,QRT!$4:$4,0))+INDEX(QRT!$1:$1048576,MATCH(Model!$B262,QRT!$A:$A,0),MATCH(Model!AD$3,QRT!$4:$4,0)+1)+INDEX(QRT!$1:$1048576,MATCH(Model!$B262,QRT!$A:$A,0),MATCH(Model!AD$3,QRT!$4:$4,0)+2)+INDEX(QRT!$1:$1048576,MATCH(Model!$B262,QRT!$A:$A,0),MATCH(Model!AD$3,QRT!$4:$4,0)+3))*4</f>
        <v>520</v>
      </c>
      <c r="AE262" s="239" cm="1">
        <f t="array" ref="AE262">(INDEX(QRT!$1:$1048576,MATCH(Model!$B262,QRT!$A:$A,0),MATCH(Model!AE$3,QRT!$4:$4,0))+INDEX(QRT!$1:$1048576,MATCH(Model!$B262,QRT!$A:$A,0),MATCH(Model!AE$3,QRT!$4:$4,0)+1)+INDEX(QRT!$1:$1048576,MATCH(Model!$B262,QRT!$A:$A,0),MATCH(Model!AE$3,QRT!$4:$4,0)+2)+INDEX(QRT!$1:$1048576,MATCH(Model!$B262,QRT!$A:$A,0),MATCH(Model!AE$3,QRT!$4:$4,0)+3))*4</f>
        <v>700</v>
      </c>
      <c r="AF262" s="7">
        <f>AF265*AF264</f>
        <v>814</v>
      </c>
      <c r="AG262" s="7">
        <f t="shared" ref="AG262:AN262" si="255">AG265*AG264</f>
        <v>936</v>
      </c>
      <c r="AH262" s="7">
        <f t="shared" si="255"/>
        <v>972</v>
      </c>
      <c r="AI262" s="7">
        <f t="shared" si="255"/>
        <v>1008</v>
      </c>
      <c r="AJ262" s="7">
        <f t="shared" si="255"/>
        <v>1032</v>
      </c>
      <c r="AK262" s="7">
        <f t="shared" si="255"/>
        <v>1056</v>
      </c>
      <c r="AL262" s="7">
        <f t="shared" si="255"/>
        <v>1080</v>
      </c>
      <c r="AM262" s="7">
        <f t="shared" si="255"/>
        <v>1104</v>
      </c>
      <c r="AN262" s="7">
        <f t="shared" si="255"/>
        <v>1128</v>
      </c>
      <c r="AO262" s="7"/>
    </row>
    <row r="263" spans="2:41" ht="15" customHeight="1" outlineLevel="2">
      <c r="E263" s="245" t="s">
        <v>308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65"/>
      <c r="Y263" s="65"/>
      <c r="Z263" s="277">
        <f t="shared" ref="Z263:AE263" si="256">(Z255-SUM(Z246:Z247))/Z262</f>
        <v>0.26539830518048346</v>
      </c>
      <c r="AA263" s="277">
        <f t="shared" si="256"/>
        <v>0.24985321497676893</v>
      </c>
      <c r="AB263" s="277">
        <f t="shared" si="256"/>
        <v>0.29123400549196998</v>
      </c>
      <c r="AC263" s="277">
        <f t="shared" si="256"/>
        <v>0.56934557317021561</v>
      </c>
      <c r="AD263" s="277">
        <f t="shared" si="256"/>
        <v>0.35749999999999998</v>
      </c>
      <c r="AE263" s="277">
        <f t="shared" si="256"/>
        <v>0.3775</v>
      </c>
      <c r="AF263" s="259">
        <v>0.4</v>
      </c>
      <c r="AG263" s="259">
        <f>AF263+0.02</f>
        <v>0.42000000000000004</v>
      </c>
      <c r="AH263" s="259">
        <f t="shared" ref="AH263:AN263" si="257">AG263+0.02</f>
        <v>0.44000000000000006</v>
      </c>
      <c r="AI263" s="259">
        <f t="shared" si="257"/>
        <v>0.46000000000000008</v>
      </c>
      <c r="AJ263" s="259">
        <f t="shared" si="257"/>
        <v>0.48000000000000009</v>
      </c>
      <c r="AK263" s="259">
        <f t="shared" si="257"/>
        <v>0.50000000000000011</v>
      </c>
      <c r="AL263" s="259">
        <f t="shared" si="257"/>
        <v>0.52000000000000013</v>
      </c>
      <c r="AM263" s="259">
        <f t="shared" si="257"/>
        <v>0.54000000000000015</v>
      </c>
      <c r="AN263" s="259">
        <f t="shared" si="257"/>
        <v>0.56000000000000016</v>
      </c>
      <c r="AO263" s="7"/>
    </row>
    <row r="264" spans="2:41" ht="15" customHeight="1" outlineLevel="2">
      <c r="B264" s="109" t="s">
        <v>377</v>
      </c>
      <c r="E264" s="70" t="s">
        <v>316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65"/>
      <c r="Y264" s="65"/>
      <c r="Z264" s="285" cm="1">
        <f t="array" ref="Z264">INDEX(QRT!$1:$1048576,MATCH(Model!$B264,QRT!$A:$A,0),MATCH(Model!Z$3,QRT!$4:$4,0))+INDEX(QRT!$1:$1048576,MATCH(Model!$B264,QRT!$A:$A,0),MATCH(Model!Z$3,QRT!$4:$4,0)+1)+INDEX(QRT!$1:$1048576,MATCH(Model!$B264,QRT!$A:$A,0),MATCH(Model!Z$3,QRT!$4:$4,0)+2)+INDEX(QRT!$1:$1048576,MATCH(Model!$B264,QRT!$A:$A,0),MATCH(Model!Z$3,QRT!$4:$4,0)+3)</f>
        <v>4</v>
      </c>
      <c r="AA264" s="285" cm="1">
        <f t="array" ref="AA264">INDEX(QRT!$1:$1048576,MATCH(Model!$B264,QRT!$A:$A,0),MATCH(Model!AA$3,QRT!$4:$4,0))+INDEX(QRT!$1:$1048576,MATCH(Model!$B264,QRT!$A:$A,0),MATCH(Model!AA$3,QRT!$4:$4,0)+1)+INDEX(QRT!$1:$1048576,MATCH(Model!$B264,QRT!$A:$A,0),MATCH(Model!AA$3,QRT!$4:$4,0)+2)+INDEX(QRT!$1:$1048576,MATCH(Model!$B264,QRT!$A:$A,0),MATCH(Model!AA$3,QRT!$4:$4,0)+3)</f>
        <v>5</v>
      </c>
      <c r="AB264" s="285" cm="1">
        <f t="array" ref="AB264">INDEX(QRT!$1:$1048576,MATCH(Model!$B264,QRT!$A:$A,0),MATCH(Model!AB$3,QRT!$4:$4,0))+INDEX(QRT!$1:$1048576,MATCH(Model!$B264,QRT!$A:$A,0),MATCH(Model!AB$3,QRT!$4:$4,0)+1)+INDEX(QRT!$1:$1048576,MATCH(Model!$B264,QRT!$A:$A,0),MATCH(Model!AB$3,QRT!$4:$4,0)+2)+INDEX(QRT!$1:$1048576,MATCH(Model!$B264,QRT!$A:$A,0),MATCH(Model!AB$3,QRT!$4:$4,0)+3)</f>
        <v>5</v>
      </c>
      <c r="AC264" s="294" cm="1">
        <f t="array" ref="AC264">INDEX(QRT!$1:$1048576,MATCH(Model!$B264,QRT!$A:$A,0),MATCH(Model!AC$3,QRT!$4:$4,0))+INDEX(QRT!$1:$1048576,MATCH(Model!$B264,QRT!$A:$A,0),MATCH(Model!AC$3,QRT!$4:$4,0)+1)+INDEX(QRT!$1:$1048576,MATCH(Model!$B264,QRT!$A:$A,0),MATCH(Model!AC$3,QRT!$4:$4,0)+2)+INDEX(QRT!$1:$1048576,MATCH(Model!$B264,QRT!$A:$A,0),MATCH(Model!AC$3,QRT!$4:$4,0)+3)</f>
        <v>9</v>
      </c>
      <c r="AD264" s="294" cm="1">
        <f t="array" ref="AD264">INDEX(QRT!$1:$1048576,MATCH(Model!$B264,QRT!$A:$A,0),MATCH(Model!AD$3,QRT!$4:$4,0))+INDEX(QRT!$1:$1048576,MATCH(Model!$B264,QRT!$A:$A,0),MATCH(Model!AD$3,QRT!$4:$4,0)+1)+INDEX(QRT!$1:$1048576,MATCH(Model!$B264,QRT!$A:$A,0),MATCH(Model!AD$3,QRT!$4:$4,0)+2)+INDEX(QRT!$1:$1048576,MATCH(Model!$B264,QRT!$A:$A,0),MATCH(Model!AD$3,QRT!$4:$4,0)+3)</f>
        <v>8</v>
      </c>
      <c r="AE264" s="294" cm="1">
        <f t="array" ref="AE264">INDEX(QRT!$1:$1048576,MATCH(Model!$B264,QRT!$A:$A,0),MATCH(Model!AE$3,QRT!$4:$4,0))+INDEX(QRT!$1:$1048576,MATCH(Model!$B264,QRT!$A:$A,0),MATCH(Model!AE$3,QRT!$4:$4,0)+1)+INDEX(QRT!$1:$1048576,MATCH(Model!$B264,QRT!$A:$A,0),MATCH(Model!AE$3,QRT!$4:$4,0)+2)+INDEX(QRT!$1:$1048576,MATCH(Model!$B264,QRT!$A:$A,0),MATCH(Model!AE$3,QRT!$4:$4,0)+3)</f>
        <v>10</v>
      </c>
      <c r="AF264" s="100">
        <f>AE264+1</f>
        <v>11</v>
      </c>
      <c r="AG264" s="100">
        <f>AF264+1</f>
        <v>12</v>
      </c>
      <c r="AH264" s="100">
        <f t="shared" ref="AH264:AN264" si="258">AG264</f>
        <v>12</v>
      </c>
      <c r="AI264" s="100">
        <f t="shared" si="258"/>
        <v>12</v>
      </c>
      <c r="AJ264" s="100">
        <f t="shared" si="258"/>
        <v>12</v>
      </c>
      <c r="AK264" s="100">
        <f t="shared" si="258"/>
        <v>12</v>
      </c>
      <c r="AL264" s="100">
        <f t="shared" si="258"/>
        <v>12</v>
      </c>
      <c r="AM264" s="100">
        <f t="shared" si="258"/>
        <v>12</v>
      </c>
      <c r="AN264" s="100">
        <f t="shared" si="258"/>
        <v>12</v>
      </c>
      <c r="AO264" s="7"/>
    </row>
    <row r="265" spans="2:41" ht="15" customHeight="1" outlineLevel="2">
      <c r="E265" s="70" t="s">
        <v>329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65"/>
      <c r="Y265" s="65"/>
      <c r="Z265" s="7">
        <f t="shared" ref="Z265:AE265" si="259">Z262/Z264</f>
        <v>40.417552752287925</v>
      </c>
      <c r="AA265" s="7">
        <f t="shared" si="259"/>
        <v>75.858939824977966</v>
      </c>
      <c r="AB265" s="7">
        <f t="shared" si="259"/>
        <v>42.779345011424219</v>
      </c>
      <c r="AC265" s="7">
        <f t="shared" si="259"/>
        <v>67.485278282751153</v>
      </c>
      <c r="AD265" s="7">
        <f t="shared" si="259"/>
        <v>65</v>
      </c>
      <c r="AE265" s="7">
        <f t="shared" si="259"/>
        <v>70</v>
      </c>
      <c r="AF265" s="79">
        <f>AE265+4</f>
        <v>74</v>
      </c>
      <c r="AG265" s="79">
        <f>AF265+4</f>
        <v>78</v>
      </c>
      <c r="AH265" s="79">
        <f>AG265+3</f>
        <v>81</v>
      </c>
      <c r="AI265" s="79">
        <f>AH265+3</f>
        <v>84</v>
      </c>
      <c r="AJ265" s="79">
        <f>AI265+2</f>
        <v>86</v>
      </c>
      <c r="AK265" s="79">
        <f>AJ265+2</f>
        <v>88</v>
      </c>
      <c r="AL265" s="79">
        <f>AK265+2</f>
        <v>90</v>
      </c>
      <c r="AM265" s="79">
        <f>AL265+2</f>
        <v>92</v>
      </c>
      <c r="AN265" s="79">
        <f>AM265+2</f>
        <v>94</v>
      </c>
      <c r="AO265" s="7"/>
    </row>
    <row r="266" spans="2:41" ht="15" customHeight="1" outlineLevel="2"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65"/>
      <c r="Y266" s="65"/>
      <c r="Z266" s="65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"/>
    </row>
    <row r="267" spans="2:41" ht="15" customHeight="1" outlineLevel="2">
      <c r="B267" s="109" t="s">
        <v>378</v>
      </c>
      <c r="E267" s="84" t="str">
        <f t="shared" ref="E267:E275" si="260">"% - "&amp;E246</f>
        <v>% - Upfront Equity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65"/>
      <c r="Y267" s="65"/>
      <c r="Z267" s="214">
        <f t="shared" ref="Z267:AE275" si="261">IFERROR(Z246/Z$255,"na")</f>
        <v>-7.6818940276422235E-3</v>
      </c>
      <c r="AA267" s="214">
        <f t="shared" si="261"/>
        <v>-0.12169711848669405</v>
      </c>
      <c r="AB267" s="214">
        <f t="shared" si="261"/>
        <v>-6.1676880949276314E-2</v>
      </c>
      <c r="AC267" s="214">
        <f t="shared" si="261"/>
        <v>-6.5647048572253187E-3</v>
      </c>
      <c r="AD267" s="214">
        <f t="shared" si="261"/>
        <v>0</v>
      </c>
      <c r="AE267" s="214">
        <f t="shared" si="261"/>
        <v>0</v>
      </c>
      <c r="AF267" s="76">
        <f>AE267</f>
        <v>0</v>
      </c>
      <c r="AG267" s="76">
        <f t="shared" ref="AG267:AN267" si="262">AF267</f>
        <v>0</v>
      </c>
      <c r="AH267" s="76">
        <f t="shared" si="262"/>
        <v>0</v>
      </c>
      <c r="AI267" s="76">
        <f t="shared" si="262"/>
        <v>0</v>
      </c>
      <c r="AJ267" s="76">
        <f t="shared" si="262"/>
        <v>0</v>
      </c>
      <c r="AK267" s="76">
        <f t="shared" si="262"/>
        <v>0</v>
      </c>
      <c r="AL267" s="76">
        <f t="shared" si="262"/>
        <v>0</v>
      </c>
      <c r="AM267" s="76">
        <f t="shared" si="262"/>
        <v>0</v>
      </c>
      <c r="AN267" s="76">
        <f t="shared" si="262"/>
        <v>0</v>
      </c>
      <c r="AO267" s="7"/>
    </row>
    <row r="268" spans="2:41" ht="15" customHeight="1" outlineLevel="2">
      <c r="B268" s="109" t="s">
        <v>379</v>
      </c>
      <c r="E268" s="84" t="str">
        <f t="shared" si="260"/>
        <v>% - Deferred &amp; contingent consideration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65"/>
      <c r="Y268" s="65"/>
      <c r="Z268" s="214">
        <f t="shared" si="261"/>
        <v>-0.34316657746434526</v>
      </c>
      <c r="AA268" s="214">
        <f t="shared" si="261"/>
        <v>-0.36970240624459028</v>
      </c>
      <c r="AB268" s="214">
        <f t="shared" si="261"/>
        <v>-0.29212848263571961</v>
      </c>
      <c r="AC268" s="214">
        <f t="shared" si="261"/>
        <v>-0.20414893196316422</v>
      </c>
      <c r="AD268" s="214">
        <f t="shared" si="261"/>
        <v>-0.2486136048683496</v>
      </c>
      <c r="AE268" s="214">
        <f t="shared" si="261"/>
        <v>-0.2486136048683496</v>
      </c>
      <c r="AF268" s="76">
        <f t="shared" ref="AF268:AN268" si="263">AE268</f>
        <v>-0.2486136048683496</v>
      </c>
      <c r="AG268" s="76">
        <f t="shared" si="263"/>
        <v>-0.2486136048683496</v>
      </c>
      <c r="AH268" s="76">
        <f t="shared" si="263"/>
        <v>-0.2486136048683496</v>
      </c>
      <c r="AI268" s="76">
        <f t="shared" si="263"/>
        <v>-0.2486136048683496</v>
      </c>
      <c r="AJ268" s="76">
        <f t="shared" si="263"/>
        <v>-0.2486136048683496</v>
      </c>
      <c r="AK268" s="76">
        <f t="shared" si="263"/>
        <v>-0.2486136048683496</v>
      </c>
      <c r="AL268" s="76">
        <f t="shared" si="263"/>
        <v>-0.2486136048683496</v>
      </c>
      <c r="AM268" s="76">
        <f t="shared" si="263"/>
        <v>-0.2486136048683496</v>
      </c>
      <c r="AN268" s="76">
        <f t="shared" si="263"/>
        <v>-0.2486136048683496</v>
      </c>
      <c r="AO268" s="7"/>
    </row>
    <row r="269" spans="2:41" ht="15" customHeight="1" outlineLevel="2">
      <c r="B269" s="109" t="s">
        <v>380</v>
      </c>
      <c r="E269" s="84" t="str">
        <f t="shared" si="260"/>
        <v>% - Non-cash NWC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65"/>
      <c r="Y269" s="65"/>
      <c r="Z269" s="214">
        <f t="shared" si="261"/>
        <v>-0.10263514151685905</v>
      </c>
      <c r="AA269" s="214">
        <f t="shared" si="261"/>
        <v>-0.10509418818752661</v>
      </c>
      <c r="AB269" s="214">
        <f t="shared" si="261"/>
        <v>7.0174294779849627E-2</v>
      </c>
      <c r="AC269" s="214">
        <f t="shared" si="261"/>
        <v>1.4295693218813682E-2</v>
      </c>
      <c r="AD269" s="214">
        <f t="shared" si="261"/>
        <v>-6.1505091281556816E-3</v>
      </c>
      <c r="AE269" s="214">
        <f t="shared" si="261"/>
        <v>-6.1505091281556816E-3</v>
      </c>
      <c r="AF269" s="76">
        <f t="shared" ref="AF269:AN269" si="264">AE269</f>
        <v>-6.1505091281556816E-3</v>
      </c>
      <c r="AG269" s="76">
        <f t="shared" si="264"/>
        <v>-6.1505091281556816E-3</v>
      </c>
      <c r="AH269" s="76">
        <f t="shared" si="264"/>
        <v>-6.1505091281556816E-3</v>
      </c>
      <c r="AI269" s="76">
        <f t="shared" si="264"/>
        <v>-6.1505091281556816E-3</v>
      </c>
      <c r="AJ269" s="76">
        <f t="shared" si="264"/>
        <v>-6.1505091281556816E-3</v>
      </c>
      <c r="AK269" s="76">
        <f t="shared" si="264"/>
        <v>-6.1505091281556816E-3</v>
      </c>
      <c r="AL269" s="76">
        <f t="shared" si="264"/>
        <v>-6.1505091281556816E-3</v>
      </c>
      <c r="AM269" s="76">
        <f t="shared" si="264"/>
        <v>-6.1505091281556816E-3</v>
      </c>
      <c r="AN269" s="76">
        <f t="shared" si="264"/>
        <v>-6.1505091281556816E-3</v>
      </c>
      <c r="AO269" s="7"/>
    </row>
    <row r="270" spans="2:41" ht="15" customHeight="1" outlineLevel="2">
      <c r="B270" s="109" t="s">
        <v>381</v>
      </c>
      <c r="E270" s="84" t="str">
        <f t="shared" si="260"/>
        <v>% - PP&amp;E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65"/>
      <c r="Y270" s="65"/>
      <c r="Z270" s="214">
        <f t="shared" si="261"/>
        <v>0.12501967698265276</v>
      </c>
      <c r="AA270" s="214">
        <f t="shared" si="261"/>
        <v>7.4374832790393905E-2</v>
      </c>
      <c r="AB270" s="214">
        <f t="shared" si="261"/>
        <v>6.5414873734080947E-3</v>
      </c>
      <c r="AC270" s="214">
        <f t="shared" si="261"/>
        <v>1.0984840379111278E-2</v>
      </c>
      <c r="AD270" s="214">
        <f t="shared" si="261"/>
        <v>2.8424414050732053E-2</v>
      </c>
      <c r="AE270" s="214">
        <f t="shared" si="261"/>
        <v>2.8424414050732053E-2</v>
      </c>
      <c r="AF270" s="76">
        <f t="shared" ref="AF270:AN270" si="265">AE270</f>
        <v>2.8424414050732053E-2</v>
      </c>
      <c r="AG270" s="76">
        <f t="shared" si="265"/>
        <v>2.8424414050732053E-2</v>
      </c>
      <c r="AH270" s="76">
        <f t="shared" si="265"/>
        <v>2.8424414050732053E-2</v>
      </c>
      <c r="AI270" s="76">
        <f t="shared" si="265"/>
        <v>2.8424414050732053E-2</v>
      </c>
      <c r="AJ270" s="76">
        <f t="shared" si="265"/>
        <v>2.8424414050732053E-2</v>
      </c>
      <c r="AK270" s="76">
        <f t="shared" si="265"/>
        <v>2.8424414050732053E-2</v>
      </c>
      <c r="AL270" s="76">
        <f t="shared" si="265"/>
        <v>2.8424414050732053E-2</v>
      </c>
      <c r="AM270" s="76">
        <f t="shared" si="265"/>
        <v>2.8424414050732053E-2</v>
      </c>
      <c r="AN270" s="76">
        <f t="shared" si="265"/>
        <v>2.8424414050732053E-2</v>
      </c>
      <c r="AO270" s="7"/>
    </row>
    <row r="271" spans="2:41" ht="15" customHeight="1" outlineLevel="2">
      <c r="B271" s="109" t="s">
        <v>382</v>
      </c>
      <c r="E271" s="84" t="str">
        <f t="shared" si="260"/>
        <v>% - ROU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65"/>
      <c r="Y271" s="65"/>
      <c r="Z271" s="214">
        <f t="shared" si="261"/>
        <v>0</v>
      </c>
      <c r="AA271" s="214">
        <f t="shared" si="261"/>
        <v>0.19109894087468329</v>
      </c>
      <c r="AB271" s="214">
        <f t="shared" si="261"/>
        <v>5.3418524796800981E-2</v>
      </c>
      <c r="AC271" s="214">
        <f t="shared" si="261"/>
        <v>2.6906862796828135E-2</v>
      </c>
      <c r="AD271" s="214">
        <f t="shared" si="261"/>
        <v>5.219979514370067E-2</v>
      </c>
      <c r="AE271" s="214">
        <f t="shared" si="261"/>
        <v>5.2199795143700656E-2</v>
      </c>
      <c r="AF271" s="76">
        <f t="shared" ref="AF271:AN271" si="266">AE271</f>
        <v>5.2199795143700656E-2</v>
      </c>
      <c r="AG271" s="76">
        <f t="shared" si="266"/>
        <v>5.2199795143700656E-2</v>
      </c>
      <c r="AH271" s="76">
        <f t="shared" si="266"/>
        <v>5.2199795143700656E-2</v>
      </c>
      <c r="AI271" s="76">
        <f t="shared" si="266"/>
        <v>5.2199795143700656E-2</v>
      </c>
      <c r="AJ271" s="76">
        <f t="shared" si="266"/>
        <v>5.2199795143700656E-2</v>
      </c>
      <c r="AK271" s="76">
        <f t="shared" si="266"/>
        <v>5.2199795143700656E-2</v>
      </c>
      <c r="AL271" s="76">
        <f t="shared" si="266"/>
        <v>5.2199795143700656E-2</v>
      </c>
      <c r="AM271" s="76">
        <f t="shared" si="266"/>
        <v>5.2199795143700656E-2</v>
      </c>
      <c r="AN271" s="76">
        <f t="shared" si="266"/>
        <v>5.2199795143700656E-2</v>
      </c>
      <c r="AO271" s="7"/>
    </row>
    <row r="272" spans="2:41" ht="15" customHeight="1" outlineLevel="2">
      <c r="B272" s="109" t="s">
        <v>383</v>
      </c>
      <c r="E272" s="84" t="str">
        <f t="shared" si="260"/>
        <v>% - Intangible assets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65"/>
      <c r="Y272" s="65"/>
      <c r="Z272" s="214">
        <f t="shared" si="261"/>
        <v>0.83984510279255731</v>
      </c>
      <c r="AA272" s="214">
        <f t="shared" si="261"/>
        <v>0.84036007113293365</v>
      </c>
      <c r="AB272" s="214">
        <f t="shared" si="261"/>
        <v>0.67438170991437396</v>
      </c>
      <c r="AC272" s="214">
        <f t="shared" si="261"/>
        <v>0.54489341659482904</v>
      </c>
      <c r="AD272" s="214">
        <f t="shared" si="261"/>
        <v>0.62476833162619738</v>
      </c>
      <c r="AE272" s="214">
        <f t="shared" si="261"/>
        <v>0.62476833162619738</v>
      </c>
      <c r="AF272" s="76">
        <f t="shared" ref="AF272:AN272" si="267">AE272</f>
        <v>0.62476833162619738</v>
      </c>
      <c r="AG272" s="76">
        <f t="shared" si="267"/>
        <v>0.62476833162619738</v>
      </c>
      <c r="AH272" s="76">
        <f t="shared" si="267"/>
        <v>0.62476833162619738</v>
      </c>
      <c r="AI272" s="76">
        <f t="shared" si="267"/>
        <v>0.62476833162619738</v>
      </c>
      <c r="AJ272" s="76">
        <f t="shared" si="267"/>
        <v>0.62476833162619738</v>
      </c>
      <c r="AK272" s="76">
        <f t="shared" si="267"/>
        <v>0.62476833162619738</v>
      </c>
      <c r="AL272" s="76">
        <f t="shared" si="267"/>
        <v>0.62476833162619738</v>
      </c>
      <c r="AM272" s="76">
        <f t="shared" si="267"/>
        <v>0.62476833162619738</v>
      </c>
      <c r="AN272" s="76">
        <f t="shared" si="267"/>
        <v>0.62476833162619738</v>
      </c>
      <c r="AO272" s="7"/>
    </row>
    <row r="273" spans="2:43" ht="15" customHeight="1" outlineLevel="2">
      <c r="B273" s="109" t="s">
        <v>384</v>
      </c>
      <c r="E273" s="84" t="str">
        <f t="shared" si="260"/>
        <v>% - Deferred tax liability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65"/>
      <c r="Y273" s="65"/>
      <c r="Z273" s="214">
        <f t="shared" si="261"/>
        <v>-2.8303371847747377E-2</v>
      </c>
      <c r="AA273" s="214">
        <f t="shared" si="261"/>
        <v>-9.9979541412901496E-2</v>
      </c>
      <c r="AB273" s="214">
        <f t="shared" si="261"/>
        <v>-0.17631590385534843</v>
      </c>
      <c r="AC273" s="214">
        <f t="shared" si="261"/>
        <v>-0.13574515704986184</v>
      </c>
      <c r="AD273" s="214">
        <f t="shared" si="261"/>
        <v>-0.12680122913779596</v>
      </c>
      <c r="AE273" s="214">
        <f t="shared" si="261"/>
        <v>-0.12680122913779593</v>
      </c>
      <c r="AF273" s="76">
        <f t="shared" ref="AF273:AN273" si="268">AE273</f>
        <v>-0.12680122913779593</v>
      </c>
      <c r="AG273" s="76">
        <f t="shared" si="268"/>
        <v>-0.12680122913779593</v>
      </c>
      <c r="AH273" s="76">
        <f t="shared" si="268"/>
        <v>-0.12680122913779593</v>
      </c>
      <c r="AI273" s="76">
        <f t="shared" si="268"/>
        <v>-0.12680122913779593</v>
      </c>
      <c r="AJ273" s="76">
        <f t="shared" si="268"/>
        <v>-0.12680122913779593</v>
      </c>
      <c r="AK273" s="76">
        <f t="shared" si="268"/>
        <v>-0.12680122913779593</v>
      </c>
      <c r="AL273" s="76">
        <f t="shared" si="268"/>
        <v>-0.12680122913779593</v>
      </c>
      <c r="AM273" s="76">
        <f t="shared" si="268"/>
        <v>-0.12680122913779593</v>
      </c>
      <c r="AN273" s="76">
        <f t="shared" si="268"/>
        <v>-0.12680122913779593</v>
      </c>
      <c r="AO273" s="7"/>
    </row>
    <row r="274" spans="2:43" ht="15" customHeight="1" outlineLevel="2">
      <c r="B274" s="109" t="s">
        <v>385</v>
      </c>
      <c r="E274" s="84" t="str">
        <f t="shared" si="260"/>
        <v>% - Lease Liability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65"/>
      <c r="Y274" s="65"/>
      <c r="Z274" s="214">
        <f t="shared" si="261"/>
        <v>-1.0043131945974875E-2</v>
      </c>
      <c r="AA274" s="214">
        <f t="shared" si="261"/>
        <v>-0.19109894087468329</v>
      </c>
      <c r="AB274" s="214">
        <f t="shared" si="261"/>
        <v>-5.330986221584736E-2</v>
      </c>
      <c r="AC274" s="214">
        <f t="shared" si="261"/>
        <v>-2.6717799296940046E-2</v>
      </c>
      <c r="AD274" s="214">
        <f t="shared" si="261"/>
        <v>-5.219979514370067E-2</v>
      </c>
      <c r="AE274" s="214">
        <f t="shared" si="261"/>
        <v>-5.2199795143700656E-2</v>
      </c>
      <c r="AF274" s="76">
        <f t="shared" ref="AF274:AN274" si="269">AE274</f>
        <v>-5.2199795143700656E-2</v>
      </c>
      <c r="AG274" s="76">
        <f t="shared" si="269"/>
        <v>-5.2199795143700656E-2</v>
      </c>
      <c r="AH274" s="76">
        <f t="shared" si="269"/>
        <v>-5.2199795143700656E-2</v>
      </c>
      <c r="AI274" s="76">
        <f t="shared" si="269"/>
        <v>-5.2199795143700656E-2</v>
      </c>
      <c r="AJ274" s="76">
        <f t="shared" si="269"/>
        <v>-5.2199795143700656E-2</v>
      </c>
      <c r="AK274" s="76">
        <f t="shared" si="269"/>
        <v>-5.2199795143700656E-2</v>
      </c>
      <c r="AL274" s="76">
        <f t="shared" si="269"/>
        <v>-5.2199795143700656E-2</v>
      </c>
      <c r="AM274" s="76">
        <f t="shared" si="269"/>
        <v>-5.2199795143700656E-2</v>
      </c>
      <c r="AN274" s="76">
        <f t="shared" si="269"/>
        <v>-5.2199795143700656E-2</v>
      </c>
      <c r="AO274" s="7"/>
    </row>
    <row r="275" spans="2:43" ht="15" customHeight="1" outlineLevel="2">
      <c r="B275" s="109" t="s">
        <v>386</v>
      </c>
      <c r="E275" s="84" t="str">
        <f t="shared" si="260"/>
        <v>% - Goodwill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65"/>
      <c r="Y275" s="65"/>
      <c r="Z275" s="214">
        <f t="shared" si="261"/>
        <v>0.52696533702735882</v>
      </c>
      <c r="AA275" s="214">
        <f t="shared" si="261"/>
        <v>0.78173835040838502</v>
      </c>
      <c r="AB275" s="214">
        <f t="shared" si="261"/>
        <v>0.77891511279175918</v>
      </c>
      <c r="AC275" s="214">
        <f t="shared" si="261"/>
        <v>0.77609578017760916</v>
      </c>
      <c r="AD275" s="214">
        <f t="shared" si="261"/>
        <v>0.72837259745737171</v>
      </c>
      <c r="AE275" s="214">
        <f t="shared" si="261"/>
        <v>0.72837259745737171</v>
      </c>
      <c r="AF275" s="76">
        <f>1-SUM(AF267:AF274)</f>
        <v>0.72837259745737182</v>
      </c>
      <c r="AG275" s="76">
        <f t="shared" ref="AG275:AN275" si="270">1-SUM(AG267:AG274)</f>
        <v>0.72837259745737182</v>
      </c>
      <c r="AH275" s="76">
        <f t="shared" si="270"/>
        <v>0.72837259745737182</v>
      </c>
      <c r="AI275" s="76">
        <f t="shared" si="270"/>
        <v>0.72837259745737182</v>
      </c>
      <c r="AJ275" s="76">
        <f t="shared" si="270"/>
        <v>0.72837259745737182</v>
      </c>
      <c r="AK275" s="76">
        <f t="shared" si="270"/>
        <v>0.72837259745737182</v>
      </c>
      <c r="AL275" s="76">
        <f t="shared" si="270"/>
        <v>0.72837259745737182</v>
      </c>
      <c r="AM275" s="76">
        <f t="shared" si="270"/>
        <v>0.72837259745737182</v>
      </c>
      <c r="AN275" s="76">
        <f t="shared" si="270"/>
        <v>0.72837259745737182</v>
      </c>
      <c r="AO275" s="7"/>
    </row>
    <row r="276" spans="2:43" outlineLevel="1">
      <c r="E276" s="36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C276" s="7"/>
      <c r="AQ276" s="1"/>
    </row>
    <row r="277" spans="2:43">
      <c r="E277" s="36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C277" s="7"/>
      <c r="AQ277" s="1"/>
    </row>
    <row r="278" spans="2:43">
      <c r="C278" s="141" t="s">
        <v>164</v>
      </c>
      <c r="D278" s="52" t="s">
        <v>164</v>
      </c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</row>
    <row r="279" spans="2:43">
      <c r="D279" s="104"/>
      <c r="E279" s="105" t="s">
        <v>190</v>
      </c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  <c r="AA279" s="104"/>
      <c r="AB279" s="181"/>
      <c r="AC279" s="104"/>
      <c r="AD279" s="104"/>
      <c r="AE279" s="104"/>
      <c r="AF279" s="104"/>
      <c r="AG279" s="104"/>
      <c r="AH279" s="104"/>
      <c r="AI279" s="104"/>
      <c r="AJ279" s="104"/>
      <c r="AK279" s="104"/>
      <c r="AL279" s="104"/>
      <c r="AM279" s="104"/>
      <c r="AN279" s="104"/>
    </row>
    <row r="280" spans="2:43" ht="5.0999999999999996" customHeight="1">
      <c r="C280" s="142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7"/>
      <c r="AP280" s="1"/>
    </row>
    <row r="281" spans="2:43" outlineLevel="1">
      <c r="E281" s="36" t="s">
        <v>165</v>
      </c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>
        <f>+SUM(Z148:Z152)</f>
        <v>-4.5040000000000013</v>
      </c>
      <c r="AA281" s="89">
        <f t="shared" ref="AA281:AN281" si="271">+SUM(AA148:AA152)</f>
        <v>-9.877000000000006</v>
      </c>
      <c r="AB281" s="89">
        <f t="shared" si="271"/>
        <v>101.74700000000003</v>
      </c>
      <c r="AC281" s="89">
        <f t="shared" si="271"/>
        <v>607.9060382877966</v>
      </c>
      <c r="AD281" s="89">
        <f t="shared" si="271"/>
        <v>629.91845380210725</v>
      </c>
      <c r="AE281" s="89">
        <f t="shared" si="271"/>
        <v>680.52402717320319</v>
      </c>
      <c r="AF281" s="89">
        <f t="shared" ca="1" si="271"/>
        <v>768.93994948755949</v>
      </c>
      <c r="AG281" s="89">
        <f t="shared" ca="1" si="271"/>
        <v>903.31755587466716</v>
      </c>
      <c r="AH281" s="89">
        <f t="shared" ca="1" si="271"/>
        <v>1094.3217298501272</v>
      </c>
      <c r="AI281" s="89">
        <f t="shared" ca="1" si="271"/>
        <v>1353.8112078913978</v>
      </c>
      <c r="AJ281" s="89">
        <f t="shared" ca="1" si="271"/>
        <v>1687.9465975076128</v>
      </c>
      <c r="AK281" s="89">
        <f t="shared" ca="1" si="271"/>
        <v>2106.5109169204575</v>
      </c>
      <c r="AL281" s="89">
        <f t="shared" ca="1" si="271"/>
        <v>2615.2407603727988</v>
      </c>
      <c r="AM281" s="89">
        <f t="shared" ca="1" si="271"/>
        <v>3222.7615670404721</v>
      </c>
      <c r="AN281" s="89">
        <f t="shared" ca="1" si="271"/>
        <v>3932.3043605743214</v>
      </c>
      <c r="AP281" s="1"/>
    </row>
    <row r="282" spans="2:43" outlineLevel="1">
      <c r="E282" s="36" t="s">
        <v>166</v>
      </c>
      <c r="H282" s="315"/>
      <c r="I282" s="315"/>
      <c r="J282" s="315"/>
      <c r="K282" s="315"/>
      <c r="L282" s="315"/>
      <c r="M282" s="315"/>
      <c r="N282" s="315"/>
      <c r="O282" s="315"/>
      <c r="P282" s="315"/>
      <c r="Q282" s="315"/>
      <c r="R282" s="315"/>
      <c r="S282" s="315"/>
      <c r="T282" s="315"/>
      <c r="U282" s="315"/>
      <c r="V282" s="315"/>
      <c r="W282" s="315"/>
      <c r="X282" s="315"/>
      <c r="Y282" s="315"/>
      <c r="Z282" s="315">
        <f>+Z281/Z88</f>
        <v>-7.0007460830639162E-2</v>
      </c>
      <c r="AA282" s="315">
        <f t="shared" ref="AA282:AN282" si="272">+AA281/AA88</f>
        <v>-0.12759168593610734</v>
      </c>
      <c r="AB282" s="315">
        <f t="shared" si="272"/>
        <v>0.98831471588149611</v>
      </c>
      <c r="AC282" s="315">
        <f t="shared" si="272"/>
        <v>3.2898775347962204</v>
      </c>
      <c r="AD282" s="315">
        <f t="shared" si="272"/>
        <v>3.1469331105321365</v>
      </c>
      <c r="AE282" s="315">
        <f t="shared" si="272"/>
        <v>3.3997473493558101</v>
      </c>
      <c r="AF282" s="315">
        <f t="shared" ca="1" si="272"/>
        <v>3.8414537190452038</v>
      </c>
      <c r="AG282" s="315">
        <f t="shared" ca="1" si="272"/>
        <v>4.5127744849335665</v>
      </c>
      <c r="AH282" s="315">
        <f t="shared" ca="1" si="272"/>
        <v>5.466989043508871</v>
      </c>
      <c r="AI282" s="315">
        <f t="shared" ca="1" si="272"/>
        <v>6.7633410162982166</v>
      </c>
      <c r="AJ282" s="315">
        <f t="shared" ca="1" si="272"/>
        <v>8.4326074342561164</v>
      </c>
      <c r="AK282" s="315">
        <f t="shared" ca="1" si="272"/>
        <v>10.523662090136122</v>
      </c>
      <c r="AL282" s="315">
        <f t="shared" ca="1" si="272"/>
        <v>13.065163738504957</v>
      </c>
      <c r="AM282" s="315">
        <f t="shared" ca="1" si="272"/>
        <v>16.100203163529176</v>
      </c>
      <c r="AN282" s="315">
        <f t="shared" ca="1" si="272"/>
        <v>19.644921843913501</v>
      </c>
    </row>
    <row r="283" spans="2:43" outlineLevel="1">
      <c r="E283" s="36" t="s">
        <v>203</v>
      </c>
      <c r="H283" s="315"/>
      <c r="I283" s="315"/>
      <c r="J283" s="315"/>
      <c r="K283" s="315"/>
      <c r="L283" s="315"/>
      <c r="M283" s="315"/>
      <c r="N283" s="315"/>
      <c r="O283" s="315"/>
      <c r="P283" s="315"/>
      <c r="Q283" s="315"/>
      <c r="R283" s="315"/>
      <c r="S283" s="315"/>
      <c r="T283" s="315"/>
      <c r="U283" s="315"/>
      <c r="V283" s="315"/>
      <c r="W283" s="315"/>
      <c r="X283" s="315"/>
      <c r="Y283" s="315"/>
      <c r="Z283" s="315">
        <f>(Z281-Z126)/Z88</f>
        <v>-0.29883735389206667</v>
      </c>
      <c r="AA283" s="315">
        <f t="shared" ref="AA283:AN283" si="273">(AA281-AA126)/AA88</f>
        <v>-0.49495549728074828</v>
      </c>
      <c r="AB283" s="315">
        <f t="shared" si="273"/>
        <v>0.35920349684312802</v>
      </c>
      <c r="AC283" s="315">
        <f t="shared" si="273"/>
        <v>2.1640027814060585</v>
      </c>
      <c r="AD283" s="315">
        <f t="shared" si="273"/>
        <v>2.3471884411757253</v>
      </c>
      <c r="AE283" s="315">
        <f t="shared" si="273"/>
        <v>2.6443974984949166</v>
      </c>
      <c r="AF283" s="315">
        <f t="shared" ca="1" si="273"/>
        <v>3.2236156330755596</v>
      </c>
      <c r="AG283" s="315">
        <f t="shared" ca="1" si="273"/>
        <v>4.0179413099961323</v>
      </c>
      <c r="AH283" s="315">
        <f t="shared" ca="1" si="273"/>
        <v>4.8305599514959328</v>
      </c>
      <c r="AI283" s="315">
        <f t="shared" ca="1" si="273"/>
        <v>5.9723893276294051</v>
      </c>
      <c r="AJ283" s="315">
        <f t="shared" ca="1" si="273"/>
        <v>7.312131528046109</v>
      </c>
      <c r="AK283" s="315">
        <f t="shared" ca="1" si="273"/>
        <v>8.8345447291784343</v>
      </c>
      <c r="AL283" s="315">
        <f t="shared" ca="1" si="273"/>
        <v>10.587514035543744</v>
      </c>
      <c r="AM283" s="315">
        <f t="shared" ca="1" si="273"/>
        <v>11.926208189815707</v>
      </c>
      <c r="AN283" s="315">
        <f t="shared" ca="1" si="273"/>
        <v>13.336501135395217</v>
      </c>
    </row>
    <row r="284" spans="2:43" outlineLevel="1">
      <c r="E284" s="36" t="s">
        <v>232</v>
      </c>
      <c r="H284" s="315"/>
      <c r="I284" s="315"/>
      <c r="J284" s="315"/>
      <c r="K284" s="315"/>
      <c r="L284" s="315"/>
      <c r="M284" s="315"/>
      <c r="N284" s="315"/>
      <c r="O284" s="315"/>
      <c r="P284" s="315"/>
      <c r="Q284" s="315"/>
      <c r="R284" s="315"/>
      <c r="S284" s="315"/>
      <c r="T284" s="315"/>
      <c r="U284" s="315"/>
      <c r="V284" s="315"/>
      <c r="W284" s="315"/>
      <c r="X284" s="315"/>
      <c r="Y284" s="315"/>
      <c r="Z284" s="315">
        <f>Z90/Z282</f>
        <v>0</v>
      </c>
      <c r="AA284" s="315">
        <f t="shared" ref="AA284:AN284" si="274">AA90/AA282</f>
        <v>0</v>
      </c>
      <c r="AB284" s="315">
        <f t="shared" si="274"/>
        <v>0</v>
      </c>
      <c r="AC284" s="315">
        <f t="shared" si="274"/>
        <v>2.750862275048354</v>
      </c>
      <c r="AD284" s="315">
        <f t="shared" si="274"/>
        <v>2.8758158124529296</v>
      </c>
      <c r="AE284" s="315">
        <f t="shared" si="274"/>
        <v>2.6619625136893803</v>
      </c>
      <c r="AF284" s="315">
        <f t="shared" ca="1" si="274"/>
        <v>2.355878961949172</v>
      </c>
      <c r="AG284" s="315">
        <f t="shared" ca="1" si="274"/>
        <v>2.0054181812573395</v>
      </c>
      <c r="AH284" s="315">
        <f t="shared" ca="1" si="274"/>
        <v>1.6553901842450831</v>
      </c>
      <c r="AI284" s="315">
        <f t="shared" ca="1" si="274"/>
        <v>1.3380960649760851</v>
      </c>
      <c r="AJ284" s="315">
        <f t="shared" ca="1" si="274"/>
        <v>1.0732149066059717</v>
      </c>
      <c r="AK284" s="315">
        <f t="shared" ca="1" si="274"/>
        <v>0.85996679886582528</v>
      </c>
      <c r="AL284" s="315">
        <f t="shared" ca="1" si="274"/>
        <v>0.69268171307553694</v>
      </c>
      <c r="AM284" s="315">
        <f t="shared" ca="1" si="274"/>
        <v>0.56210470812569757</v>
      </c>
      <c r="AN284" s="315">
        <f t="shared" ca="1" si="274"/>
        <v>0.46067884982723523</v>
      </c>
    </row>
    <row r="285" spans="2:43" outlineLevel="1">
      <c r="E285" s="36" t="s">
        <v>25</v>
      </c>
      <c r="H285" s="315"/>
      <c r="I285" s="315"/>
      <c r="J285" s="315"/>
      <c r="K285" s="315"/>
      <c r="L285" s="315"/>
      <c r="M285" s="315"/>
      <c r="N285" s="315"/>
      <c r="O285" s="315"/>
      <c r="P285" s="315"/>
      <c r="Q285" s="315"/>
      <c r="R285" s="315"/>
      <c r="S285" s="315"/>
      <c r="T285" s="315"/>
      <c r="U285" s="315"/>
      <c r="V285" s="315"/>
      <c r="W285" s="315"/>
      <c r="X285" s="315"/>
      <c r="Y285" s="315"/>
      <c r="Z285" s="315">
        <f>+Z92</f>
        <v>-0.28344939069883135</v>
      </c>
      <c r="AA285" s="315">
        <f t="shared" ref="AA285:AN285" si="275">+AA92</f>
        <v>-0.14003177842942091</v>
      </c>
      <c r="AB285" s="315">
        <f t="shared" si="275"/>
        <v>-4.0553666828558182E-2</v>
      </c>
      <c r="AC285" s="315">
        <f t="shared" si="275"/>
        <v>5.0389655241667358E-2</v>
      </c>
      <c r="AD285" s="315">
        <f t="shared" si="275"/>
        <v>0.10996915363673047</v>
      </c>
      <c r="AE285" s="315">
        <f t="shared" si="275"/>
        <v>0.25281423882367515</v>
      </c>
      <c r="AF285" s="315">
        <f t="shared" ca="1" si="275"/>
        <v>0.4417063696893937</v>
      </c>
      <c r="AG285" s="315">
        <f t="shared" ca="1" si="275"/>
        <v>0.67132076588836254</v>
      </c>
      <c r="AH285" s="315">
        <f t="shared" ca="1" si="275"/>
        <v>0.9542145585753038</v>
      </c>
      <c r="AI285" s="315">
        <f t="shared" ca="1" si="275"/>
        <v>1.2963519727893467</v>
      </c>
      <c r="AJ285" s="315">
        <f t="shared" ca="1" si="275"/>
        <v>1.6692664179578987</v>
      </c>
      <c r="AK285" s="315">
        <f t="shared" ca="1" si="275"/>
        <v>2.0910546558800043</v>
      </c>
      <c r="AL285" s="315">
        <f ca="1">+AL92</f>
        <v>2.5415016483688357</v>
      </c>
      <c r="AM285" s="315">
        <f t="shared" ca="1" si="275"/>
        <v>3.0350394250242196</v>
      </c>
      <c r="AN285" s="315">
        <f t="shared" ca="1" si="275"/>
        <v>3.5447186803843218</v>
      </c>
    </row>
    <row r="286" spans="2:43" outlineLevel="1">
      <c r="E286" s="36" t="s">
        <v>1</v>
      </c>
      <c r="H286" s="316"/>
      <c r="I286" s="316"/>
      <c r="J286" s="316"/>
      <c r="K286" s="316"/>
      <c r="L286" s="316"/>
      <c r="M286" s="316"/>
      <c r="N286" s="316"/>
      <c r="O286" s="316"/>
      <c r="P286" s="316"/>
      <c r="Q286" s="316"/>
      <c r="R286" s="316"/>
      <c r="S286" s="316"/>
      <c r="T286" s="316"/>
      <c r="U286" s="316"/>
      <c r="V286" s="316"/>
      <c r="W286" s="316"/>
      <c r="X286" s="316"/>
      <c r="Y286" s="316"/>
      <c r="Z286" s="101">
        <f t="shared" ref="Z286:AN286" si="276">+Z285/AVERAGE(Y282:Z282)</f>
        <v>4.0488454706927195</v>
      </c>
      <c r="AA286" s="101">
        <f t="shared" si="276"/>
        <v>1.4173318126188035</v>
      </c>
      <c r="AB286" s="101">
        <f t="shared" si="276"/>
        <v>-9.4231629496729599E-2</v>
      </c>
      <c r="AC286" s="101">
        <f t="shared" si="276"/>
        <v>2.3556517467715501E-2</v>
      </c>
      <c r="AD286" s="101">
        <f t="shared" si="276"/>
        <v>3.4168832888238763E-2</v>
      </c>
      <c r="AE286" s="101">
        <f t="shared" si="276"/>
        <v>7.7234329786733572E-2</v>
      </c>
      <c r="AF286" s="101">
        <f t="shared" ca="1" si="276"/>
        <v>0.12199809548636945</v>
      </c>
      <c r="AG286" s="101">
        <f t="shared" ca="1" si="276"/>
        <v>0.16071401199422358</v>
      </c>
      <c r="AH286" s="101">
        <f t="shared" ca="1" si="276"/>
        <v>0.19122989354522915</v>
      </c>
      <c r="AI286" s="101">
        <f t="shared" ca="1" si="276"/>
        <v>0.21198969552744751</v>
      </c>
      <c r="AJ286" s="101">
        <f t="shared" ca="1" si="276"/>
        <v>0.21969887873593116</v>
      </c>
      <c r="AK286" s="101">
        <f t="shared" ca="1" si="276"/>
        <v>0.22061879350146515</v>
      </c>
      <c r="AL286" s="101">
        <f t="shared" ca="1" si="276"/>
        <v>0.21548352315891836</v>
      </c>
      <c r="AM286" s="101">
        <f t="shared" ca="1" si="276"/>
        <v>0.20812626394990019</v>
      </c>
      <c r="AN286" s="101">
        <f t="shared" ca="1" si="276"/>
        <v>0.19833298552718767</v>
      </c>
    </row>
    <row r="287" spans="2:43" outlineLevel="1">
      <c r="E287" s="36" t="s">
        <v>204</v>
      </c>
      <c r="H287" s="316"/>
      <c r="I287" s="316"/>
      <c r="J287" s="316"/>
      <c r="K287" s="316"/>
      <c r="L287" s="316"/>
      <c r="M287" s="316"/>
      <c r="N287" s="316"/>
      <c r="O287" s="316"/>
      <c r="P287" s="316"/>
      <c r="Q287" s="316"/>
      <c r="R287" s="316"/>
      <c r="S287" s="316"/>
      <c r="T287" s="316"/>
      <c r="U287" s="316"/>
      <c r="V287" s="316"/>
      <c r="W287" s="316"/>
      <c r="X287" s="316"/>
      <c r="Y287" s="316"/>
      <c r="Z287" s="101">
        <f t="shared" ref="Z287:AN287" si="277">+Z285/AVERAGE(Y283:Z283)</f>
        <v>0.94850722979298929</v>
      </c>
      <c r="AA287" s="101">
        <f t="shared" si="277"/>
        <v>0.35281693006563719</v>
      </c>
      <c r="AB287" s="101">
        <f t="shared" si="277"/>
        <v>0.59746694999449534</v>
      </c>
      <c r="AC287" s="101">
        <f t="shared" si="277"/>
        <v>3.9940971672464257E-2</v>
      </c>
      <c r="AD287" s="101">
        <f t="shared" si="277"/>
        <v>4.8753931372385678E-2</v>
      </c>
      <c r="AE287" s="101">
        <f t="shared" si="277"/>
        <v>0.10129615792625479</v>
      </c>
      <c r="AF287" s="101">
        <f t="shared" ca="1" si="277"/>
        <v>0.15054716469974166</v>
      </c>
      <c r="AG287" s="101">
        <f t="shared" ca="1" si="277"/>
        <v>0.185407853909274</v>
      </c>
      <c r="AH287" s="101">
        <f t="shared" ca="1" si="277"/>
        <v>0.21567823304223632</v>
      </c>
      <c r="AI287" s="101">
        <f t="shared" ca="1" si="277"/>
        <v>0.23999964070817259</v>
      </c>
      <c r="AJ287" s="101">
        <f t="shared" ca="1" si="277"/>
        <v>0.25130999244805163</v>
      </c>
      <c r="AK287" s="101">
        <f t="shared" ca="1" si="277"/>
        <v>0.25900744184976138</v>
      </c>
      <c r="AL287" s="101">
        <f t="shared" ca="1" si="277"/>
        <v>0.26171289863309094</v>
      </c>
      <c r="AM287" s="101">
        <f t="shared" ca="1" si="277"/>
        <v>0.26961684919480366</v>
      </c>
      <c r="AN287" s="101">
        <f t="shared" ca="1" si="277"/>
        <v>0.28062854500303885</v>
      </c>
    </row>
    <row r="288" spans="2:43" outlineLevel="1">
      <c r="E288" s="36" t="s">
        <v>167</v>
      </c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>
        <f>AVERAGE(SUM(Z148:Z152,Z181,Z145,Z138),SUM(Y148:Y152,Y181,Y145,Y138))</f>
        <v>60.706499999999998</v>
      </c>
      <c r="AA288" s="89">
        <f>AVERAGE(SUM(AA148:AA152,AA181,AA145,AA138),SUM(Z148:Z152,Z181,Z145,Z138))</f>
        <v>130.26949999999999</v>
      </c>
      <c r="AB288" s="89">
        <f>AVERAGE(SUM(AB148:AB152,AB181,AB145,AB138),SUM(AA148:AA152,AA181,AA145,AA138))</f>
        <v>215.84100000000001</v>
      </c>
      <c r="AC288" s="89">
        <f t="shared" ref="AC288:AN288" si="278">AVERAGE(SUM(AC148:AC152,AC181,AC145,AC138),SUM(AB148:AB152,AB181,AB145,AB138))</f>
        <v>457.2726742434262</v>
      </c>
      <c r="AD288" s="89">
        <f t="shared" si="278"/>
        <v>705.38290899293588</v>
      </c>
      <c r="AE288" s="89">
        <f t="shared" si="278"/>
        <v>847.97470732744159</v>
      </c>
      <c r="AF288" s="89">
        <f t="shared" ca="1" si="278"/>
        <v>1052.7726141249609</v>
      </c>
      <c r="AG288" s="89">
        <f t="shared" ca="1" si="278"/>
        <v>1301.5696718876613</v>
      </c>
      <c r="AH288" s="89">
        <f t="shared" ca="1" si="278"/>
        <v>1619.0586162148561</v>
      </c>
      <c r="AI288" s="89">
        <f t="shared" ca="1" si="278"/>
        <v>1989.3313612277361</v>
      </c>
      <c r="AJ288" s="89">
        <f t="shared" ca="1" si="278"/>
        <v>2401.4147029192836</v>
      </c>
      <c r="AK288" s="89">
        <f t="shared" ca="1" si="278"/>
        <v>2876.2579495509613</v>
      </c>
      <c r="AL288" s="89">
        <f t="shared" ca="1" si="278"/>
        <v>3419.039202687537</v>
      </c>
      <c r="AM288" s="89">
        <f t="shared" ca="1" si="278"/>
        <v>4097.7108078857709</v>
      </c>
      <c r="AN288" s="89">
        <f t="shared" ca="1" si="278"/>
        <v>4934.165772633316</v>
      </c>
    </row>
    <row r="289" spans="3:42" outlineLevel="1">
      <c r="E289" s="36" t="s">
        <v>205</v>
      </c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>
        <f>Z288-AVERAGE(Z126,Y126)</f>
        <v>48.277500000000003</v>
      </c>
      <c r="AA289" s="89">
        <f t="shared" ref="AA289:AN289" si="279">AA288-AVERAGE(AA126,Z126)</f>
        <v>108.6895</v>
      </c>
      <c r="AB289" s="89">
        <f t="shared" si="279"/>
        <v>169.23850000000002</v>
      </c>
      <c r="AC289" s="89">
        <f t="shared" si="279"/>
        <v>320.86918357467664</v>
      </c>
      <c r="AD289" s="89">
        <f t="shared" si="279"/>
        <v>521.32087296398458</v>
      </c>
      <c r="AE289" s="89">
        <f t="shared" si="279"/>
        <v>692.3338498187527</v>
      </c>
      <c r="AF289" s="89">
        <f t="shared" ca="1" si="279"/>
        <v>915.33778606124497</v>
      </c>
      <c r="AG289" s="89">
        <f t="shared" ca="1" si="279"/>
        <v>1190.2085250754069</v>
      </c>
      <c r="AH289" s="89">
        <f t="shared" ca="1" si="279"/>
        <v>1505.8367978582617</v>
      </c>
      <c r="AI289" s="89">
        <f t="shared" ca="1" si="279"/>
        <v>1846.4726694835936</v>
      </c>
      <c r="AJ289" s="89">
        <f t="shared" ca="1" si="279"/>
        <v>2210.1104277996342</v>
      </c>
      <c r="AK289" s="89">
        <f t="shared" ca="1" si="279"/>
        <v>2595.0612122031157</v>
      </c>
      <c r="AL289" s="89">
        <f t="shared" ca="1" si="279"/>
        <v>3002.0104044787458</v>
      </c>
      <c r="AM289" s="89">
        <f t="shared" ca="1" si="279"/>
        <v>3431.9842762431235</v>
      </c>
      <c r="AN289" s="89">
        <f t="shared" ca="1" si="279"/>
        <v>3885.0384402849922</v>
      </c>
    </row>
    <row r="290" spans="3:42" outlineLevel="1">
      <c r="E290" s="36" t="s">
        <v>55</v>
      </c>
      <c r="H290" s="317"/>
      <c r="I290" s="317"/>
      <c r="J290" s="317"/>
      <c r="K290" s="317"/>
      <c r="L290" s="317"/>
      <c r="M290" s="317"/>
      <c r="N290" s="317"/>
      <c r="O290" s="317"/>
      <c r="P290" s="317"/>
      <c r="Q290" s="317"/>
      <c r="R290" s="317"/>
      <c r="S290" s="317"/>
      <c r="T290" s="317"/>
      <c r="U290" s="317"/>
      <c r="V290" s="317"/>
      <c r="W290" s="317"/>
      <c r="X290" s="317"/>
      <c r="Y290" s="317"/>
      <c r="Z290" s="317">
        <f>+(IF(SUM(Z77:Z78)&gt;0,Z73,IF(ABS(SUM(Z79:Z80))&gt;0.5,Z73*(1-DCF!$C$31),Z73*(1-SUM(Z79:Z80))))/AVERAGE(Y288:Z288))</f>
        <v>-0.15491947640288933</v>
      </c>
      <c r="AA290" s="317">
        <f>+(IF(SUM(AA77:AA78)&gt;0,AA73,IF(ABS(SUM(AA79:AA80))&gt;0.5,AA73*(1-DCF!$C$31),AA73*(1-SUM(AA79:AA80))))/AVERAGE(Z288:AA288))</f>
        <v>3.4234668230564029E-2</v>
      </c>
      <c r="AB290" s="317">
        <f>+(IF(SUM(AB77:AB78)&gt;0,AB73,IF(ABS(SUM(AB79:AB80))&gt;0.5,AB73*(1-DCF!$C$31),AB73*(1-SUM(AB79:AB80))))/AVERAGE(AA288:AB288))</f>
        <v>7.5409211797965975E-2</v>
      </c>
      <c r="AC290" s="317">
        <f>+(IF(SUM(AC77:AC78)&gt;0,AC73,IF(ABS(SUM(AC79:AC80))&gt;0.5,AC73*(1-DCF!$C$31),AC73*(1-SUM(AC79:AC80))))/AVERAGE(AB288:AC288))</f>
        <v>4.2908941576497744E-2</v>
      </c>
      <c r="AD290" s="317">
        <f>+(IF(SUM(AD77:AD78)&gt;0,AD73,IF(ABS(SUM(AD79:AD80))&gt;0.5,AD73*(1-DCF!$C$31),AD73*(1-SUM(AD79:AD80))))/AVERAGE(AC288:AD288))</f>
        <v>4.9003909258736378E-2</v>
      </c>
      <c r="AE290" s="317">
        <f>+(IF(SUM(AE77:AE78)&gt;0,AE73,IF(ABS(SUM(AE79:AE80))&gt;0.5,AE73*(1-DCF!$C$31),AE73*(1-SUM(AE79:AE80))))/AVERAGE(AD288:AE288))</f>
        <v>7.794500665806002E-2</v>
      </c>
      <c r="AF290" s="317">
        <f ca="1">+(IF(SUM(AF77:AF78)&gt;0,AF73,IF(ABS(SUM(AF79:AF80))&gt;0.5,AF73*(1-DCF!$C$31),AF73*(1-SUM(AF79:AF80))))/AVERAGE(AE288:AF288))</f>
        <v>0.10967538270358064</v>
      </c>
      <c r="AG290" s="317">
        <f ca="1">+(IF(SUM(AG77:AG78)&gt;0,AG73,IF(ABS(SUM(AG79:AG80))&gt;0.5,AG73*(1-DCF!$C$31),AG73*(1-SUM(AG79:AG80))))/AVERAGE(AF288:AG288))</f>
        <v>0.13232808949632927</v>
      </c>
      <c r="AH290" s="317">
        <f ca="1">+(IF(SUM(AH77:AH78)&gt;0,AH73,IF(ABS(SUM(AH79:AH80))&gt;0.5,AH73*(1-DCF!$C$31),AH73*(1-SUM(AH79:AH80))))/AVERAGE(AG288:AH288))</f>
        <v>0.14949828121448111</v>
      </c>
      <c r="AI290" s="317">
        <f ca="1">+(IF(SUM(AI77:AI78)&gt;0,AI73,IF(ABS(SUM(AI79:AI80))&gt;0.5,AI73*(1-DCF!$C$31),AI73*(1-SUM(AI79:AI80))))/AVERAGE(AH288:AI288))</f>
        <v>0.16201173828037832</v>
      </c>
      <c r="AJ290" s="317">
        <f ca="1">+(IF(SUM(AJ77:AJ78)&gt;0,AJ73,IF(ABS(SUM(AJ79:AJ80))&gt;0.5,AJ73*(1-DCF!$C$31),AJ73*(1-SUM(AJ79:AJ80))))/AVERAGE(AI288:AJ288))</f>
        <v>0.16914996952702854</v>
      </c>
      <c r="AK290" s="317">
        <f ca="1">+(IF(SUM(AK77:AK78)&gt;0,AK73,IF(ABS(SUM(AK79:AK80))&gt;0.5,AK73*(1-DCF!$C$31),AK73*(1-SUM(AK79:AK80))))/AVERAGE(AJ288:AK288))</f>
        <v>0.1741541303703526</v>
      </c>
      <c r="AL290" s="317">
        <f ca="1">+(IF(SUM(AL77:AL78)&gt;0,AL73,IF(ABS(SUM(AL79:AL80))&gt;0.5,AL73*(1-DCF!$C$31),AL73*(1-SUM(AL79:AL80))))/AVERAGE(AK288:AL288))</f>
        <v>0.17563542306253094</v>
      </c>
      <c r="AM290" s="317">
        <f ca="1">+(IF(SUM(AM77:AM78)&gt;0,AM73,IF(ABS(SUM(AM79:AM80))&gt;0.5,AM73*(1-DCF!$C$31),AM73*(1-SUM(AM79:AM80))))/AVERAGE(AL288:AM288))</f>
        <v>0.17458409187580892</v>
      </c>
      <c r="AN290" s="317">
        <f ca="1">+(IF(SUM(AN77:AN78)&gt;0,AN73,IF(ABS(SUM(AN79:AN80))&gt;0.5,AN73*(1-DCF!$C$31),AN73*(1-SUM(AN79:AN80))))/AVERAGE(AM288:AN288))</f>
        <v>0.16932446439201132</v>
      </c>
    </row>
    <row r="291" spans="3:42" outlineLevel="1">
      <c r="E291" s="36" t="s">
        <v>199</v>
      </c>
      <c r="F291" s="95"/>
      <c r="G291" s="95"/>
      <c r="H291" s="318"/>
      <c r="I291" s="318"/>
      <c r="J291" s="318"/>
      <c r="K291" s="318"/>
      <c r="L291" s="318"/>
      <c r="M291" s="318"/>
      <c r="N291" s="318"/>
      <c r="O291" s="318"/>
      <c r="P291" s="318"/>
      <c r="Q291" s="318"/>
      <c r="R291" s="318"/>
      <c r="S291" s="318"/>
      <c r="T291" s="318"/>
      <c r="U291" s="318"/>
      <c r="V291" s="318"/>
      <c r="W291" s="318"/>
      <c r="X291" s="318"/>
      <c r="Y291" s="318"/>
      <c r="Z291" s="317">
        <f>+(IF(SUM(Z77:Z78)&gt;0,Z73,IF(ABS(SUM(Z79:Z80))&gt;0.5,Z73*(1-DCF!$C$31),Z73*(1-SUM(Z79:Z80))))/AVERAGE(Y289:Z289))</f>
        <v>-0.1948033596240899</v>
      </c>
      <c r="AA291" s="317">
        <f>+(IF(SUM(AA77:AA78)&gt;0,AA73,IF(ABS(SUM(AA79:AA80))&gt;0.5,AA73*(1-DCF!$C$31),AA73*(1-SUM(AA79:AA80))))/AVERAGE(Z289:AA289))</f>
        <v>4.1652066994974715E-2</v>
      </c>
      <c r="AB291" s="317">
        <f>+(IF(SUM(AB77:AB78)&gt;0,AB73,IF(ABS(SUM(AB79:AB80))&gt;0.5,AB73*(1-DCF!$C$31),AB73*(1-SUM(AB79:AB80))))/AVERAGE(AA289:AB289))</f>
        <v>9.3908926052790304E-2</v>
      </c>
      <c r="AC291" s="317">
        <f>+(IF(SUM(AC77:AC78)&gt;0,AC73,IF(ABS(SUM(AC79:AC80))&gt;0.5,AC73*(1-DCF!$C$31),AC73*(1-SUM(AC79:AC80))))/AVERAGE(AB289:AC289))</f>
        <v>5.8931121242158879E-2</v>
      </c>
      <c r="AD291" s="317">
        <f>+(IF(SUM(AD77:AD78)&gt;0,AD73,IF(ABS(SUM(AD79:AD80))&gt;0.5,AD73*(1-DCF!$C$31),AD73*(1-SUM(AD79:AD80))))/AVERAGE(AC289:AD289))</f>
        <v>6.7650607196954538E-2</v>
      </c>
      <c r="AE291" s="317">
        <f>+(IF(SUM(AE77:AE78)&gt;0,AE73,IF(ABS(SUM(AE79:AE80))&gt;0.5,AE73*(1-DCF!$C$31),AE73*(1-SUM(AE79:AE80))))/AVERAGE(AD289:AE289))</f>
        <v>9.9761874175242335E-2</v>
      </c>
      <c r="AF291" s="317">
        <f ca="1">+(IF(SUM(AF77:AF78)&gt;0,AF73,IF(ABS(SUM(AF79:AF80))&gt;0.5,AF73*(1-DCF!$C$31),AF73*(1-SUM(AF79:AF80))))/AVERAGE(AE289:AF289))</f>
        <v>0.12966901029449937</v>
      </c>
      <c r="AG291" s="317">
        <f ca="1">+(IF(SUM(AG77:AG78)&gt;0,AG73,IF(ABS(SUM(AG79:AG80))&gt;0.5,AG73*(1-DCF!$C$31),AG73*(1-SUM(AG79:AG80))))/AVERAGE(AF289:AG289))</f>
        <v>0.14796426707911586</v>
      </c>
      <c r="AH291" s="317">
        <f ca="1">+(IF(SUM(AH77:AH78)&gt;0,AH73,IF(ABS(SUM(AH79:AH80))&gt;0.5,AH73*(1-DCF!$C$31),AH73*(1-SUM(AH79:AH80))))/AVERAGE(AG289:AH289))</f>
        <v>0.16195162055458559</v>
      </c>
      <c r="AI291" s="317">
        <f ca="1">+(IF(SUM(AI77:AI78)&gt;0,AI73,IF(ABS(SUM(AI79:AI80))&gt;0.5,AI73*(1-DCF!$C$31),AI73*(1-SUM(AI79:AI80))))/AVERAGE(AH289:AI289))</f>
        <v>0.17438769849089059</v>
      </c>
      <c r="AJ291" s="317">
        <f ca="1">+(IF(SUM(AJ77:AJ78)&gt;0,AJ73,IF(ABS(SUM(AJ79:AJ80))&gt;0.5,AJ73*(1-DCF!$C$31),AJ73*(1-SUM(AJ79:AJ80))))/AVERAGE(AI289:AJ289))</f>
        <v>0.18308377891945213</v>
      </c>
      <c r="AK291" s="317">
        <f ca="1">+(IF(SUM(AK77:AK78)&gt;0,AK73,IF(ABS(SUM(AK79:AK80))&gt;0.5,AK73*(1-DCF!$C$31),AK73*(1-SUM(AK79:AK80))))/AVERAGE(AJ289:AK289))</f>
        <v>0.19127901353588728</v>
      </c>
      <c r="AL291" s="317">
        <f ca="1">+(IF(SUM(AL77:AL78)&gt;0,AL73,IF(ABS(SUM(AL79:AL80))&gt;0.5,AL73*(1-DCF!$C$31),AL73*(1-SUM(AL79:AL80))))/AVERAGE(AK289:AL289))</f>
        <v>0.19754565500686566</v>
      </c>
      <c r="AM291" s="317">
        <f ca="1">+(IF(SUM(AM77:AM78)&gt;0,AM73,IF(ABS(SUM(AM79:AM80))&gt;0.5,AM73*(1-DCF!$C$31),AM73*(1-SUM(AM79:AM80))))/AVERAGE(AL289:AM289))</f>
        <v>0.20396426164066744</v>
      </c>
      <c r="AN291" s="317">
        <f ca="1">+(IF(SUM(AN77:AN78)&gt;0,AN73,IF(ABS(SUM(AN79:AN80))&gt;0.5,AN73*(1-DCF!$C$31),AN73*(1-SUM(AN79:AN80))))/AVERAGE(AM289:AN289))</f>
        <v>0.2090081886716893</v>
      </c>
    </row>
    <row r="292" spans="3:42" outlineLevel="1">
      <c r="D292" s="36"/>
      <c r="E292" s="36"/>
      <c r="F292" s="36"/>
      <c r="G292" s="36"/>
      <c r="H292" s="319"/>
      <c r="I292" s="319"/>
      <c r="J292" s="319"/>
      <c r="K292" s="319"/>
      <c r="L292" s="319"/>
      <c r="M292" s="319"/>
      <c r="N292" s="320"/>
      <c r="O292" s="320"/>
      <c r="P292" s="320"/>
      <c r="Q292" s="320"/>
      <c r="R292" s="320"/>
      <c r="S292" s="320"/>
      <c r="T292" s="320"/>
      <c r="U292" s="320"/>
      <c r="V292" s="320"/>
      <c r="W292" s="320"/>
      <c r="X292" s="320"/>
      <c r="Y292" s="320"/>
      <c r="Z292" s="320"/>
      <c r="AA292" s="321"/>
      <c r="AB292" s="320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89"/>
    </row>
    <row r="293" spans="3:42" outlineLevel="1">
      <c r="E293" s="144" t="s">
        <v>169</v>
      </c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>
        <f>+Z303</f>
        <v>-3.9713148937374952E-2</v>
      </c>
      <c r="AA293" s="101">
        <f t="shared" ref="AA293:AN293" si="280">+AA303</f>
        <v>-1.576051003569363E-2</v>
      </c>
      <c r="AB293" s="101">
        <f t="shared" si="280"/>
        <v>-4.4002997473648947E-3</v>
      </c>
      <c r="AC293" s="101">
        <f t="shared" si="280"/>
        <v>6.1291697802631937E-3</v>
      </c>
      <c r="AD293" s="101">
        <f t="shared" si="280"/>
        <v>1.0237935722717353E-2</v>
      </c>
      <c r="AE293" s="101">
        <f t="shared" si="280"/>
        <v>1.7739992143051726E-2</v>
      </c>
      <c r="AF293" s="101">
        <f t="shared" ca="1" si="280"/>
        <v>2.3430125123727441E-2</v>
      </c>
      <c r="AG293" s="101">
        <f t="shared" ca="1" si="280"/>
        <v>2.7765176994595263E-2</v>
      </c>
      <c r="AH293" s="101">
        <f t="shared" ca="1" si="280"/>
        <v>3.202488311437017E-2</v>
      </c>
      <c r="AI293" s="101">
        <f t="shared" ca="1" si="280"/>
        <v>3.6331749542218801E-2</v>
      </c>
      <c r="AJ293" s="101">
        <f t="shared" ca="1" si="280"/>
        <v>3.998580464455577E-2</v>
      </c>
      <c r="AK293" s="101">
        <f t="shared" ca="1" si="280"/>
        <v>4.3598777945505429E-2</v>
      </c>
      <c r="AL293" s="101">
        <f t="shared" ca="1" si="280"/>
        <v>4.6791047878624509E-2</v>
      </c>
      <c r="AM293" s="101">
        <f t="shared" ca="1" si="280"/>
        <v>4.9822012769618756E-2</v>
      </c>
      <c r="AN293" s="101">
        <f t="shared" ca="1" si="280"/>
        <v>5.2304180412668322E-2</v>
      </c>
    </row>
    <row r="294" spans="3:42" outlineLevel="1">
      <c r="E294" s="144" t="s">
        <v>170</v>
      </c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>
        <f>+Z61/Z136</f>
        <v>1.7916370787130604</v>
      </c>
      <c r="AA294" s="317">
        <f t="shared" ref="AA294:AN294" si="281">+AA61/AA136</f>
        <v>1.4068674777656871</v>
      </c>
      <c r="AB294" s="317">
        <f t="shared" si="281"/>
        <v>1.3166426133052094</v>
      </c>
      <c r="AC294" s="317">
        <f t="shared" si="281"/>
        <v>1.1691804737371552</v>
      </c>
      <c r="AD294" s="317">
        <f t="shared" si="281"/>
        <v>1.5248436533325509</v>
      </c>
      <c r="AE294" s="317">
        <f t="shared" si="281"/>
        <v>1.7434899880160004</v>
      </c>
      <c r="AF294" s="317">
        <f t="shared" ca="1" si="281"/>
        <v>1.9814535048389628</v>
      </c>
      <c r="AG294" s="317">
        <f t="shared" ca="1" si="281"/>
        <v>2.1585452686397182</v>
      </c>
      <c r="AH294" s="317">
        <f t="shared" ca="1" si="281"/>
        <v>2.2446843003369992</v>
      </c>
      <c r="AI294" s="317">
        <f t="shared" ca="1" si="281"/>
        <v>2.3032032202150563</v>
      </c>
      <c r="AJ294" s="317">
        <f t="shared" ca="1" si="281"/>
        <v>2.3198432535376674</v>
      </c>
      <c r="AK294" s="317">
        <f t="shared" ca="1" si="281"/>
        <v>2.2995138772151078</v>
      </c>
      <c r="AL294" s="317">
        <f t="shared" ca="1" si="281"/>
        <v>2.256995987039057</v>
      </c>
      <c r="AM294" s="317">
        <f t="shared" ca="1" si="281"/>
        <v>2.1513241264243814</v>
      </c>
      <c r="AN294" s="317">
        <f t="shared" ca="1" si="281"/>
        <v>2.0452785108276998</v>
      </c>
    </row>
    <row r="295" spans="3:42" outlineLevel="1">
      <c r="E295" s="144" t="s">
        <v>171</v>
      </c>
      <c r="H295" s="317"/>
      <c r="I295" s="317"/>
      <c r="J295" s="317"/>
      <c r="K295" s="317"/>
      <c r="L295" s="317"/>
      <c r="M295" s="317"/>
      <c r="N295" s="317"/>
      <c r="O295" s="317"/>
      <c r="P295" s="317"/>
      <c r="Q295" s="317"/>
      <c r="R295" s="317"/>
      <c r="S295" s="317"/>
      <c r="T295" s="317"/>
      <c r="U295" s="317"/>
      <c r="V295" s="317"/>
      <c r="W295" s="317"/>
      <c r="X295" s="317"/>
      <c r="Y295" s="317"/>
      <c r="Z295" s="317">
        <f>+Z136/SUM(Z148:Z152)</f>
        <v>-56.904529307282402</v>
      </c>
      <c r="AA295" s="317">
        <f t="shared" ref="AA295:AN295" si="282">+AA136/SUM(AA148:AA152)</f>
        <v>-49.497215753771357</v>
      </c>
      <c r="AB295" s="317">
        <f t="shared" si="282"/>
        <v>7.0824692619929808</v>
      </c>
      <c r="AC295" s="317">
        <f t="shared" si="282"/>
        <v>2.1373638019471946</v>
      </c>
      <c r="AD295" s="317">
        <f t="shared" si="282"/>
        <v>2.2384410192394104</v>
      </c>
      <c r="AE295" s="317">
        <f t="shared" si="282"/>
        <v>2.4042631802492989</v>
      </c>
      <c r="AF295" s="317">
        <f t="shared" ca="1" si="282"/>
        <v>2.4767351228980377</v>
      </c>
      <c r="AG295" s="317">
        <f t="shared" ca="1" si="282"/>
        <v>2.4821318239075802</v>
      </c>
      <c r="AH295" s="317">
        <f t="shared" ca="1" si="282"/>
        <v>2.4280353896555784</v>
      </c>
      <c r="AI295" s="317">
        <f t="shared" ca="1" si="282"/>
        <v>2.2905674058320251</v>
      </c>
      <c r="AJ295" s="317">
        <f t="shared" ca="1" si="282"/>
        <v>2.1340239638050829</v>
      </c>
      <c r="AK295" s="317">
        <f t="shared" ca="1" si="282"/>
        <v>1.9819292113536833</v>
      </c>
      <c r="AL295" s="317">
        <f t="shared" ca="1" si="282"/>
        <v>1.8419675743166379</v>
      </c>
      <c r="AM295" s="317">
        <f t="shared" ca="1" si="282"/>
        <v>1.7587571021034327</v>
      </c>
      <c r="AN295" s="317">
        <f t="shared" ca="1" si="282"/>
        <v>1.6867185143354941</v>
      </c>
    </row>
    <row r="296" spans="3:42" outlineLevel="1">
      <c r="E296" s="151" t="s">
        <v>1</v>
      </c>
      <c r="H296" s="316"/>
      <c r="I296" s="316"/>
      <c r="J296" s="316"/>
      <c r="K296" s="316"/>
      <c r="L296" s="316"/>
      <c r="M296" s="316"/>
      <c r="N296" s="316"/>
      <c r="O296" s="316"/>
      <c r="P296" s="316"/>
      <c r="Q296" s="316"/>
      <c r="R296" s="316"/>
      <c r="S296" s="316"/>
      <c r="T296" s="316"/>
      <c r="U296" s="316"/>
      <c r="V296" s="316"/>
      <c r="W296" s="316"/>
      <c r="X296" s="316"/>
      <c r="Y296" s="316"/>
      <c r="Z296" s="317">
        <f>+Z293*Z294*Z295</f>
        <v>4.0488454706927195</v>
      </c>
      <c r="AA296" s="317">
        <f t="shared" ref="AA296:AN296" si="283">+AA293*AA294*AA295</f>
        <v>1.0974992406601092</v>
      </c>
      <c r="AB296" s="317">
        <f t="shared" si="283"/>
        <v>-4.1033150854571272E-2</v>
      </c>
      <c r="AC296" s="317">
        <f t="shared" si="283"/>
        <v>1.5316574768728757E-2</v>
      </c>
      <c r="AD296" s="317">
        <f t="shared" si="283"/>
        <v>3.4944865293986195E-2</v>
      </c>
      <c r="AE296" s="317">
        <f t="shared" si="283"/>
        <v>7.4362654881274873E-2</v>
      </c>
      <c r="AF296" s="317">
        <f t="shared" ca="1" si="283"/>
        <v>0.11498417057571114</v>
      </c>
      <c r="AG296" s="317">
        <f t="shared" ca="1" si="283"/>
        <v>0.14876009606277613</v>
      </c>
      <c r="AH296" s="317">
        <f t="shared" ca="1" si="283"/>
        <v>0.17454115071042131</v>
      </c>
      <c r="AI296" s="317">
        <f t="shared" ca="1" si="283"/>
        <v>0.19167331200148172</v>
      </c>
      <c r="AJ296" s="317">
        <f t="shared" ca="1" si="283"/>
        <v>0.19795376827062663</v>
      </c>
      <c r="AK296" s="317">
        <f t="shared" ca="1" si="283"/>
        <v>0.19870028493597866</v>
      </c>
      <c r="AL296" s="317">
        <f t="shared" ca="1" si="283"/>
        <v>0.19452505144490895</v>
      </c>
      <c r="AM296" s="317">
        <f t="shared" ca="1" si="283"/>
        <v>0.18850938675726231</v>
      </c>
      <c r="AN296" s="317">
        <f t="shared" ca="1" si="283"/>
        <v>0.18043943918680269</v>
      </c>
    </row>
    <row r="298" spans="3:42">
      <c r="D298" s="104"/>
      <c r="E298" s="105" t="s">
        <v>191</v>
      </c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  <c r="AA298" s="104"/>
      <c r="AB298" s="104"/>
      <c r="AC298" s="104"/>
      <c r="AD298" s="104"/>
      <c r="AE298" s="104"/>
      <c r="AF298" s="104"/>
      <c r="AG298" s="104"/>
      <c r="AH298" s="104"/>
      <c r="AI298" s="104"/>
      <c r="AJ298" s="104"/>
      <c r="AK298" s="104"/>
      <c r="AL298" s="104"/>
      <c r="AM298" s="104"/>
      <c r="AN298" s="104"/>
    </row>
    <row r="299" spans="3:42" ht="5.0999999999999996" customHeight="1">
      <c r="C299" s="142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7"/>
      <c r="AP299" s="1"/>
    </row>
    <row r="300" spans="3:42" outlineLevel="1">
      <c r="E300" s="144" t="s">
        <v>153</v>
      </c>
      <c r="G300" s="36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>
        <f>+Y63/Y$61</f>
        <v>0.20178828521633704</v>
      </c>
      <c r="Z300" s="101">
        <f>+Z63/Z$61</f>
        <v>0.19997038282377996</v>
      </c>
      <c r="AA300" s="101">
        <f t="shared" ref="AA300:AN300" si="284">+AA63/AA$61</f>
        <v>0.24195290747969975</v>
      </c>
      <c r="AB300" s="101">
        <f t="shared" si="284"/>
        <v>0.25146421950276082</v>
      </c>
      <c r="AC300" s="101">
        <f t="shared" si="284"/>
        <v>0.22757075025310017</v>
      </c>
      <c r="AD300" s="101">
        <f t="shared" si="284"/>
        <v>0.2315428996376096</v>
      </c>
      <c r="AE300" s="101">
        <f t="shared" si="284"/>
        <v>0.23494312124331615</v>
      </c>
      <c r="AF300" s="101">
        <f t="shared" si="284"/>
        <v>0.23719312124331621</v>
      </c>
      <c r="AG300" s="101">
        <f t="shared" si="284"/>
        <v>0.23944312124331621</v>
      </c>
      <c r="AH300" s="101">
        <f t="shared" si="284"/>
        <v>0.24169312124331616</v>
      </c>
      <c r="AI300" s="101">
        <f t="shared" si="284"/>
        <v>0.24394312124331616</v>
      </c>
      <c r="AJ300" s="101">
        <f t="shared" si="284"/>
        <v>0.2461931212433161</v>
      </c>
      <c r="AK300" s="101">
        <f t="shared" si="284"/>
        <v>0.24844312124331611</v>
      </c>
      <c r="AL300" s="101">
        <f t="shared" si="284"/>
        <v>0.25069312124331616</v>
      </c>
      <c r="AM300" s="101">
        <f t="shared" si="284"/>
        <v>0.25294312124331608</v>
      </c>
      <c r="AN300" s="101">
        <f t="shared" si="284"/>
        <v>0.25519312124331606</v>
      </c>
    </row>
    <row r="301" spans="3:42" outlineLevel="1">
      <c r="E301" s="144" t="s">
        <v>104</v>
      </c>
      <c r="G301" s="36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>
        <f>(+Y73+SUM(Y68:Y70))/Y$61</f>
        <v>-6.9504432825642157E-2</v>
      </c>
      <c r="Z301" s="101">
        <f>(+Z73+SUM(Z68:Z70))/Z$61</f>
        <v>-3.2655114516118522E-2</v>
      </c>
      <c r="AA301" s="101">
        <f t="shared" ref="AA301:AN301" si="285">(+AA73+SUM(AA68:AA70))/AA$61</f>
        <v>-2.1253425802746313E-2</v>
      </c>
      <c r="AB301" s="101">
        <f t="shared" si="285"/>
        <v>-1.0411056504064681E-2</v>
      </c>
      <c r="AC301" s="101">
        <f t="shared" si="285"/>
        <v>-1.1981013783105746E-2</v>
      </c>
      <c r="AD301" s="101">
        <f t="shared" si="285"/>
        <v>-9.0142118981345973E-3</v>
      </c>
      <c r="AE301" s="101">
        <f t="shared" si="285"/>
        <v>1.836305307093263E-3</v>
      </c>
      <c r="AF301" s="101">
        <f t="shared" ca="1" si="285"/>
        <v>1.4075760557590558E-2</v>
      </c>
      <c r="AG301" s="101">
        <f t="shared" ca="1" si="285"/>
        <v>2.0027164965612392E-2</v>
      </c>
      <c r="AH301" s="101">
        <f t="shared" ca="1" si="285"/>
        <v>2.48787480839745E-2</v>
      </c>
      <c r="AI301" s="101">
        <f t="shared" ca="1" si="285"/>
        <v>2.9915015534304208E-2</v>
      </c>
      <c r="AJ301" s="101">
        <f t="shared" ca="1" si="285"/>
        <v>3.4006623780021741E-2</v>
      </c>
      <c r="AK301" s="101">
        <f t="shared" ca="1" si="285"/>
        <v>3.8098462942488115E-2</v>
      </c>
      <c r="AL301" s="101">
        <f t="shared" ca="1" si="285"/>
        <v>4.1651147233149326E-2</v>
      </c>
      <c r="AM301" s="101">
        <f t="shared" ca="1" si="285"/>
        <v>4.5253840262920973E-2</v>
      </c>
      <c r="AN301" s="101">
        <f t="shared" ca="1" si="285"/>
        <v>4.8359826011331805E-2</v>
      </c>
    </row>
    <row r="302" spans="3:42" outlineLevel="1">
      <c r="E302" s="144" t="s">
        <v>168</v>
      </c>
      <c r="G302" s="36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>
        <f>+Y73/Y$61</f>
        <v>-5.4671516253693993E-2</v>
      </c>
      <c r="Z302" s="101">
        <f>+Z73/Z$61</f>
        <v>-1.7506799972996132E-2</v>
      </c>
      <c r="AA302" s="101">
        <f t="shared" ref="AA302:AN302" si="286">+AA73/AA$61</f>
        <v>4.7528696777384217E-3</v>
      </c>
      <c r="AB302" s="101">
        <f t="shared" si="286"/>
        <v>1.809761603880267E-2</v>
      </c>
      <c r="AC302" s="101">
        <f t="shared" si="286"/>
        <v>1.3722867715309882E-2</v>
      </c>
      <c r="AD302" s="101">
        <f t="shared" si="286"/>
        <v>1.7433432999953122E-2</v>
      </c>
      <c r="AE302" s="101">
        <f t="shared" si="286"/>
        <v>2.7923588863314062E-2</v>
      </c>
      <c r="AF302" s="101">
        <f t="shared" ca="1" si="286"/>
        <v>3.6344113822600325E-2</v>
      </c>
      <c r="AG302" s="101">
        <f t="shared" ca="1" si="286"/>
        <v>4.2349823318019085E-2</v>
      </c>
      <c r="AH302" s="101">
        <f t="shared" ca="1" si="286"/>
        <v>4.8163007068241351E-2</v>
      </c>
      <c r="AI302" s="101">
        <f t="shared" ca="1" si="286"/>
        <v>5.3849654456129666E-2</v>
      </c>
      <c r="AJ302" s="101">
        <f t="shared" ca="1" si="286"/>
        <v>5.847227892541669E-2</v>
      </c>
      <c r="AK302" s="101">
        <f t="shared" ca="1" si="286"/>
        <v>6.2986105013833574E-2</v>
      </c>
      <c r="AL302" s="101">
        <f t="shared" ca="1" si="286"/>
        <v>6.6905267870628116E-2</v>
      </c>
      <c r="AM302" s="101">
        <f t="shared" ca="1" si="286"/>
        <v>7.0802941272994371E-2</v>
      </c>
      <c r="AN302" s="101">
        <f t="shared" ca="1" si="286"/>
        <v>7.4167207018350098E-2</v>
      </c>
    </row>
    <row r="303" spans="3:42" outlineLevel="1">
      <c r="E303" s="144" t="s">
        <v>154</v>
      </c>
      <c r="G303" s="36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>
        <f>+Y81/Y$61</f>
        <v>-7.4240357657043232E-2</v>
      </c>
      <c r="Z303" s="101">
        <f>+Z81/Z$61</f>
        <v>-3.9713148937374952E-2</v>
      </c>
      <c r="AA303" s="101">
        <f t="shared" ref="AA303:AN303" si="287">+AA81/AA$61</f>
        <v>-1.576051003569363E-2</v>
      </c>
      <c r="AB303" s="101">
        <f t="shared" si="287"/>
        <v>-4.4002997473648947E-3</v>
      </c>
      <c r="AC303" s="101">
        <f t="shared" si="287"/>
        <v>6.1291697802631937E-3</v>
      </c>
      <c r="AD303" s="101">
        <f t="shared" si="287"/>
        <v>1.0237935722717353E-2</v>
      </c>
      <c r="AE303" s="101">
        <f t="shared" si="287"/>
        <v>1.7739992143051726E-2</v>
      </c>
      <c r="AF303" s="101">
        <f t="shared" ca="1" si="287"/>
        <v>2.3430125123727441E-2</v>
      </c>
      <c r="AG303" s="101">
        <f t="shared" ca="1" si="287"/>
        <v>2.7765176994595263E-2</v>
      </c>
      <c r="AH303" s="101">
        <f t="shared" ca="1" si="287"/>
        <v>3.202488311437017E-2</v>
      </c>
      <c r="AI303" s="101">
        <f t="shared" ca="1" si="287"/>
        <v>3.6331749542218801E-2</v>
      </c>
      <c r="AJ303" s="101">
        <f t="shared" ca="1" si="287"/>
        <v>3.998580464455577E-2</v>
      </c>
      <c r="AK303" s="101">
        <f t="shared" ca="1" si="287"/>
        <v>4.3598777945505429E-2</v>
      </c>
      <c r="AL303" s="101">
        <f t="shared" ca="1" si="287"/>
        <v>4.6791047878624509E-2</v>
      </c>
      <c r="AM303" s="101">
        <f t="shared" ca="1" si="287"/>
        <v>4.9822012769618756E-2</v>
      </c>
      <c r="AN303" s="101">
        <f t="shared" ca="1" si="287"/>
        <v>5.2304180412668322E-2</v>
      </c>
    </row>
    <row r="305" spans="1:43">
      <c r="C305" s="141"/>
      <c r="D305" s="52" t="s">
        <v>392</v>
      </c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</row>
    <row r="306" spans="1:43"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</row>
    <row r="307" spans="1:43">
      <c r="D307" s="104"/>
      <c r="E307" s="105" t="s">
        <v>427</v>
      </c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</row>
    <row r="308" spans="1:43" ht="5.0999999999999996" hidden="1" customHeight="1" outlineLevel="1"/>
    <row r="309" spans="1:43" hidden="1" outlineLevel="1">
      <c r="E309" s="70" t="str">
        <f>$G$367&amp;" - Rev"</f>
        <v>CDW - Rev</v>
      </c>
      <c r="R309" s="7">
        <f t="shared" ref="R309:AA309" si="288">R373</f>
        <v>8801.1999999999989</v>
      </c>
      <c r="S309" s="7">
        <f t="shared" si="288"/>
        <v>9602.4000000000015</v>
      </c>
      <c r="T309" s="7">
        <f t="shared" si="288"/>
        <v>10128.200000000001</v>
      </c>
      <c r="U309" s="7">
        <f t="shared" si="288"/>
        <v>10768.6</v>
      </c>
      <c r="V309" s="7">
        <f t="shared" si="288"/>
        <v>12074.5</v>
      </c>
      <c r="W309" s="7">
        <f t="shared" si="288"/>
        <v>12988.699999999999</v>
      </c>
      <c r="X309" s="7">
        <f t="shared" si="288"/>
        <v>13672.7</v>
      </c>
      <c r="Y309" s="7">
        <f t="shared" si="288"/>
        <v>14832.9</v>
      </c>
      <c r="Z309" s="7">
        <f t="shared" si="288"/>
        <v>16240.5</v>
      </c>
      <c r="AA309" s="7">
        <f t="shared" si="288"/>
        <v>18032.400000000001</v>
      </c>
      <c r="AB309" s="7">
        <f>AB373</f>
        <v>18467.500000000004</v>
      </c>
      <c r="AQ309" s="308">
        <f>(AB309/R309)^(0.1)-1</f>
        <v>7.6927883571000999E-2</v>
      </c>
    </row>
    <row r="310" spans="1:43" hidden="1" outlineLevel="1">
      <c r="E310" s="70" t="str">
        <f>$G$397&amp;" - Rev"</f>
        <v>NSIT - Rev</v>
      </c>
      <c r="R310" s="7">
        <f t="shared" ref="R310:AA310" si="289">R402</f>
        <v>4809.9299999999994</v>
      </c>
      <c r="S310" s="7">
        <f t="shared" si="289"/>
        <v>5287.2379999999994</v>
      </c>
      <c r="T310" s="7">
        <f t="shared" si="289"/>
        <v>5301.4409999999998</v>
      </c>
      <c r="U310" s="7">
        <f t="shared" si="289"/>
        <v>5144.3469999999998</v>
      </c>
      <c r="V310" s="7">
        <f t="shared" si="289"/>
        <v>5316.2290000000003</v>
      </c>
      <c r="W310" s="7">
        <f t="shared" si="289"/>
        <v>5373.09</v>
      </c>
      <c r="X310" s="7">
        <f t="shared" si="289"/>
        <v>5485.5150000000012</v>
      </c>
      <c r="Y310" s="7">
        <f t="shared" si="289"/>
        <v>6703.6230000000005</v>
      </c>
      <c r="Z310" s="7">
        <f t="shared" si="289"/>
        <v>7080.1360000000004</v>
      </c>
      <c r="AA310" s="7">
        <f t="shared" si="289"/>
        <v>7731.1900000000005</v>
      </c>
      <c r="AB310" s="7">
        <f>AB402</f>
        <v>8340.5790000000015</v>
      </c>
      <c r="AQ310" s="308">
        <f t="shared" ref="AQ310:AQ315" si="290">(AB310/R310)^(0.1)-1</f>
        <v>5.6588171423221478E-2</v>
      </c>
    </row>
    <row r="311" spans="1:43" hidden="1" outlineLevel="1">
      <c r="E311" s="245" t="str">
        <f>$G$397&amp;" - Product Rev"</f>
        <v>NSIT - Product Rev</v>
      </c>
      <c r="R311" s="7">
        <f t="shared" ref="R311:AA311" si="291">SUM(R399:R400)</f>
        <v>4578.5209999999997</v>
      </c>
      <c r="S311" s="7">
        <f t="shared" si="291"/>
        <v>5014.3599999999997</v>
      </c>
      <c r="T311" s="7">
        <f t="shared" si="291"/>
        <v>5055.7950000000001</v>
      </c>
      <c r="U311" s="7">
        <f t="shared" si="291"/>
        <v>4891.6059999999998</v>
      </c>
      <c r="V311" s="7">
        <f t="shared" si="291"/>
        <v>5058.884</v>
      </c>
      <c r="W311" s="7">
        <f t="shared" si="291"/>
        <v>5071.5050000000001</v>
      </c>
      <c r="X311" s="7">
        <f t="shared" si="291"/>
        <v>4997.2630000000008</v>
      </c>
      <c r="Y311" s="7">
        <f t="shared" si="291"/>
        <v>6038.7440000000006</v>
      </c>
      <c r="Z311" s="7">
        <f t="shared" si="291"/>
        <v>6249.9380000000001</v>
      </c>
      <c r="AA311" s="7">
        <f t="shared" si="291"/>
        <v>6732.1210000000001</v>
      </c>
      <c r="AB311" s="7">
        <f>SUM(AB399:AB400)</f>
        <v>7172.1550000000007</v>
      </c>
      <c r="AQ311" s="308"/>
    </row>
    <row r="312" spans="1:43" hidden="1" outlineLevel="1">
      <c r="E312" s="245" t="str">
        <f>$G$397&amp;" - Service Rev"</f>
        <v>NSIT - Service Rev</v>
      </c>
      <c r="R312" s="7">
        <f t="shared" ref="R312:AA312" si="292">R310-R311</f>
        <v>231.40899999999965</v>
      </c>
      <c r="S312" s="7">
        <f t="shared" si="292"/>
        <v>272.8779999999997</v>
      </c>
      <c r="T312" s="7">
        <f t="shared" si="292"/>
        <v>245.64599999999973</v>
      </c>
      <c r="U312" s="7">
        <f t="shared" si="292"/>
        <v>252.74099999999999</v>
      </c>
      <c r="V312" s="7">
        <f t="shared" si="292"/>
        <v>257.34500000000025</v>
      </c>
      <c r="W312" s="7">
        <f t="shared" si="292"/>
        <v>301.58500000000004</v>
      </c>
      <c r="X312" s="7">
        <f t="shared" si="292"/>
        <v>488.25200000000041</v>
      </c>
      <c r="Y312" s="7">
        <f t="shared" si="292"/>
        <v>664.87899999999991</v>
      </c>
      <c r="Z312" s="7">
        <f t="shared" si="292"/>
        <v>830.19800000000032</v>
      </c>
      <c r="AA312" s="7">
        <f t="shared" si="292"/>
        <v>999.06900000000041</v>
      </c>
      <c r="AB312" s="7">
        <f>AB310-AB311</f>
        <v>1168.4240000000009</v>
      </c>
      <c r="AQ312" s="308"/>
    </row>
    <row r="313" spans="1:43" hidden="1" outlineLevel="1">
      <c r="E313" s="70" t="str">
        <f>$G$429&amp;" - Rev"</f>
        <v>CNXN - Rev</v>
      </c>
      <c r="R313" s="7">
        <f t="shared" ref="R313:AA313" si="293">R431</f>
        <v>1974.1980000000001</v>
      </c>
      <c r="S313" s="7">
        <f t="shared" si="293"/>
        <v>2103.2950000000001</v>
      </c>
      <c r="T313" s="7">
        <f t="shared" si="293"/>
        <v>2158.873</v>
      </c>
      <c r="U313" s="7">
        <f t="shared" si="293"/>
        <v>2221.6379999999999</v>
      </c>
      <c r="V313" s="7">
        <f t="shared" si="293"/>
        <v>2463.3389999999999</v>
      </c>
      <c r="W313" s="7">
        <f t="shared" si="293"/>
        <v>2573.973</v>
      </c>
      <c r="X313" s="7">
        <f t="shared" si="293"/>
        <v>2692.5920000000001</v>
      </c>
      <c r="Y313" s="7">
        <f t="shared" si="293"/>
        <v>2911.8829999999998</v>
      </c>
      <c r="Z313" s="7">
        <f t="shared" si="293"/>
        <v>2699.489</v>
      </c>
      <c r="AA313" s="7">
        <f t="shared" si="293"/>
        <v>2820.0340000000001</v>
      </c>
      <c r="AB313" s="7">
        <f>AB431</f>
        <v>2590.29</v>
      </c>
      <c r="AQ313" s="308">
        <f t="shared" si="290"/>
        <v>2.7532975546192606E-2</v>
      </c>
    </row>
    <row r="314" spans="1:43" hidden="1" outlineLevel="1">
      <c r="E314" s="70" t="s">
        <v>450</v>
      </c>
      <c r="R314" s="7">
        <f t="shared" ref="R314:AA314" si="294">R458*R481</f>
        <v>2337.3119154000001</v>
      </c>
      <c r="S314" s="7">
        <f t="shared" si="294"/>
        <v>2782.0610426000003</v>
      </c>
      <c r="T314" s="7">
        <f t="shared" si="294"/>
        <v>2722.1111970000002</v>
      </c>
      <c r="U314" s="7">
        <f t="shared" si="294"/>
        <v>3028.0546715000005</v>
      </c>
      <c r="V314" s="7">
        <f t="shared" si="294"/>
        <v>3501.9259808000002</v>
      </c>
      <c r="W314" s="7">
        <f t="shared" si="294"/>
        <v>3252.6008864</v>
      </c>
      <c r="X314" s="7">
        <f t="shared" si="294"/>
        <v>3436.3475532000002</v>
      </c>
      <c r="Y314" s="7">
        <f t="shared" si="294"/>
        <v>3944.9870199999996</v>
      </c>
      <c r="Z314" s="7">
        <f t="shared" si="294"/>
        <v>5145.6130836000002</v>
      </c>
      <c r="AA314" s="7">
        <f t="shared" si="294"/>
        <v>6062.9204293000003</v>
      </c>
      <c r="AB314" s="7">
        <f>AB458*AB481</f>
        <v>6518.1340843000007</v>
      </c>
      <c r="AQ314" s="308">
        <f t="shared" si="290"/>
        <v>0.10800229947871665</v>
      </c>
    </row>
    <row r="315" spans="1:43" hidden="1" outlineLevel="1">
      <c r="E315" s="70" t="str">
        <f>$G$483&amp;" - Rev"</f>
        <v>GIB.A - Rev</v>
      </c>
      <c r="R315" s="7">
        <f t="shared" ref="R315:AB315" si="295">R487/R507</f>
        <v>3585.8157186779404</v>
      </c>
      <c r="S315" s="7">
        <f t="shared" si="295"/>
        <v>4280.4438589379815</v>
      </c>
      <c r="T315" s="7">
        <f t="shared" si="295"/>
        <v>4735.5169676523119</v>
      </c>
      <c r="U315" s="7">
        <f t="shared" si="295"/>
        <v>9929.7203623473797</v>
      </c>
      <c r="V315" s="7">
        <f t="shared" si="295"/>
        <v>9698.5885830408261</v>
      </c>
      <c r="W315" s="7">
        <f t="shared" si="295"/>
        <v>8373.7045177045202</v>
      </c>
      <c r="X315" s="7">
        <f t="shared" si="295"/>
        <v>8057.9755619248745</v>
      </c>
      <c r="Y315" s="7">
        <f t="shared" si="295"/>
        <v>8253.4748858447474</v>
      </c>
      <c r="Z315" s="7">
        <f t="shared" si="295"/>
        <v>8965.1928320997267</v>
      </c>
      <c r="AA315" s="7">
        <f t="shared" si="295"/>
        <v>9124.0289287328633</v>
      </c>
      <c r="AB315" s="7">
        <f t="shared" si="295"/>
        <v>9041.2628214657361</v>
      </c>
      <c r="AQ315" s="308">
        <f t="shared" si="290"/>
        <v>9.6892615494052592E-2</v>
      </c>
    </row>
    <row r="316" spans="1:43" hidden="1" outlineLevel="1">
      <c r="E316" s="70" t="s">
        <v>505</v>
      </c>
      <c r="R316" s="7">
        <f>R514</f>
        <v>27352.914000000001</v>
      </c>
      <c r="S316" s="7">
        <f t="shared" ref="S316:AB316" si="296">S514</f>
        <v>29777.984</v>
      </c>
      <c r="T316" s="7">
        <f t="shared" si="296"/>
        <v>30394.282999999999</v>
      </c>
      <c r="U316" s="7">
        <f t="shared" si="296"/>
        <v>31874.678</v>
      </c>
      <c r="V316" s="7">
        <f t="shared" si="296"/>
        <v>32914.425999999999</v>
      </c>
      <c r="W316" s="7">
        <f t="shared" si="296"/>
        <v>34797.660000000003</v>
      </c>
      <c r="X316" s="7">
        <f t="shared" si="296"/>
        <v>36176.839999999997</v>
      </c>
      <c r="Y316" s="7">
        <f t="shared" si="296"/>
        <v>40992.535000000003</v>
      </c>
      <c r="Z316" s="7">
        <f t="shared" si="296"/>
        <v>43215.012999999999</v>
      </c>
      <c r="AA316" s="7">
        <f t="shared" si="296"/>
        <v>44327.038999999997</v>
      </c>
      <c r="AB316" s="7">
        <f t="shared" si="296"/>
        <v>50533.389000000003</v>
      </c>
      <c r="AQ316" s="65"/>
    </row>
    <row r="317" spans="1:43" s="3" customFormat="1" hidden="1" outlineLevel="1">
      <c r="A317" s="110"/>
      <c r="B317" s="110"/>
      <c r="C317" s="143"/>
      <c r="E317" s="3" t="s">
        <v>476</v>
      </c>
      <c r="Y317" s="64">
        <f t="shared" ref="Y317:AN317" si="297">Y9</f>
        <v>52.788000000000004</v>
      </c>
      <c r="Z317" s="64">
        <f t="shared" si="297"/>
        <v>459.19299999999998</v>
      </c>
      <c r="AA317" s="64">
        <f t="shared" si="297"/>
        <v>687.79500000000007</v>
      </c>
      <c r="AB317" s="64">
        <f t="shared" si="297"/>
        <v>948.79899999999998</v>
      </c>
      <c r="AC317" s="64">
        <f t="shared" si="297"/>
        <v>1519.1353187473455</v>
      </c>
      <c r="AD317" s="64">
        <f t="shared" si="297"/>
        <v>2150.083386972874</v>
      </c>
      <c r="AE317" s="64">
        <f t="shared" si="297"/>
        <v>2852.6265943650415</v>
      </c>
      <c r="AF317" s="64">
        <f t="shared" si="297"/>
        <v>3773.6000916537305</v>
      </c>
      <c r="AG317" s="64">
        <f t="shared" si="297"/>
        <v>4839.7892948157842</v>
      </c>
      <c r="AH317" s="64">
        <f t="shared" si="297"/>
        <v>5964.2426576024818</v>
      </c>
      <c r="AI317" s="64">
        <f t="shared" si="297"/>
        <v>7142.2235733441521</v>
      </c>
      <c r="AJ317" s="64">
        <f t="shared" si="297"/>
        <v>8356.3502744644284</v>
      </c>
      <c r="AK317" s="64">
        <f t="shared" si="297"/>
        <v>9600.3681556398788</v>
      </c>
      <c r="AL317" s="64">
        <f t="shared" si="297"/>
        <v>10872.375518752677</v>
      </c>
      <c r="AM317" s="64">
        <f t="shared" si="297"/>
        <v>12193.82302912773</v>
      </c>
      <c r="AN317" s="64">
        <f t="shared" si="297"/>
        <v>13565.699489710285</v>
      </c>
    </row>
    <row r="318" spans="1:43" hidden="1" outlineLevel="1"/>
    <row r="319" spans="1:43" hidden="1" outlineLevel="1">
      <c r="E319" s="70" t="str">
        <f>$G$367&amp;" - Gross margin (%)"</f>
        <v>CDW - Gross margin (%)</v>
      </c>
      <c r="R319" s="65">
        <f t="shared" ref="R319:AB319" si="298">R375/R373</f>
        <v>0.15802390583102299</v>
      </c>
      <c r="S319" s="65">
        <f t="shared" si="298"/>
        <v>0.1649066899941683</v>
      </c>
      <c r="T319" s="65">
        <f t="shared" si="298"/>
        <v>0.16484666574514723</v>
      </c>
      <c r="U319" s="65">
        <f t="shared" si="298"/>
        <v>0.16346600300874775</v>
      </c>
      <c r="V319" s="65">
        <f t="shared" si="298"/>
        <v>0.15912046047455375</v>
      </c>
      <c r="W319" s="65">
        <f t="shared" si="298"/>
        <v>0.16289543988235924</v>
      </c>
      <c r="X319" s="65">
        <f t="shared" si="298"/>
        <v>0.17028823860685899</v>
      </c>
      <c r="Y319" s="65">
        <f t="shared" si="298"/>
        <v>0.16518684815511459</v>
      </c>
      <c r="Z319" s="65">
        <f t="shared" si="298"/>
        <v>0.16667590283550382</v>
      </c>
      <c r="AA319" s="65">
        <f t="shared" si="298"/>
        <v>0.16857988953217548</v>
      </c>
      <c r="AB319" s="65">
        <f t="shared" si="298"/>
        <v>0.17382428590767582</v>
      </c>
    </row>
    <row r="320" spans="1:43" hidden="1" outlineLevel="1">
      <c r="E320" s="70" t="str">
        <f>$G$397&amp;" - Gross margin (%)"</f>
        <v>NSIT - Gross margin (%)</v>
      </c>
      <c r="R320" s="65">
        <f t="shared" ref="R320:AB320" si="299">R406/R402</f>
        <v>0.13432565546691944</v>
      </c>
      <c r="S320" s="65">
        <f t="shared" si="299"/>
        <v>0.13412806459629764</v>
      </c>
      <c r="T320" s="65">
        <f t="shared" si="299"/>
        <v>0.13575101562009262</v>
      </c>
      <c r="U320" s="65">
        <f t="shared" si="299"/>
        <v>0.13585533790780438</v>
      </c>
      <c r="V320" s="65">
        <f t="shared" si="299"/>
        <v>0.13400532595567274</v>
      </c>
      <c r="W320" s="65">
        <f t="shared" si="299"/>
        <v>0.13331844432161016</v>
      </c>
      <c r="X320" s="65">
        <f t="shared" si="299"/>
        <v>0.13546622331722738</v>
      </c>
      <c r="Y320" s="65">
        <f t="shared" si="299"/>
        <v>0.13702590375383589</v>
      </c>
      <c r="Z320" s="65">
        <f t="shared" si="299"/>
        <v>0.14035295367207645</v>
      </c>
      <c r="AA320" s="65">
        <f t="shared" si="299"/>
        <v>0.14720864446482376</v>
      </c>
      <c r="AB320" s="65">
        <f t="shared" si="299"/>
        <v>0.1558575249991638</v>
      </c>
    </row>
    <row r="321" spans="1:40" hidden="1" outlineLevel="1">
      <c r="E321" s="245" t="str">
        <f>$G$397&amp;" - Product gross margin (%)"</f>
        <v>NSIT - Product gross margin (%)</v>
      </c>
      <c r="R321" s="65"/>
      <c r="S321" s="65"/>
      <c r="T321" s="65"/>
      <c r="U321" s="65"/>
      <c r="V321" s="65"/>
      <c r="W321" s="65"/>
      <c r="X321" s="65">
        <f>1-X403/(X399+X400)</f>
        <v>8.5206842225434287E-2</v>
      </c>
      <c r="Y321" s="65">
        <f>1-Y403/(Y399+Y400)</f>
        <v>8.7160840068729595E-2</v>
      </c>
      <c r="Z321" s="65">
        <f>1-Z403/(Z399+Z400)</f>
        <v>8.616693477599302E-2</v>
      </c>
      <c r="AA321" s="65">
        <f>1-AA403/(AA399+AA400)</f>
        <v>9.0129247528379253E-2</v>
      </c>
      <c r="AB321" s="65">
        <f>1-AB403/(AB399+AB400)</f>
        <v>9.4135444646692767E-2</v>
      </c>
    </row>
    <row r="322" spans="1:40" hidden="1" outlineLevel="1">
      <c r="E322" s="245" t="str">
        <f>$G$397&amp;" - Service gross margin (%)"</f>
        <v>NSIT - Service gross margin (%)</v>
      </c>
      <c r="R322" s="65"/>
      <c r="S322" s="65"/>
      <c r="T322" s="65"/>
      <c r="U322" s="65"/>
      <c r="V322" s="65"/>
      <c r="W322" s="65"/>
      <c r="X322" s="65">
        <f>1-X404/X401</f>
        <v>0.64987137789502136</v>
      </c>
      <c r="Y322" s="65">
        <f>1-Y404/Y401</f>
        <v>0.58992388088659742</v>
      </c>
      <c r="Z322" s="65">
        <f>1-Z404/Z401</f>
        <v>0.54827884432388418</v>
      </c>
      <c r="AA322" s="65">
        <f>1-AA404/AA401</f>
        <v>0.53183213571835375</v>
      </c>
      <c r="AB322" s="65">
        <f>1-AB404/AB401</f>
        <v>0.53472711960726582</v>
      </c>
    </row>
    <row r="323" spans="1:40" hidden="1" outlineLevel="1">
      <c r="E323" s="70" t="str">
        <f>$G$429&amp;" - Gross margin (%)"</f>
        <v>CNXN - Gross margin (%)</v>
      </c>
      <c r="R323" s="65">
        <f t="shared" ref="R323:W323" si="300">R433/R431</f>
        <v>0.11645235179044862</v>
      </c>
      <c r="S323" s="65">
        <f t="shared" si="300"/>
        <v>0.12593763594740634</v>
      </c>
      <c r="T323" s="65">
        <f t="shared" si="300"/>
        <v>0.13066493489890324</v>
      </c>
      <c r="U323" s="65">
        <f t="shared" si="300"/>
        <v>0.13188467248039509</v>
      </c>
      <c r="V323" s="65">
        <f t="shared" si="300"/>
        <v>0.13128075348135199</v>
      </c>
      <c r="W323" s="65">
        <f t="shared" si="300"/>
        <v>0.1324874037140249</v>
      </c>
      <c r="X323" s="65">
        <f>X433/X431</f>
        <v>0.13784375798487114</v>
      </c>
      <c r="Y323" s="65">
        <f>Y433/Y431</f>
        <v>0.13121268952083584</v>
      </c>
      <c r="Z323" s="65">
        <f>Z433/Z431</f>
        <v>0.15228289502198389</v>
      </c>
      <c r="AA323" s="65">
        <f>AA433/AA431</f>
        <v>0.16003707756714988</v>
      </c>
      <c r="AB323" s="65">
        <f>AB433/AB431</f>
        <v>0.16168344085025221</v>
      </c>
    </row>
    <row r="324" spans="1:40" hidden="1" outlineLevel="1">
      <c r="E324" s="70" t="s">
        <v>451</v>
      </c>
      <c r="R324" s="65">
        <f t="shared" ref="R324:Z324" si="301">R460/R458</f>
        <v>0.13725485643840474</v>
      </c>
      <c r="S324" s="65">
        <f t="shared" si="301"/>
        <v>0.14922995406743567</v>
      </c>
      <c r="T324" s="65">
        <f t="shared" si="301"/>
        <v>0.15203866780171066</v>
      </c>
      <c r="U324" s="65">
        <f t="shared" si="301"/>
        <v>0.14973223927142698</v>
      </c>
      <c r="V324" s="65">
        <f t="shared" si="301"/>
        <v>0.14851529656865795</v>
      </c>
      <c r="W324" s="65">
        <f t="shared" si="301"/>
        <v>0.15165667538938785</v>
      </c>
      <c r="X324" s="65">
        <f t="shared" si="301"/>
        <v>0.15338124547651774</v>
      </c>
      <c r="Y324" s="65">
        <f t="shared" si="301"/>
        <v>0.15231823880627104</v>
      </c>
      <c r="Z324" s="65">
        <f t="shared" si="301"/>
        <v>0.14871309489609605</v>
      </c>
      <c r="AA324" s="65">
        <f>AA460/AA458</f>
        <v>0.14286421334412994</v>
      </c>
      <c r="AB324" s="65">
        <f>AB460/AB458</f>
        <v>0.14719801183762218</v>
      </c>
    </row>
    <row r="325" spans="1:40" s="3" customFormat="1" hidden="1" outlineLevel="1">
      <c r="A325" s="110"/>
      <c r="B325" s="110"/>
      <c r="C325" s="143"/>
      <c r="E325" s="3" t="s">
        <v>477</v>
      </c>
      <c r="Y325" s="24">
        <f t="shared" ref="Y325:AN325" si="302">Y38</f>
        <v>0.20178828521633704</v>
      </c>
      <c r="Z325" s="24">
        <f t="shared" si="302"/>
        <v>0.19997038282377996</v>
      </c>
      <c r="AA325" s="24">
        <f t="shared" si="302"/>
        <v>0.24195290747969975</v>
      </c>
      <c r="AB325" s="24">
        <f t="shared" si="302"/>
        <v>0.25146421950276082</v>
      </c>
      <c r="AC325" s="24">
        <f t="shared" si="302"/>
        <v>0.22757075025310017</v>
      </c>
      <c r="AD325" s="24">
        <f t="shared" si="302"/>
        <v>0.2315428996376096</v>
      </c>
      <c r="AE325" s="24">
        <f t="shared" si="302"/>
        <v>0.23494312124331615</v>
      </c>
      <c r="AF325" s="24">
        <f t="shared" si="302"/>
        <v>0.23719312124331615</v>
      </c>
      <c r="AG325" s="24">
        <f t="shared" si="302"/>
        <v>0.23944312124331615</v>
      </c>
      <c r="AH325" s="24">
        <f t="shared" si="302"/>
        <v>0.24169312124331616</v>
      </c>
      <c r="AI325" s="24">
        <f t="shared" si="302"/>
        <v>0.24394312124331616</v>
      </c>
      <c r="AJ325" s="24">
        <f t="shared" si="302"/>
        <v>0.24619312124331616</v>
      </c>
      <c r="AK325" s="24">
        <f t="shared" si="302"/>
        <v>0.24844312124331616</v>
      </c>
      <c r="AL325" s="24">
        <f t="shared" si="302"/>
        <v>0.25069312124331616</v>
      </c>
      <c r="AM325" s="24">
        <f t="shared" si="302"/>
        <v>0.25294312124331614</v>
      </c>
      <c r="AN325" s="24">
        <f t="shared" si="302"/>
        <v>0.25519312124331611</v>
      </c>
    </row>
    <row r="326" spans="1:40" hidden="1" outlineLevel="1"/>
    <row r="327" spans="1:40" hidden="1" outlineLevel="1">
      <c r="E327" s="70" t="str">
        <f>$G$367&amp;" - % Services (%)"</f>
        <v>CDW - % Services (%)</v>
      </c>
      <c r="R327" s="65">
        <f t="shared" ref="R327:AA327" si="303">R371/R373</f>
        <v>2.4655728764259421E-2</v>
      </c>
      <c r="S327" s="65">
        <f t="shared" si="303"/>
        <v>2.648296259268516E-2</v>
      </c>
      <c r="T327" s="65">
        <f t="shared" si="303"/>
        <v>2.8139254754053038E-2</v>
      </c>
      <c r="U327" s="65">
        <f t="shared" si="303"/>
        <v>3.0895381015173744E-2</v>
      </c>
      <c r="V327" s="65">
        <f t="shared" si="303"/>
        <v>3.0734191892003812E-2</v>
      </c>
      <c r="W327" s="65">
        <f t="shared" si="303"/>
        <v>3.6400871526788676E-2</v>
      </c>
      <c r="X327" s="65">
        <f t="shared" si="303"/>
        <v>4.1264709969501268E-2</v>
      </c>
      <c r="Y327" s="65">
        <f t="shared" si="303"/>
        <v>4.0632647695325937E-2</v>
      </c>
      <c r="Z327" s="65">
        <f t="shared" si="303"/>
        <v>4.2849665958560386E-2</v>
      </c>
      <c r="AA327" s="65">
        <f t="shared" si="303"/>
        <v>4.6632727756704594E-2</v>
      </c>
      <c r="AB327" s="65">
        <f>AB371/AB373</f>
        <v>4.9486936510085275E-2</v>
      </c>
    </row>
    <row r="328" spans="1:40" hidden="1" outlineLevel="1">
      <c r="E328" s="70" t="str">
        <f>$G$397&amp;" - % Services (%)"</f>
        <v>NSIT - % Services (%)</v>
      </c>
      <c r="R328" s="65">
        <f t="shared" ref="R328:AA328" si="304">R401/R402</f>
        <v>4.8110679365396182E-2</v>
      </c>
      <c r="S328" s="65">
        <f t="shared" si="304"/>
        <v>5.1610689740087375E-2</v>
      </c>
      <c r="T328" s="65">
        <f t="shared" si="304"/>
        <v>4.6335703820904545E-2</v>
      </c>
      <c r="U328" s="65">
        <f t="shared" si="304"/>
        <v>4.9129850688532477E-2</v>
      </c>
      <c r="V328" s="65">
        <f t="shared" si="304"/>
        <v>4.8407433163620298E-2</v>
      </c>
      <c r="W328" s="65">
        <f t="shared" si="304"/>
        <v>5.6128782506900121E-2</v>
      </c>
      <c r="X328" s="65">
        <f t="shared" si="304"/>
        <v>8.900750430907578E-2</v>
      </c>
      <c r="Y328" s="65">
        <f t="shared" si="304"/>
        <v>9.9182039324108753E-2</v>
      </c>
      <c r="Z328" s="65">
        <f t="shared" si="304"/>
        <v>0.11725735211865985</v>
      </c>
      <c r="AA328" s="65">
        <f t="shared" si="304"/>
        <v>0.12922577248780587</v>
      </c>
      <c r="AB328" s="65">
        <f>AB401/AB402</f>
        <v>0.14008907535076398</v>
      </c>
    </row>
    <row r="329" spans="1:40" hidden="1" outlineLevel="1">
      <c r="E329" s="245" t="str">
        <f>$G$397&amp;" Product - % Services (%)"</f>
        <v>NSIT Product - % Services (%)</v>
      </c>
      <c r="R329" s="291">
        <v>0</v>
      </c>
      <c r="S329" s="291">
        <v>0</v>
      </c>
      <c r="T329" s="291">
        <v>0</v>
      </c>
      <c r="U329" s="291">
        <v>0</v>
      </c>
      <c r="V329" s="291">
        <v>0</v>
      </c>
      <c r="W329" s="291">
        <v>0</v>
      </c>
      <c r="X329" s="291">
        <v>0</v>
      </c>
      <c r="Y329" s="291">
        <v>0</v>
      </c>
      <c r="Z329" s="291">
        <v>0</v>
      </c>
      <c r="AA329" s="291">
        <v>0</v>
      </c>
      <c r="AB329" s="291">
        <v>0</v>
      </c>
    </row>
    <row r="330" spans="1:40" hidden="1" outlineLevel="1">
      <c r="E330" s="245" t="str">
        <f>$G$397&amp;" Services - % Services (%)"</f>
        <v>NSIT Services - % Services (%)</v>
      </c>
      <c r="R330" s="291">
        <v>1</v>
      </c>
      <c r="S330" s="291">
        <v>1</v>
      </c>
      <c r="T330" s="291">
        <v>1</v>
      </c>
      <c r="U330" s="291">
        <v>1</v>
      </c>
      <c r="V330" s="291">
        <v>1</v>
      </c>
      <c r="W330" s="291">
        <v>1</v>
      </c>
      <c r="X330" s="291">
        <v>1</v>
      </c>
      <c r="Y330" s="291">
        <v>1</v>
      </c>
      <c r="Z330" s="291">
        <v>1</v>
      </c>
      <c r="AA330" s="291">
        <v>1</v>
      </c>
      <c r="AB330" s="291">
        <v>1</v>
      </c>
    </row>
    <row r="331" spans="1:40" hidden="1" outlineLevel="1">
      <c r="E331" s="70" t="s">
        <v>452</v>
      </c>
      <c r="R331" s="65">
        <f t="shared" ref="R331:W331" si="305">R456/R458</f>
        <v>0.66812136844506331</v>
      </c>
      <c r="S331" s="65">
        <f t="shared" si="305"/>
        <v>0.65952254796150744</v>
      </c>
      <c r="T331" s="65">
        <f t="shared" si="305"/>
        <v>0.6650284834047504</v>
      </c>
      <c r="U331" s="65">
        <f t="shared" si="305"/>
        <v>0.67531389034895761</v>
      </c>
      <c r="V331" s="65">
        <f t="shared" si="305"/>
        <v>0.66929192140279514</v>
      </c>
      <c r="W331" s="65">
        <f t="shared" si="305"/>
        <v>0.6673584565127787</v>
      </c>
      <c r="X331" s="65">
        <f>X456/X458</f>
        <v>0.70303457581008921</v>
      </c>
      <c r="Y331" s="65">
        <f>Y456/Y458</f>
        <v>0.70498167570650205</v>
      </c>
      <c r="Z331" s="65">
        <f>Z456/Z458</f>
        <v>0.67223600022020125</v>
      </c>
      <c r="AA331" s="65">
        <f>AA456/AA458</f>
        <v>0.64844496732969847</v>
      </c>
      <c r="AB331" s="65">
        <f>AB456/AB458</f>
        <v>0.66393068651712939</v>
      </c>
    </row>
    <row r="332" spans="1:40" hidden="1" outlineLevel="1">
      <c r="E332" s="70" t="s">
        <v>478</v>
      </c>
      <c r="R332" s="65">
        <f>R485/R487</f>
        <v>0.61175600872105562</v>
      </c>
      <c r="S332" s="65">
        <f t="shared" ref="S332:AB332" si="306">S485/S487</f>
        <v>0.67372539679758858</v>
      </c>
      <c r="T332" s="65">
        <f t="shared" si="306"/>
        <v>0.64030391911582596</v>
      </c>
      <c r="U332" s="65">
        <f t="shared" si="306"/>
        <v>0.55701352871460552</v>
      </c>
      <c r="V332" s="65">
        <f t="shared" si="306"/>
        <v>0.52006163609370637</v>
      </c>
      <c r="W332" s="65">
        <f t="shared" si="306"/>
        <v>0.54297442154714992</v>
      </c>
      <c r="X332" s="65">
        <f t="shared" si="306"/>
        <v>0.54100235658315665</v>
      </c>
      <c r="Y332" s="65">
        <f t="shared" si="306"/>
        <v>0.53196080134505408</v>
      </c>
      <c r="Z332" s="65">
        <f t="shared" si="306"/>
        <v>0.47654361650585625</v>
      </c>
      <c r="AA332" s="65">
        <f t="shared" si="306"/>
        <v>0.50471727245675002</v>
      </c>
      <c r="AB332" s="65">
        <f t="shared" si="306"/>
        <v>0.54335995672517068</v>
      </c>
    </row>
    <row r="333" spans="1:40" s="3" customFormat="1" hidden="1" outlineLevel="1">
      <c r="A333" s="110"/>
      <c r="B333" s="110"/>
      <c r="C333" s="143"/>
      <c r="E333" s="3" t="s">
        <v>479</v>
      </c>
      <c r="Y333" s="24">
        <f t="shared" ref="Y333:AN333" si="307">Y36</f>
        <v>0.14304387360763809</v>
      </c>
      <c r="Z333" s="24">
        <f t="shared" si="307"/>
        <v>0.15756228862373775</v>
      </c>
      <c r="AA333" s="24">
        <f t="shared" si="307"/>
        <v>0.21529089336212096</v>
      </c>
      <c r="AB333" s="24">
        <f t="shared" si="307"/>
        <v>0.20928247184071655</v>
      </c>
      <c r="AC333" s="24">
        <f t="shared" si="307"/>
        <v>0.19664374862655143</v>
      </c>
      <c r="AD333" s="24">
        <f t="shared" si="307"/>
        <v>0.20259988694506789</v>
      </c>
      <c r="AE333" s="24">
        <f t="shared" si="307"/>
        <v>0.20660014765766382</v>
      </c>
      <c r="AF333" s="24">
        <f t="shared" si="307"/>
        <v>0.21160014765766383</v>
      </c>
      <c r="AG333" s="24">
        <f t="shared" si="307"/>
        <v>0.21660014765766383</v>
      </c>
      <c r="AH333" s="24">
        <f t="shared" si="307"/>
        <v>0.22260014765766384</v>
      </c>
      <c r="AI333" s="24">
        <f t="shared" si="307"/>
        <v>0.22860014765766384</v>
      </c>
      <c r="AJ333" s="24">
        <f t="shared" si="307"/>
        <v>0.23560014765766385</v>
      </c>
      <c r="AK333" s="24">
        <f t="shared" si="307"/>
        <v>0.24260014765766386</v>
      </c>
      <c r="AL333" s="24">
        <f t="shared" si="307"/>
        <v>0.25060014765766386</v>
      </c>
      <c r="AM333" s="24">
        <f t="shared" si="307"/>
        <v>0.25860014765766387</v>
      </c>
      <c r="AN333" s="24">
        <f t="shared" si="307"/>
        <v>0.26660014765766388</v>
      </c>
    </row>
    <row r="334" spans="1:40" hidden="1" outlineLevel="1"/>
    <row r="335" spans="1:40" hidden="1" outlineLevel="1">
      <c r="E335" s="70" t="str">
        <f>$G$367&amp;" - SG&amp;A as a % rev"</f>
        <v>CDW - SG&amp;A as a % rev</v>
      </c>
      <c r="R335" s="65">
        <f t="shared" ref="R335:AA335" si="308">R376/R373</f>
        <v>0.11794982502386038</v>
      </c>
      <c r="S335" s="65">
        <f t="shared" si="308"/>
        <v>0.1158876947429809</v>
      </c>
      <c r="T335" s="65">
        <f t="shared" si="308"/>
        <v>0.11443296933314902</v>
      </c>
      <c r="U335" s="65">
        <f t="shared" si="308"/>
        <v>0.1162360938283528</v>
      </c>
      <c r="V335" s="65">
        <f t="shared" si="308"/>
        <v>0.1033831628638867</v>
      </c>
      <c r="W335" s="65">
        <f t="shared" si="308"/>
        <v>0.10576886062500482</v>
      </c>
      <c r="X335" s="65">
        <f t="shared" si="308"/>
        <v>0.11031471472350012</v>
      </c>
      <c r="Y335" s="65">
        <f t="shared" si="308"/>
        <v>0.10676941124122728</v>
      </c>
      <c r="Z335" s="65">
        <f t="shared" si="308"/>
        <v>0.10588343954927495</v>
      </c>
      <c r="AA335" s="65">
        <f t="shared" si="308"/>
        <v>0.1057152680730241</v>
      </c>
      <c r="AB335" s="65">
        <f>AB376/AB373</f>
        <v>0.10997157167997833</v>
      </c>
    </row>
    <row r="336" spans="1:40" hidden="1" outlineLevel="1">
      <c r="E336" s="70" t="str">
        <f>$G$397&amp;" - SG&amp;A as a % rev"</f>
        <v>NSIT - SG&amp;A as a % rev</v>
      </c>
      <c r="R336" s="65">
        <f t="shared" ref="R336:AA336" si="309">R407/R402</f>
        <v>0.10791529190653505</v>
      </c>
      <c r="S336" s="65">
        <f t="shared" si="309"/>
        <v>0.10528918879762932</v>
      </c>
      <c r="T336" s="65">
        <f t="shared" si="309"/>
        <v>0.10661365466483548</v>
      </c>
      <c r="U336" s="65">
        <f t="shared" si="309"/>
        <v>0.10981179924293598</v>
      </c>
      <c r="V336" s="65">
        <f t="shared" si="309"/>
        <v>0.10852937298223984</v>
      </c>
      <c r="W336" s="65">
        <f t="shared" si="309"/>
        <v>0.10885840363738555</v>
      </c>
      <c r="X336" s="65">
        <f t="shared" si="309"/>
        <v>0.10668879767897817</v>
      </c>
      <c r="Y336" s="65">
        <f t="shared" si="309"/>
        <v>0.10790105589171704</v>
      </c>
      <c r="Z336" s="65">
        <f t="shared" si="309"/>
        <v>0.1068523260005175</v>
      </c>
      <c r="AA336" s="65">
        <f t="shared" si="309"/>
        <v>0.11391997868374724</v>
      </c>
      <c r="AB336" s="65">
        <f>AB407/AB402</f>
        <v>0.1215461180812507</v>
      </c>
    </row>
    <row r="337" spans="1:40" hidden="1" outlineLevel="1">
      <c r="E337" s="70" t="str">
        <f>$G$429&amp;" - SG&amp;A as a % rev"</f>
        <v>CNXN - SG&amp;A as a % rev</v>
      </c>
      <c r="R337" s="65">
        <f t="shared" ref="R337:AA337" si="310">R434/R431</f>
        <v>9.6866170465171167E-2</v>
      </c>
      <c r="S337" s="65">
        <f t="shared" si="310"/>
        <v>0.10330124875492976</v>
      </c>
      <c r="T337" s="65">
        <f t="shared" si="310"/>
        <v>0.10483340150161681</v>
      </c>
      <c r="U337" s="65">
        <f t="shared" si="310"/>
        <v>0.10514944378877208</v>
      </c>
      <c r="V337" s="65">
        <f t="shared" si="310"/>
        <v>0.10227378367329873</v>
      </c>
      <c r="W337" s="65">
        <f t="shared" si="310"/>
        <v>0.10196882407080415</v>
      </c>
      <c r="X337" s="65">
        <f t="shared" si="310"/>
        <v>0.10667453516908613</v>
      </c>
      <c r="Y337" s="65">
        <f t="shared" si="310"/>
        <v>0.10333966028168029</v>
      </c>
      <c r="Z337" s="65">
        <f t="shared" si="310"/>
        <v>0.1201831161379061</v>
      </c>
      <c r="AA337" s="65">
        <f t="shared" si="310"/>
        <v>0.12008188553755025</v>
      </c>
      <c r="AB337" s="65">
        <f>AB434/AB431</f>
        <v>0.13347578842523425</v>
      </c>
    </row>
    <row r="338" spans="1:40" hidden="1" outlineLevel="1">
      <c r="E338" s="70" t="s">
        <v>454</v>
      </c>
      <c r="R338" s="65">
        <f t="shared" ref="R338:Z338" si="311">SUM(R461:R462)/R458</f>
        <v>0.10738519918812203</v>
      </c>
      <c r="S338" s="65">
        <f t="shared" si="311"/>
        <v>0.11069131441925609</v>
      </c>
      <c r="T338" s="65">
        <f t="shared" si="311"/>
        <v>0.11901461011476822</v>
      </c>
      <c r="U338" s="65">
        <f t="shared" si="311"/>
        <v>0.11525433420497605</v>
      </c>
      <c r="V338" s="65">
        <f t="shared" si="311"/>
        <v>0.11259944009722342</v>
      </c>
      <c r="W338" s="65">
        <f t="shared" si="311"/>
        <v>0.11345341703095713</v>
      </c>
      <c r="X338" s="65">
        <f t="shared" si="311"/>
        <v>0.11291840292425051</v>
      </c>
      <c r="Y338" s="65">
        <f t="shared" si="311"/>
        <v>0.10906764022762235</v>
      </c>
      <c r="Z338" s="65">
        <f t="shared" si="311"/>
        <v>0.10707192947638827</v>
      </c>
      <c r="AA338" s="65">
        <f>SUM(AA461:AA462)/AA458</f>
        <v>0.10349685819189415</v>
      </c>
      <c r="AB338" s="65">
        <f>SUM(AB461:AB462)/AB458</f>
        <v>0.1040984196741741</v>
      </c>
    </row>
    <row r="339" spans="1:40" hidden="1" outlineLevel="1">
      <c r="E339" s="70" t="s">
        <v>506</v>
      </c>
      <c r="R339" s="65">
        <f t="shared" ref="R339:AA339" si="312">(R516+R517)/R514</f>
        <v>0.17967891830464572</v>
      </c>
      <c r="S339" s="65">
        <f t="shared" si="312"/>
        <v>0.17175313144100016</v>
      </c>
      <c r="T339" s="65">
        <f t="shared" si="312"/>
        <v>0.17495188157588717</v>
      </c>
      <c r="U339" s="65">
        <f t="shared" si="312"/>
        <v>0.16947524928722418</v>
      </c>
      <c r="V339" s="65">
        <f t="shared" si="312"/>
        <v>0.16129669100108263</v>
      </c>
      <c r="W339" s="65">
        <f t="shared" si="312"/>
        <v>0.15710774804972516</v>
      </c>
      <c r="X339" s="65">
        <f t="shared" si="312"/>
        <v>0.16253741343909531</v>
      </c>
      <c r="Y339" s="65">
        <f t="shared" si="312"/>
        <v>0.16087282721110074</v>
      </c>
      <c r="Z339" s="65">
        <f t="shared" si="312"/>
        <v>0.16220321396177759</v>
      </c>
      <c r="AA339" s="65">
        <f t="shared" si="312"/>
        <v>0.16835128554379644</v>
      </c>
      <c r="AB339" s="65">
        <f>(AB516+AB517)/AB514</f>
        <v>0.17300638593623713</v>
      </c>
    </row>
    <row r="340" spans="1:40" s="3" customFormat="1" hidden="1" outlineLevel="1">
      <c r="A340" s="110"/>
      <c r="B340" s="110"/>
      <c r="C340" s="143"/>
      <c r="E340" s="3" t="s">
        <v>480</v>
      </c>
      <c r="Y340" s="24">
        <f t="shared" ref="Y340:AN340" si="313">Y40</f>
        <v>0.20570963097673711</v>
      </c>
      <c r="Z340" s="24">
        <f t="shared" si="313"/>
        <v>0.16475643139159352</v>
      </c>
      <c r="AA340" s="24">
        <f t="shared" si="313"/>
        <v>0.19467864698056833</v>
      </c>
      <c r="AB340" s="24">
        <f t="shared" si="313"/>
        <v>0.18728624292394913</v>
      </c>
      <c r="AC340" s="24">
        <f t="shared" si="313"/>
        <v>0.17207586944679629</v>
      </c>
      <c r="AD340" s="24">
        <f t="shared" si="313"/>
        <v>0.16936004522197282</v>
      </c>
      <c r="AE340" s="24">
        <f t="shared" si="313"/>
        <v>0.16775994093693439</v>
      </c>
      <c r="AF340" s="24">
        <f t="shared" si="313"/>
        <v>0.16475994093693438</v>
      </c>
      <c r="AG340" s="24">
        <f t="shared" si="313"/>
        <v>0.16175994093693438</v>
      </c>
      <c r="AH340" s="24">
        <f t="shared" si="313"/>
        <v>0.15875994093693438</v>
      </c>
      <c r="AI340" s="24">
        <f t="shared" si="313"/>
        <v>0.15575994093693438</v>
      </c>
      <c r="AJ340" s="24">
        <f t="shared" si="313"/>
        <v>0.15375994093693438</v>
      </c>
      <c r="AK340" s="24">
        <f t="shared" si="313"/>
        <v>0.15175994093693437</v>
      </c>
      <c r="AL340" s="24">
        <f t="shared" si="313"/>
        <v>0.15025994093693437</v>
      </c>
      <c r="AM340" s="24">
        <f t="shared" si="313"/>
        <v>0.14875994093693437</v>
      </c>
      <c r="AN340" s="24">
        <f t="shared" si="313"/>
        <v>0.14775994093693437</v>
      </c>
    </row>
    <row r="341" spans="1:40" hidden="1" outlineLevel="1"/>
    <row r="342" spans="1:40" hidden="1" outlineLevel="1">
      <c r="E342" s="70" t="str">
        <f>$G$367&amp;" - Operating margin (%)"</f>
        <v>CDW - Operating margin (%)</v>
      </c>
      <c r="R342" s="65">
        <f t="shared" ref="R342:AA342" si="314">R377/R373</f>
        <v>4.0074080807162592E-2</v>
      </c>
      <c r="S342" s="65">
        <f t="shared" si="314"/>
        <v>4.9018995251187393E-2</v>
      </c>
      <c r="T342" s="65">
        <f t="shared" si="314"/>
        <v>5.0413696411998214E-2</v>
      </c>
      <c r="U342" s="65">
        <f t="shared" si="314"/>
        <v>4.7229909180394949E-2</v>
      </c>
      <c r="V342" s="65">
        <f t="shared" si="314"/>
        <v>5.573729761066705E-2</v>
      </c>
      <c r="W342" s="65">
        <f t="shared" si="314"/>
        <v>5.7126579257354419E-2</v>
      </c>
      <c r="X342" s="65">
        <f t="shared" si="314"/>
        <v>5.9973523883358873E-2</v>
      </c>
      <c r="Y342" s="65">
        <f t="shared" si="314"/>
        <v>5.8417436913887295E-2</v>
      </c>
      <c r="Z342" s="65">
        <f t="shared" si="314"/>
        <v>6.0792463286228858E-2</v>
      </c>
      <c r="AA342" s="65">
        <f t="shared" si="314"/>
        <v>6.2864621459151379E-2</v>
      </c>
      <c r="AB342" s="65">
        <f>AB377/AB373</f>
        <v>6.3852714227697505E-2</v>
      </c>
    </row>
    <row r="343" spans="1:40" hidden="1" outlineLevel="1">
      <c r="E343" s="70" t="str">
        <f>$G$397&amp;" - Operating margin (%)"</f>
        <v>NSIT - Operating margin (%)</v>
      </c>
      <c r="R343" s="65">
        <f t="shared" ref="R343:AA343" si="315">R408/R402</f>
        <v>2.6410363560384394E-2</v>
      </c>
      <c r="S343" s="65">
        <f t="shared" si="315"/>
        <v>2.8838875798668326E-2</v>
      </c>
      <c r="T343" s="65">
        <f t="shared" si="315"/>
        <v>2.9137360955257159E-2</v>
      </c>
      <c r="U343" s="65">
        <f t="shared" si="315"/>
        <v>2.6043538664868398E-2</v>
      </c>
      <c r="V343" s="65">
        <f t="shared" si="315"/>
        <v>2.5475952973432907E-2</v>
      </c>
      <c r="W343" s="65">
        <f t="shared" si="315"/>
        <v>2.4460040684224606E-2</v>
      </c>
      <c r="X343" s="65">
        <f t="shared" si="315"/>
        <v>2.8777425638249223E-2</v>
      </c>
      <c r="Y343" s="65">
        <f t="shared" si="315"/>
        <v>2.912484786211883E-2</v>
      </c>
      <c r="Z343" s="65">
        <f t="shared" si="315"/>
        <v>3.3500627671558959E-2</v>
      </c>
      <c r="AA343" s="65">
        <f t="shared" si="315"/>
        <v>3.3288665781076504E-2</v>
      </c>
      <c r="AB343" s="65">
        <f>AB408/AB402</f>
        <v>3.4311406917913116E-2</v>
      </c>
    </row>
    <row r="344" spans="1:40" hidden="1" outlineLevel="1">
      <c r="E344" s="70" t="str">
        <f>$G$429&amp;" - Operating margin (%)"</f>
        <v>CNXN - Operating margin (%)</v>
      </c>
      <c r="R344" s="65">
        <f t="shared" ref="R344:AA344" si="316">R435/R431</f>
        <v>1.9586181325277448E-2</v>
      </c>
      <c r="S344" s="65">
        <f t="shared" si="316"/>
        <v>2.2636387192476574E-2</v>
      </c>
      <c r="T344" s="65">
        <f t="shared" si="316"/>
        <v>2.5831533397286426E-2</v>
      </c>
      <c r="U344" s="65">
        <f t="shared" si="316"/>
        <v>2.6735228691623023E-2</v>
      </c>
      <c r="V344" s="65">
        <f t="shared" si="316"/>
        <v>2.9006969808053267E-2</v>
      </c>
      <c r="W344" s="65">
        <f t="shared" si="316"/>
        <v>3.0518579643220734E-2</v>
      </c>
      <c r="X344" s="65">
        <f t="shared" si="316"/>
        <v>3.1169222815784995E-2</v>
      </c>
      <c r="Y344" s="65">
        <f t="shared" si="316"/>
        <v>2.7873029239155564E-2</v>
      </c>
      <c r="Z344" s="65">
        <f t="shared" si="316"/>
        <v>3.2099778884077779E-2</v>
      </c>
      <c r="AA344" s="65">
        <f t="shared" si="316"/>
        <v>3.9955192029599629E-2</v>
      </c>
      <c r="AB344" s="65">
        <f>AB435/AB431</f>
        <v>2.8207652425017972E-2</v>
      </c>
    </row>
    <row r="345" spans="1:40" hidden="1" outlineLevel="1">
      <c r="E345" s="70" t="s">
        <v>471</v>
      </c>
      <c r="R345" s="65">
        <f t="shared" ref="R345:AA345" si="317">R463/R458</f>
        <v>2.9869657250282688E-2</v>
      </c>
      <c r="S345" s="65">
        <f t="shared" si="317"/>
        <v>3.8538639648179586E-2</v>
      </c>
      <c r="T345" s="65">
        <f t="shared" si="317"/>
        <v>3.3024057686942443E-2</v>
      </c>
      <c r="U345" s="65">
        <f t="shared" si="317"/>
        <v>3.4477905066450938E-2</v>
      </c>
      <c r="V345" s="65">
        <f t="shared" si="317"/>
        <v>3.5915856471434533E-2</v>
      </c>
      <c r="W345" s="65">
        <f t="shared" si="317"/>
        <v>3.8203258358430719E-2</v>
      </c>
      <c r="X345" s="65">
        <f t="shared" si="317"/>
        <v>4.0462842552267224E-2</v>
      </c>
      <c r="Y345" s="65">
        <f t="shared" si="317"/>
        <v>4.3250598578648707E-2</v>
      </c>
      <c r="Z345" s="65">
        <f t="shared" si="317"/>
        <v>4.1641165419707776E-2</v>
      </c>
      <c r="AA345" s="65">
        <f t="shared" si="317"/>
        <v>3.9367355152235786E-2</v>
      </c>
      <c r="AB345" s="65">
        <f>AB463/AB458</f>
        <v>4.3099592163448081E-2</v>
      </c>
    </row>
    <row r="346" spans="1:40" hidden="1" outlineLevel="1">
      <c r="E346" s="70" t="str">
        <f>$G$483&amp;" - Operating margin (%)"</f>
        <v>GIB.A - Operating margin (%)</v>
      </c>
      <c r="R346" s="65">
        <f t="shared" ref="R346:AA346" si="318">R490/R487</f>
        <v>0.11040061177074573</v>
      </c>
      <c r="S346" s="65">
        <f t="shared" si="318"/>
        <v>0.12618118335905179</v>
      </c>
      <c r="T346" s="65">
        <f t="shared" si="318"/>
        <v>9.3630027654535666E-2</v>
      </c>
      <c r="U346" s="65">
        <f t="shared" si="318"/>
        <v>9.6820962288727899E-2</v>
      </c>
      <c r="V346" s="65">
        <f t="shared" si="318"/>
        <v>0.11893558401522639</v>
      </c>
      <c r="W346" s="65">
        <f t="shared" si="318"/>
        <v>0.13168196350068101</v>
      </c>
      <c r="X346" s="65">
        <f t="shared" si="318"/>
        <v>0.12993557025268671</v>
      </c>
      <c r="Y346" s="65">
        <f t="shared" si="318"/>
        <v>0.12950183982282804</v>
      </c>
      <c r="Z346" s="65">
        <f t="shared" si="318"/>
        <v>0.13231634269227169</v>
      </c>
      <c r="AA346" s="65">
        <f t="shared" si="318"/>
        <v>0.13671932410531856</v>
      </c>
      <c r="AB346" s="65">
        <f>AB490/AB487</f>
        <v>0.13989895689082199</v>
      </c>
    </row>
    <row r="347" spans="1:40" hidden="1" outlineLevel="1">
      <c r="E347" s="70" t="s">
        <v>507</v>
      </c>
      <c r="R347" s="65">
        <f t="shared" ref="R347:AA347" si="319">R518/R514</f>
        <v>0.12693298417857773</v>
      </c>
      <c r="S347" s="65">
        <f t="shared" si="319"/>
        <v>0.13007055816807483</v>
      </c>
      <c r="T347" s="65">
        <f t="shared" si="319"/>
        <v>0.13379611553922818</v>
      </c>
      <c r="U347" s="65">
        <f t="shared" si="319"/>
        <v>0.13435417292686072</v>
      </c>
      <c r="V347" s="65">
        <f t="shared" si="319"/>
        <v>0.13672588426728149</v>
      </c>
      <c r="W347" s="65">
        <f t="shared" si="319"/>
        <v>0.13824044490347923</v>
      </c>
      <c r="X347" s="65">
        <f t="shared" si="319"/>
        <v>0.14350070376517118</v>
      </c>
      <c r="Y347" s="65">
        <f t="shared" si="319"/>
        <v>0.14389888305273157</v>
      </c>
      <c r="Z347" s="65">
        <f t="shared" si="319"/>
        <v>0.14590008338074534</v>
      </c>
      <c r="AA347" s="65">
        <f t="shared" si="319"/>
        <v>0.14694516365056554</v>
      </c>
      <c r="AB347" s="65">
        <f>AB518/AB514</f>
        <v>0.1508216478415885</v>
      </c>
    </row>
    <row r="348" spans="1:40" s="3" customFormat="1" hidden="1" outlineLevel="1">
      <c r="A348" s="110"/>
      <c r="B348" s="110"/>
      <c r="C348" s="143"/>
      <c r="E348" s="3" t="s">
        <v>481</v>
      </c>
      <c r="Y348" s="24">
        <f t="shared" ref="Y348:AN348" si="320">Y39</f>
        <v>-2.0819125558839097E-2</v>
      </c>
      <c r="Z348" s="24">
        <f t="shared" si="320"/>
        <v>2.0553449203276158E-2</v>
      </c>
      <c r="AA348" s="24">
        <f t="shared" si="320"/>
        <v>2.0222595395430476E-2</v>
      </c>
      <c r="AB348" s="24">
        <f t="shared" si="320"/>
        <v>3.3973475941690416E-2</v>
      </c>
      <c r="AC348" s="24">
        <f t="shared" si="320"/>
        <v>3.3401605902515313E-2</v>
      </c>
      <c r="AD348" s="24">
        <f t="shared" si="320"/>
        <v>3.5735209517549063E-2</v>
      </c>
      <c r="AE348" s="24">
        <f t="shared" si="320"/>
        <v>4.1095896750160968E-2</v>
      </c>
      <c r="AF348" s="24">
        <f t="shared" ca="1" si="320"/>
        <v>5.0164827041371991E-2</v>
      </c>
      <c r="AG348" s="24">
        <f t="shared" ca="1" si="320"/>
        <v>5.5360521953975068E-2</v>
      </c>
      <c r="AH348" s="24">
        <f t="shared" ca="1" si="320"/>
        <v>5.9648921322114912E-2</v>
      </c>
      <c r="AI348" s="24">
        <f t="shared" ca="1" si="320"/>
        <v>6.4248541384556337E-2</v>
      </c>
      <c r="AJ348" s="24">
        <f t="shared" ca="1" si="320"/>
        <v>6.7967525160986836E-2</v>
      </c>
      <c r="AK348" s="24">
        <f t="shared" ca="1" si="320"/>
        <v>7.1795538235036344E-2</v>
      </c>
      <c r="AL348" s="24">
        <f t="shared" ca="1" si="320"/>
        <v>7.5179059668902995E-2</v>
      </c>
      <c r="AM348" s="24">
        <f t="shared" ca="1" si="320"/>
        <v>7.8634079296308335E-2</v>
      </c>
      <c r="AN348" s="24">
        <f t="shared" ca="1" si="320"/>
        <v>8.1625799299363422E-2</v>
      </c>
    </row>
    <row r="349" spans="1:40" s="3" customFormat="1" hidden="1" outlineLevel="1">
      <c r="A349" s="110"/>
      <c r="B349" s="110"/>
      <c r="C349" s="143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</row>
    <row r="350" spans="1:40" hidden="1" outlineLevel="1">
      <c r="E350" s="70" t="str">
        <f>$G$367&amp;" - Adj. EBITDA margin (%)"</f>
        <v>CDW - Adj. EBITDA margin (%)</v>
      </c>
      <c r="R350" s="65">
        <f t="shared" ref="R350:AA350" si="321">(R377+R381)/R373</f>
        <v>6.3866290960323521E-2</v>
      </c>
      <c r="S350" s="65">
        <f t="shared" si="321"/>
        <v>7.0357410647338345E-2</v>
      </c>
      <c r="T350" s="65">
        <f t="shared" si="321"/>
        <v>7.1167630970952425E-2</v>
      </c>
      <c r="U350" s="65">
        <f t="shared" si="321"/>
        <v>6.6563898742640737E-2</v>
      </c>
      <c r="V350" s="65">
        <f t="shared" si="321"/>
        <v>7.2955401879994969E-2</v>
      </c>
      <c r="W350" s="65">
        <f t="shared" si="321"/>
        <v>7.4634105029756592E-2</v>
      </c>
      <c r="X350" s="65">
        <f t="shared" si="321"/>
        <v>7.858725782032816E-2</v>
      </c>
      <c r="Y350" s="65">
        <f t="shared" si="321"/>
        <v>7.6006714802904274E-2</v>
      </c>
      <c r="Z350" s="65">
        <f t="shared" si="321"/>
        <v>7.7146639573904718E-2</v>
      </c>
      <c r="AA350" s="65">
        <f t="shared" si="321"/>
        <v>7.7676848339655366E-2</v>
      </c>
      <c r="AB350" s="65">
        <f>(AB377+AB381)/AB373</f>
        <v>8.6898605658589603E-2</v>
      </c>
    </row>
    <row r="351" spans="1:40" hidden="1" outlineLevel="1">
      <c r="E351" s="70" t="str">
        <f>$G$397&amp;" - Adj. EBITDA margin (%)"</f>
        <v>NSIT - Adj. EBITDA margin (%)</v>
      </c>
      <c r="R351" s="65">
        <f t="shared" ref="R351:AA351" si="322">(R408+R414)/R402</f>
        <v>3.4313389176141802E-2</v>
      </c>
      <c r="S351" s="65">
        <f t="shared" si="322"/>
        <v>3.6241417541635068E-2</v>
      </c>
      <c r="T351" s="65">
        <f t="shared" si="322"/>
        <v>3.7016350837442022E-2</v>
      </c>
      <c r="U351" s="65">
        <f t="shared" si="322"/>
        <v>3.4119199190878795E-2</v>
      </c>
      <c r="V351" s="65">
        <f t="shared" si="322"/>
        <v>3.3108995116651344E-2</v>
      </c>
      <c r="W351" s="65">
        <f t="shared" si="322"/>
        <v>3.1468484614998141E-2</v>
      </c>
      <c r="X351" s="65">
        <f t="shared" si="322"/>
        <v>3.5728459406272825E-2</v>
      </c>
      <c r="Y351" s="65">
        <f t="shared" si="322"/>
        <v>3.5479471324685263E-2</v>
      </c>
      <c r="Z351" s="65">
        <f t="shared" si="322"/>
        <v>3.8791204010770512E-2</v>
      </c>
      <c r="AA351" s="65">
        <f t="shared" si="322"/>
        <v>3.9265624050114002E-2</v>
      </c>
      <c r="AB351" s="65">
        <f>(AB408+AB414)/AB402</f>
        <v>4.2171772487257883E-2</v>
      </c>
    </row>
    <row r="352" spans="1:40" hidden="1" outlineLevel="1">
      <c r="E352" s="70" t="str">
        <f>$G$429&amp;" - Adj. EBITDA margin (%)"</f>
        <v>CNXN - Adj. EBITDA margin (%)</v>
      </c>
      <c r="R352" s="65">
        <f t="shared" ref="R352:AA352" si="323">(R435+R440)/R431</f>
        <v>2.2336665319284126E-2</v>
      </c>
      <c r="S352" s="65">
        <f t="shared" si="323"/>
        <v>2.5465757299855712E-2</v>
      </c>
      <c r="T352" s="65">
        <f t="shared" si="323"/>
        <v>2.9025329419562863E-2</v>
      </c>
      <c r="U352" s="65">
        <f t="shared" si="323"/>
        <v>2.9926117576310807E-2</v>
      </c>
      <c r="V352" s="65">
        <f t="shared" si="323"/>
        <v>3.2291941953584188E-2</v>
      </c>
      <c r="W352" s="65">
        <f t="shared" si="323"/>
        <v>3.3999968142633896E-2</v>
      </c>
      <c r="X352" s="65">
        <f t="shared" si="323"/>
        <v>3.50513557196932E-2</v>
      </c>
      <c r="Y352" s="65">
        <f t="shared" si="323"/>
        <v>3.1938783254684348E-2</v>
      </c>
      <c r="Z352" s="65">
        <f t="shared" si="323"/>
        <v>3.7309283349552545E-2</v>
      </c>
      <c r="AA352" s="65">
        <f t="shared" si="323"/>
        <v>4.4676411702837607E-2</v>
      </c>
      <c r="AB352" s="65">
        <f>(AB435+AB440)/AB431</f>
        <v>3.3459187967370373E-2</v>
      </c>
    </row>
    <row r="353" spans="1:40" hidden="1" outlineLevel="1">
      <c r="E353" s="70" t="s">
        <v>496</v>
      </c>
      <c r="R353" s="65">
        <f t="shared" ref="R353:AA353" si="324">(R463+R467)/R458</f>
        <v>3.8807396052861334E-2</v>
      </c>
      <c r="S353" s="65">
        <f t="shared" si="324"/>
        <v>4.7742697434082604E-2</v>
      </c>
      <c r="T353" s="65">
        <f t="shared" si="324"/>
        <v>4.3395879981018994E-2</v>
      </c>
      <c r="U353" s="65">
        <f t="shared" si="324"/>
        <v>4.437152653305397E-2</v>
      </c>
      <c r="V353" s="65">
        <f t="shared" si="324"/>
        <v>4.5120847232728696E-2</v>
      </c>
      <c r="W353" s="65">
        <f t="shared" si="324"/>
        <v>4.7540302115315805E-2</v>
      </c>
      <c r="X353" s="65">
        <f t="shared" si="324"/>
        <v>4.9421721572327812E-2</v>
      </c>
      <c r="Y353" s="65">
        <f t="shared" si="324"/>
        <v>5.2194265521309527E-2</v>
      </c>
      <c r="Z353" s="65">
        <f t="shared" si="324"/>
        <v>5.1350606177940225E-2</v>
      </c>
      <c r="AA353" s="65">
        <f t="shared" si="324"/>
        <v>5.5110352625653086E-2</v>
      </c>
      <c r="AB353" s="65">
        <f>(AB463+AB467)/AB458</f>
        <v>5.9963985006297238E-2</v>
      </c>
    </row>
    <row r="354" spans="1:40" hidden="1" outlineLevel="1">
      <c r="E354" s="70" t="str">
        <f>$G$483&amp;" - Adj. EBITDA margin (%)"</f>
        <v>GIB.A - Adj. EBITDA margin (%)</v>
      </c>
      <c r="R354" s="65">
        <f t="shared" ref="R354:AA354" si="325">(R490+R489)/R487</f>
        <v>0.16273230448027223</v>
      </c>
      <c r="S354" s="65">
        <f t="shared" si="325"/>
        <v>0.1760043106652506</v>
      </c>
      <c r="T354" s="65">
        <f t="shared" si="325"/>
        <v>0.13973922011610784</v>
      </c>
      <c r="U354" s="65">
        <f t="shared" si="325"/>
        <v>0.13816003452384545</v>
      </c>
      <c r="V354" s="65">
        <f t="shared" si="325"/>
        <v>0.16043918240649349</v>
      </c>
      <c r="W354" s="65">
        <f t="shared" si="325"/>
        <v>0.1723164632662125</v>
      </c>
      <c r="X354" s="65">
        <f t="shared" si="325"/>
        <v>0.16682073942944767</v>
      </c>
      <c r="Y354" s="65">
        <f t="shared" si="325"/>
        <v>0.16328466788491638</v>
      </c>
      <c r="Z354" s="65">
        <f t="shared" si="325"/>
        <v>0.1656734155598959</v>
      </c>
      <c r="AA354" s="65">
        <f t="shared" si="325"/>
        <v>0.16876287440852461</v>
      </c>
      <c r="AB354" s="65">
        <f>(AB490+AB489)/AB487</f>
        <v>0.1856121879807944</v>
      </c>
    </row>
    <row r="355" spans="1:40" hidden="1" outlineLevel="1">
      <c r="E355" s="70" t="s">
        <v>508</v>
      </c>
      <c r="R355" s="65">
        <f t="shared" ref="R355:AA355" si="326">(R518+R522)/R514</f>
        <v>0.14569720067119712</v>
      </c>
      <c r="S355" s="65">
        <f t="shared" si="326"/>
        <v>0.15000290147244358</v>
      </c>
      <c r="T355" s="65">
        <f t="shared" si="326"/>
        <v>0.15330728479431474</v>
      </c>
      <c r="U355" s="65">
        <f t="shared" si="326"/>
        <v>0.15382897358210185</v>
      </c>
      <c r="V355" s="65">
        <f t="shared" si="326"/>
        <v>0.15635019732684996</v>
      </c>
      <c r="W355" s="65">
        <f t="shared" si="326"/>
        <v>0.15919162380458923</v>
      </c>
      <c r="X355" s="65">
        <f t="shared" si="326"/>
        <v>0.16566375062056263</v>
      </c>
      <c r="Y355" s="65">
        <f t="shared" si="326"/>
        <v>0.16650729212038254</v>
      </c>
      <c r="Z355" s="65">
        <f t="shared" si="326"/>
        <v>0.1665586447931878</v>
      </c>
      <c r="AA355" s="65">
        <f t="shared" si="326"/>
        <v>0.18694612107973196</v>
      </c>
      <c r="AB355" s="65">
        <f>(AB518+AB522)/AB514</f>
        <v>0.1882472398595709</v>
      </c>
    </row>
    <row r="356" spans="1:40" s="3" customFormat="1" hidden="1" outlineLevel="1">
      <c r="A356" s="110"/>
      <c r="B356" s="110"/>
      <c r="C356" s="143"/>
      <c r="E356" s="3" t="s">
        <v>497</v>
      </c>
      <c r="Y356" s="24">
        <f t="shared" ref="Y356:AN356" si="327">Y42</f>
        <v>-5.986208986890929E-3</v>
      </c>
      <c r="Z356" s="24">
        <f t="shared" si="327"/>
        <v>3.5701763746398545E-2</v>
      </c>
      <c r="AA356" s="24">
        <f t="shared" si="327"/>
        <v>4.622889087591521E-2</v>
      </c>
      <c r="AB356" s="24">
        <f t="shared" si="327"/>
        <v>6.2482148484557763E-2</v>
      </c>
      <c r="AC356" s="24">
        <f t="shared" si="327"/>
        <v>5.9105487400930946E-2</v>
      </c>
      <c r="AD356" s="24">
        <f t="shared" si="327"/>
        <v>6.2182854415636792E-2</v>
      </c>
      <c r="AE356" s="24">
        <f t="shared" si="327"/>
        <v>6.7183180306381762E-2</v>
      </c>
      <c r="AF356" s="24">
        <f t="shared" ca="1" si="327"/>
        <v>7.2433180306381767E-2</v>
      </c>
      <c r="AG356" s="24">
        <f t="shared" ca="1" si="327"/>
        <v>7.7683180306381758E-2</v>
      </c>
      <c r="AH356" s="24">
        <f t="shared" ca="1" si="327"/>
        <v>8.2933180306381762E-2</v>
      </c>
      <c r="AI356" s="24">
        <f t="shared" ca="1" si="327"/>
        <v>8.8183180306381795E-2</v>
      </c>
      <c r="AJ356" s="24">
        <f t="shared" ca="1" si="327"/>
        <v>9.2433180306381785E-2</v>
      </c>
      <c r="AK356" s="24">
        <f t="shared" ca="1" si="327"/>
        <v>9.6683180306381802E-2</v>
      </c>
      <c r="AL356" s="24">
        <f t="shared" ca="1" si="327"/>
        <v>0.10043318030638178</v>
      </c>
      <c r="AM356" s="24">
        <f t="shared" ca="1" si="327"/>
        <v>0.10418318030638174</v>
      </c>
      <c r="AN356" s="24">
        <f t="shared" ca="1" si="327"/>
        <v>0.10743318030638171</v>
      </c>
    </row>
    <row r="357" spans="1:40" s="3" customFormat="1" hidden="1" outlineLevel="1">
      <c r="A357" s="110"/>
      <c r="B357" s="110"/>
      <c r="C357" s="143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</row>
    <row r="358" spans="1:40" hidden="1" outlineLevel="1">
      <c r="E358" s="70" t="s">
        <v>482</v>
      </c>
      <c r="R358" s="65">
        <f>(SUM(R385:R388)-SUM(R393:R395))/R373</f>
        <v>8.7647139026496373E-2</v>
      </c>
      <c r="S358" s="65">
        <f t="shared" ref="S358:AB358" si="328">(SUM(S385:S388)-SUM(S393:S395))/S373</f>
        <v>6.6566691660418217E-2</v>
      </c>
      <c r="T358" s="65">
        <f t="shared" si="328"/>
        <v>9.5890681463636177E-2</v>
      </c>
      <c r="U358" s="65">
        <f t="shared" si="328"/>
        <v>9.3902642869082328E-2</v>
      </c>
      <c r="V358" s="65">
        <f t="shared" si="328"/>
        <v>8.2115201457617276E-2</v>
      </c>
      <c r="W358" s="65">
        <f t="shared" si="328"/>
        <v>9.9717446703673218E-2</v>
      </c>
      <c r="X358" s="65">
        <f t="shared" si="328"/>
        <v>8.4621179430544077E-2</v>
      </c>
      <c r="Y358" s="65">
        <f t="shared" si="328"/>
        <v>8.6132853319310476E-2</v>
      </c>
      <c r="Z358" s="65">
        <f t="shared" si="328"/>
        <v>8.6592161571380208E-2</v>
      </c>
      <c r="AA358" s="65">
        <f t="shared" si="328"/>
        <v>9.2222887691044975E-2</v>
      </c>
      <c r="AB358" s="65">
        <f t="shared" si="328"/>
        <v>9.1328008663868962E-2</v>
      </c>
    </row>
    <row r="359" spans="1:40" hidden="1" outlineLevel="1">
      <c r="E359" s="70" t="s">
        <v>483</v>
      </c>
      <c r="R359" s="65">
        <f>(SUM(R418:R420)-SUM(R425:R427))/R402</f>
        <v>4.7696328220992859E-2</v>
      </c>
      <c r="S359" s="65">
        <f t="shared" ref="S359:AA359" si="329">(SUM(S418:S420)-SUM(S425:S427))/S402</f>
        <v>5.6588714183095246E-2</v>
      </c>
      <c r="T359" s="65">
        <f t="shared" si="329"/>
        <v>6.9398489957730375E-2</v>
      </c>
      <c r="U359" s="65">
        <f t="shared" si="329"/>
        <v>8.9497267583232648E-2</v>
      </c>
      <c r="V359" s="65">
        <f t="shared" si="329"/>
        <v>8.7673047944322957E-2</v>
      </c>
      <c r="W359" s="65">
        <f t="shared" si="329"/>
        <v>6.6459151065774047E-2</v>
      </c>
      <c r="X359" s="65">
        <f t="shared" si="329"/>
        <v>6.2444638288291957E-2</v>
      </c>
      <c r="Y359" s="65">
        <f t="shared" si="329"/>
        <v>0.11443856553389112</v>
      </c>
      <c r="Z359" s="65">
        <f t="shared" si="329"/>
        <v>0.1021103266942895</v>
      </c>
      <c r="AA359" s="65">
        <f t="shared" si="329"/>
        <v>0.1360110151218635</v>
      </c>
      <c r="AB359" s="65">
        <f>(SUM(AB418:AB420)-SUM(AB425:AB427))/AB402</f>
        <v>9.8527692142236126E-2</v>
      </c>
    </row>
    <row r="360" spans="1:40" hidden="1" outlineLevel="1">
      <c r="E360" s="70" t="s">
        <v>484</v>
      </c>
      <c r="R360" s="65">
        <f t="shared" ref="R360:AA360" si="330">(SUM(R444:R446)-SUM(R451:R452))/R431</f>
        <v>8.6399135243779984E-2</v>
      </c>
      <c r="S360" s="65">
        <f t="shared" si="330"/>
        <v>9.9336992671023319E-2</v>
      </c>
      <c r="T360" s="65">
        <f t="shared" si="330"/>
        <v>8.526161566706332E-2</v>
      </c>
      <c r="U360" s="65">
        <f t="shared" si="330"/>
        <v>9.6248353692185679E-2</v>
      </c>
      <c r="V360" s="65">
        <f t="shared" si="330"/>
        <v>9.4400324112921513E-2</v>
      </c>
      <c r="W360" s="65">
        <f t="shared" si="330"/>
        <v>9.7382528876565511E-2</v>
      </c>
      <c r="X360" s="65">
        <f t="shared" si="330"/>
        <v>0.10389134335985546</v>
      </c>
      <c r="Y360" s="65">
        <f t="shared" si="330"/>
        <v>0.10923859234728869</v>
      </c>
      <c r="Z360" s="65">
        <f t="shared" si="330"/>
        <v>0.11768042025731537</v>
      </c>
      <c r="AA360" s="65">
        <f t="shared" si="330"/>
        <v>0.13383810266117355</v>
      </c>
      <c r="AB360" s="65">
        <f>(SUM(AB444:AB446)-SUM(AB451:AB452))/AB431</f>
        <v>0.16255515791668113</v>
      </c>
    </row>
    <row r="361" spans="1:40" hidden="1" outlineLevel="1">
      <c r="E361" s="70" t="s">
        <v>485</v>
      </c>
      <c r="R361" s="65">
        <f t="shared" ref="R361:AA361" si="331">(SUM(R471:R473)-SUM(R478:R479))/R458</f>
        <v>7.5698277167992226E-2</v>
      </c>
      <c r="S361" s="65">
        <f t="shared" si="331"/>
        <v>7.4776390170641763E-2</v>
      </c>
      <c r="T361" s="65">
        <f t="shared" si="331"/>
        <v>9.0661878497831264E-2</v>
      </c>
      <c r="U361" s="65">
        <f t="shared" si="331"/>
        <v>8.2613256740202812E-2</v>
      </c>
      <c r="V361" s="65">
        <f t="shared" si="331"/>
        <v>9.338998499485357E-2</v>
      </c>
      <c r="W361" s="65">
        <f t="shared" si="331"/>
        <v>8.8879219214616015E-2</v>
      </c>
      <c r="X361" s="65">
        <f t="shared" si="331"/>
        <v>0.10182542614880691</v>
      </c>
      <c r="Y361" s="65">
        <f t="shared" si="331"/>
        <v>9.9678890705196796E-2</v>
      </c>
      <c r="Z361" s="65">
        <f t="shared" si="331"/>
        <v>0.10870493449706913</v>
      </c>
      <c r="AA361" s="65">
        <f t="shared" si="331"/>
        <v>0.11910923772149465</v>
      </c>
      <c r="AB361" s="65">
        <f>(SUM(AB471:AB473)-SUM(AB478:AB479))/AB458</f>
        <v>0.1177072344289455</v>
      </c>
    </row>
    <row r="362" spans="1:40" hidden="1" outlineLevel="1">
      <c r="E362" s="70" t="s">
        <v>486</v>
      </c>
      <c r="R362" s="65">
        <f t="shared" ref="R362:AB362" si="332">(SUM(R497:R499)-SUM(R504:R505))/R487</f>
        <v>3.0888903000629415E-2</v>
      </c>
      <c r="S362" s="65">
        <f t="shared" si="332"/>
        <v>6.501912194817068E-2</v>
      </c>
      <c r="T362" s="65">
        <f t="shared" si="332"/>
        <v>-4.821963710912671E-2</v>
      </c>
      <c r="U362" s="65">
        <f t="shared" si="332"/>
        <v>-5.8848897093238185E-2</v>
      </c>
      <c r="V362" s="65">
        <f t="shared" si="332"/>
        <v>-6.4814377412213617E-2</v>
      </c>
      <c r="W362" s="65">
        <f t="shared" si="332"/>
        <v>-7.4476606420315325E-2</v>
      </c>
      <c r="X362" s="65">
        <f t="shared" si="332"/>
        <v>-2.2421050345661701E-3</v>
      </c>
      <c r="Y362" s="65">
        <f t="shared" si="332"/>
        <v>9.3830687614072823E-3</v>
      </c>
      <c r="Z362" s="65">
        <f t="shared" si="332"/>
        <v>1.0816537142087447E-2</v>
      </c>
      <c r="AA362" s="65">
        <f t="shared" si="332"/>
        <v>2.0903068852757868E-2</v>
      </c>
      <c r="AB362" s="65">
        <f t="shared" si="332"/>
        <v>4.8268205290725617E-3</v>
      </c>
    </row>
    <row r="363" spans="1:40" hidden="1" outlineLevel="1">
      <c r="E363" s="70" t="s">
        <v>509</v>
      </c>
      <c r="R363" s="65">
        <f t="shared" ref="R363:AA363" si="333">(SUM(R529:R530)-SUM(R536:R537))/R514</f>
        <v>0.17606628675833222</v>
      </c>
      <c r="S363" s="65">
        <f t="shared" si="333"/>
        <v>0.16929611487466714</v>
      </c>
      <c r="T363" s="65">
        <f t="shared" si="333"/>
        <v>0.17266131923559441</v>
      </c>
      <c r="U363" s="65">
        <f t="shared" si="333"/>
        <v>0.18561150641270791</v>
      </c>
      <c r="V363" s="65">
        <f t="shared" si="333"/>
        <v>0.15754174172747232</v>
      </c>
      <c r="W363" s="65">
        <f t="shared" si="333"/>
        <v>0.16630190075999363</v>
      </c>
      <c r="X363" s="65">
        <f t="shared" si="333"/>
        <v>0.17807948400136661</v>
      </c>
      <c r="Y363" s="65">
        <f t="shared" si="333"/>
        <v>0.1749636854612675</v>
      </c>
      <c r="Z363" s="65">
        <f>(SUM(Z529:Z530)-SUM(Z536:Z537))/Z514</f>
        <v>0.17757240984747594</v>
      </c>
      <c r="AA363" s="65">
        <f t="shared" si="333"/>
        <v>-7.7032575985957474E-2</v>
      </c>
      <c r="AB363" s="65">
        <f>(SUM(AB529:AB530)-SUM(AB536:AB537))/AB514</f>
        <v>-8.3167665639840627E-2</v>
      </c>
    </row>
    <row r="364" spans="1:40" s="3" customFormat="1" hidden="1" outlineLevel="1">
      <c r="A364" s="110"/>
      <c r="B364" s="110"/>
      <c r="C364" s="143"/>
      <c r="E364" s="3" t="s">
        <v>487</v>
      </c>
      <c r="Y364" s="24">
        <f t="shared" ref="Y364:AN364" si="334">(SUM(Y127:Y129)-SUM(Y139:Y142))/Y61</f>
        <v>-0.12239524134272937</v>
      </c>
      <c r="Z364" s="24">
        <f t="shared" si="334"/>
        <v>-2.7413309871883861E-2</v>
      </c>
      <c r="AA364" s="24">
        <f t="shared" si="334"/>
        <v>-5.1763970369078087E-2</v>
      </c>
      <c r="AB364" s="24">
        <f t="shared" si="334"/>
        <v>-2.7103738515744651E-2</v>
      </c>
      <c r="AC364" s="24">
        <f t="shared" si="334"/>
        <v>-2.6545877413813552E-2</v>
      </c>
      <c r="AD364" s="24">
        <f t="shared" si="334"/>
        <v>-2.3233300278183506E-2</v>
      </c>
      <c r="AE364" s="24">
        <f t="shared" si="334"/>
        <v>-2.4428202805965658E-2</v>
      </c>
      <c r="AF364" s="24">
        <f t="shared" si="334"/>
        <v>-2.7892593613255266E-2</v>
      </c>
      <c r="AG364" s="24">
        <f t="shared" si="334"/>
        <v>-2.6555214941133422E-2</v>
      </c>
      <c r="AH364" s="24">
        <f t="shared" si="334"/>
        <v>-2.4468653820160904E-2</v>
      </c>
      <c r="AI364" s="24">
        <f t="shared" si="334"/>
        <v>-2.2102769968971276E-2</v>
      </c>
      <c r="AJ364" s="24">
        <f t="shared" si="334"/>
        <v>-1.9580333490657978E-2</v>
      </c>
      <c r="AK364" s="24">
        <f t="shared" si="334"/>
        <v>-1.7009679646401311E-2</v>
      </c>
      <c r="AL364" s="24">
        <f t="shared" si="334"/>
        <v>-1.4428857115690594E-2</v>
      </c>
      <c r="AM364" s="24">
        <f t="shared" si="334"/>
        <v>-1.1844361533757739E-2</v>
      </c>
      <c r="AN364" s="24">
        <f t="shared" si="334"/>
        <v>-9.2616523217584883E-3</v>
      </c>
    </row>
    <row r="365" spans="1:40" s="3" customFormat="1" hidden="1" outlineLevel="1">
      <c r="A365" s="110"/>
      <c r="B365" s="110"/>
      <c r="C365" s="143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</row>
    <row r="366" spans="1:40" collapsed="1"/>
    <row r="367" spans="1:40">
      <c r="D367" s="104"/>
      <c r="E367" s="105" t="s">
        <v>393</v>
      </c>
      <c r="F367" s="104"/>
      <c r="G367" s="105" t="s">
        <v>414</v>
      </c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104"/>
      <c r="AK367" s="104"/>
      <c r="AL367" s="104"/>
      <c r="AM367" s="104"/>
      <c r="AN367" s="104"/>
    </row>
    <row r="368" spans="1:40" ht="5.0999999999999996" hidden="1" customHeight="1" outlineLevel="1"/>
    <row r="369" spans="1:41" hidden="1" outlineLevel="1">
      <c r="E369" s="70" t="s">
        <v>394</v>
      </c>
      <c r="H369" s="284"/>
      <c r="I369" s="284"/>
      <c r="J369" s="284"/>
      <c r="K369" s="284"/>
      <c r="L369" s="284"/>
      <c r="M369" s="284"/>
      <c r="N369" s="284"/>
      <c r="O369" s="284"/>
      <c r="P369" s="225">
        <v>6397.7</v>
      </c>
      <c r="Q369" s="225">
        <v>5634.1</v>
      </c>
      <c r="R369" s="225">
        <v>6923.9</v>
      </c>
      <c r="S369" s="225">
        <v>7492.8000000000011</v>
      </c>
      <c r="T369" s="225">
        <v>7871.5</v>
      </c>
      <c r="U369" s="225">
        <v>8362.4</v>
      </c>
      <c r="V369" s="225">
        <v>9541.2000000000007</v>
      </c>
      <c r="W369" s="225">
        <v>10283.200000000001</v>
      </c>
      <c r="X369" s="225">
        <v>10916</v>
      </c>
      <c r="Y369" s="225">
        <v>11960.4</v>
      </c>
      <c r="Z369" s="225">
        <v>13131.7</v>
      </c>
      <c r="AA369" s="225">
        <v>14482.2</v>
      </c>
      <c r="AB369" s="225">
        <v>14833.4</v>
      </c>
    </row>
    <row r="370" spans="1:41" hidden="1" outlineLevel="1">
      <c r="E370" s="70" t="s">
        <v>395</v>
      </c>
      <c r="H370" s="284"/>
      <c r="I370" s="284"/>
      <c r="J370" s="284"/>
      <c r="K370" s="284"/>
      <c r="L370" s="284"/>
      <c r="M370" s="284"/>
      <c r="N370" s="284"/>
      <c r="O370" s="284"/>
      <c r="P370" s="225">
        <v>1373.9</v>
      </c>
      <c r="Q370" s="225">
        <v>1268</v>
      </c>
      <c r="R370" s="225">
        <v>1608.5</v>
      </c>
      <c r="S370" s="225">
        <v>1767.2</v>
      </c>
      <c r="T370" s="225">
        <v>1877.7</v>
      </c>
      <c r="U370" s="225">
        <v>1993.1</v>
      </c>
      <c r="V370" s="225">
        <v>2065.8000000000002</v>
      </c>
      <c r="W370" s="225">
        <v>2161.3000000000002</v>
      </c>
      <c r="X370" s="225">
        <v>2072.3000000000002</v>
      </c>
      <c r="Y370" s="225">
        <v>2156.9</v>
      </c>
      <c r="Z370" s="225">
        <v>2299.1</v>
      </c>
      <c r="AA370" s="225">
        <v>2585</v>
      </c>
      <c r="AB370" s="225">
        <v>2581</v>
      </c>
    </row>
    <row r="371" spans="1:41" hidden="1" outlineLevel="1">
      <c r="E371" s="70" t="s">
        <v>396</v>
      </c>
      <c r="H371" s="284"/>
      <c r="I371" s="284"/>
      <c r="J371" s="284"/>
      <c r="K371" s="284"/>
      <c r="L371" s="284"/>
      <c r="M371" s="284"/>
      <c r="N371" s="284"/>
      <c r="O371" s="284"/>
      <c r="P371" s="225">
        <v>200.8</v>
      </c>
      <c r="Q371" s="225">
        <v>180.2</v>
      </c>
      <c r="R371" s="225">
        <v>217</v>
      </c>
      <c r="S371" s="225">
        <v>254.3</v>
      </c>
      <c r="T371" s="225">
        <v>285</v>
      </c>
      <c r="U371" s="225">
        <v>332.7</v>
      </c>
      <c r="V371" s="225">
        <v>371.1</v>
      </c>
      <c r="W371" s="225">
        <v>472.8</v>
      </c>
      <c r="X371" s="225">
        <v>564.20000000000005</v>
      </c>
      <c r="Y371" s="225">
        <v>602.70000000000005</v>
      </c>
      <c r="Z371" s="225">
        <v>695.9</v>
      </c>
      <c r="AA371" s="225">
        <v>840.9</v>
      </c>
      <c r="AB371" s="225">
        <v>913.9</v>
      </c>
    </row>
    <row r="372" spans="1:41" hidden="1" outlineLevel="1">
      <c r="E372" s="70" t="s">
        <v>127</v>
      </c>
      <c r="H372" s="284"/>
      <c r="I372" s="284"/>
      <c r="J372" s="284"/>
      <c r="K372" s="284"/>
      <c r="L372" s="284"/>
      <c r="M372" s="284"/>
      <c r="N372" s="284"/>
      <c r="O372" s="284"/>
      <c r="P372" s="225">
        <v>98.8</v>
      </c>
      <c r="Q372" s="225">
        <v>80.3</v>
      </c>
      <c r="R372" s="225">
        <v>51.8</v>
      </c>
      <c r="S372" s="225">
        <v>88.1</v>
      </c>
      <c r="T372" s="225">
        <v>94</v>
      </c>
      <c r="U372" s="225">
        <v>80.400000000000006</v>
      </c>
      <c r="V372" s="225">
        <v>96.4</v>
      </c>
      <c r="W372" s="225">
        <v>71.400000000000006</v>
      </c>
      <c r="X372" s="225">
        <v>120.2</v>
      </c>
      <c r="Y372" s="225">
        <v>112.9</v>
      </c>
      <c r="Z372" s="225">
        <v>113.8</v>
      </c>
      <c r="AA372" s="225">
        <v>124.3</v>
      </c>
      <c r="AB372" s="225">
        <v>139.19999999999999</v>
      </c>
    </row>
    <row r="373" spans="1:41" s="3" customFormat="1" hidden="1" outlineLevel="1">
      <c r="A373" s="110"/>
      <c r="B373" s="110"/>
      <c r="C373" s="143"/>
      <c r="D373" s="150"/>
      <c r="E373" s="150" t="s">
        <v>397</v>
      </c>
      <c r="F373" s="2"/>
      <c r="G373" s="2"/>
      <c r="H373" s="102"/>
      <c r="I373" s="102"/>
      <c r="J373" s="102"/>
      <c r="K373" s="102"/>
      <c r="L373" s="102"/>
      <c r="M373" s="102"/>
      <c r="N373" s="102"/>
      <c r="O373" s="102"/>
      <c r="P373" s="102">
        <f t="shared" ref="P373:AA373" si="335">SUM(P369:P372)</f>
        <v>8071.2000000000007</v>
      </c>
      <c r="Q373" s="102">
        <f t="shared" si="335"/>
        <v>7162.6</v>
      </c>
      <c r="R373" s="102">
        <f t="shared" si="335"/>
        <v>8801.1999999999989</v>
      </c>
      <c r="S373" s="102">
        <f t="shared" si="335"/>
        <v>9602.4000000000015</v>
      </c>
      <c r="T373" s="102">
        <f t="shared" si="335"/>
        <v>10128.200000000001</v>
      </c>
      <c r="U373" s="102">
        <f t="shared" si="335"/>
        <v>10768.6</v>
      </c>
      <c r="V373" s="102">
        <f t="shared" si="335"/>
        <v>12074.5</v>
      </c>
      <c r="W373" s="102">
        <f t="shared" si="335"/>
        <v>12988.699999999999</v>
      </c>
      <c r="X373" s="102">
        <f t="shared" si="335"/>
        <v>13672.7</v>
      </c>
      <c r="Y373" s="102">
        <f t="shared" si="335"/>
        <v>14832.9</v>
      </c>
      <c r="Z373" s="102">
        <f t="shared" si="335"/>
        <v>16240.5</v>
      </c>
      <c r="AA373" s="102">
        <f t="shared" si="335"/>
        <v>18032.400000000001</v>
      </c>
      <c r="AB373" s="102">
        <f>SUM(AB369:AB372)</f>
        <v>18467.500000000004</v>
      </c>
      <c r="AC373" s="102"/>
      <c r="AD373" s="102"/>
      <c r="AE373" s="102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/>
    </row>
    <row r="374" spans="1:41" hidden="1" outlineLevel="1">
      <c r="E374" s="70" t="s">
        <v>255</v>
      </c>
      <c r="H374" s="284"/>
      <c r="I374" s="284"/>
      <c r="J374" s="284"/>
      <c r="K374" s="284"/>
      <c r="L374" s="284"/>
      <c r="M374" s="284"/>
      <c r="N374" s="284"/>
      <c r="O374" s="284"/>
      <c r="P374" s="225">
        <v>6710.2</v>
      </c>
      <c r="Q374" s="225">
        <v>6029.7</v>
      </c>
      <c r="R374" s="225">
        <v>7410.4</v>
      </c>
      <c r="S374" s="225">
        <v>8018.9</v>
      </c>
      <c r="T374" s="225">
        <v>8458.6</v>
      </c>
      <c r="U374" s="225">
        <v>9008.2999999999993</v>
      </c>
      <c r="V374" s="225">
        <v>10153.200000000001</v>
      </c>
      <c r="W374" s="225">
        <v>10872.9</v>
      </c>
      <c r="X374" s="225">
        <v>11344.4</v>
      </c>
      <c r="Y374" s="225">
        <v>12382.7</v>
      </c>
      <c r="Z374" s="225">
        <v>13533.6</v>
      </c>
      <c r="AA374" s="225">
        <v>14992.5</v>
      </c>
      <c r="AB374" s="225">
        <v>15257.4</v>
      </c>
    </row>
    <row r="375" spans="1:41" s="3" customFormat="1" hidden="1" outlineLevel="1">
      <c r="A375" s="110"/>
      <c r="B375" s="110"/>
      <c r="C375" s="143"/>
      <c r="D375" s="150"/>
      <c r="E375" s="150" t="s">
        <v>398</v>
      </c>
      <c r="F375" s="2"/>
      <c r="G375" s="2"/>
      <c r="H375" s="102"/>
      <c r="I375" s="102"/>
      <c r="J375" s="102"/>
      <c r="K375" s="102"/>
      <c r="L375" s="102"/>
      <c r="M375" s="102"/>
      <c r="N375" s="102"/>
      <c r="O375" s="102"/>
      <c r="P375" s="102">
        <f t="shared" ref="P375:AA375" si="336">P373-P374</f>
        <v>1361.0000000000009</v>
      </c>
      <c r="Q375" s="102">
        <f t="shared" si="336"/>
        <v>1132.9000000000005</v>
      </c>
      <c r="R375" s="102">
        <f t="shared" si="336"/>
        <v>1390.7999999999993</v>
      </c>
      <c r="S375" s="102">
        <f t="shared" si="336"/>
        <v>1583.5000000000018</v>
      </c>
      <c r="T375" s="102">
        <f t="shared" si="336"/>
        <v>1669.6000000000004</v>
      </c>
      <c r="U375" s="102">
        <f t="shared" si="336"/>
        <v>1760.3000000000011</v>
      </c>
      <c r="V375" s="102">
        <f t="shared" si="336"/>
        <v>1921.2999999999993</v>
      </c>
      <c r="W375" s="102">
        <f t="shared" si="336"/>
        <v>2115.7999999999993</v>
      </c>
      <c r="X375" s="102">
        <f t="shared" si="336"/>
        <v>2328.3000000000011</v>
      </c>
      <c r="Y375" s="102">
        <f t="shared" si="336"/>
        <v>2450.1999999999989</v>
      </c>
      <c r="Z375" s="102">
        <f t="shared" si="336"/>
        <v>2706.8999999999996</v>
      </c>
      <c r="AA375" s="102">
        <f t="shared" si="336"/>
        <v>3039.9000000000015</v>
      </c>
      <c r="AB375" s="102">
        <f>AB373-AB374</f>
        <v>3210.100000000004</v>
      </c>
      <c r="AC375" s="102"/>
      <c r="AD375" s="102"/>
      <c r="AE375" s="102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/>
    </row>
    <row r="376" spans="1:41" hidden="1" outlineLevel="1">
      <c r="E376" s="70" t="s">
        <v>220</v>
      </c>
      <c r="H376" s="284"/>
      <c r="I376" s="284"/>
      <c r="J376" s="284"/>
      <c r="K376" s="284"/>
      <c r="L376" s="284"/>
      <c r="M376" s="284"/>
      <c r="N376" s="284"/>
      <c r="O376" s="284"/>
      <c r="P376" s="225">
        <f>894.8+141.3</f>
        <v>1036.0999999999999</v>
      </c>
      <c r="Q376" s="225">
        <f>821.1+101.9</f>
        <v>923</v>
      </c>
      <c r="R376" s="225">
        <f>932.1+106</f>
        <v>1038.0999999999999</v>
      </c>
      <c r="S376" s="225">
        <f>990.1+122.7</f>
        <v>1112.8</v>
      </c>
      <c r="T376" s="225">
        <f>1029.5+129.5</f>
        <v>1159</v>
      </c>
      <c r="U376" s="225">
        <f>1120.9+130.8</f>
        <v>1251.7</v>
      </c>
      <c r="V376" s="225">
        <f>1110.3+138</f>
        <v>1248.3</v>
      </c>
      <c r="W376" s="225">
        <f>1226+147.8</f>
        <v>1373.8</v>
      </c>
      <c r="X376" s="225">
        <f>1345.4+162.9</f>
        <v>1508.3000000000002</v>
      </c>
      <c r="Y376" s="225">
        <v>1583.7</v>
      </c>
      <c r="Z376" s="225">
        <v>1719.6</v>
      </c>
      <c r="AA376" s="225">
        <v>1906.3</v>
      </c>
      <c r="AB376" s="225">
        <v>2030.9</v>
      </c>
    </row>
    <row r="377" spans="1:41" s="3" customFormat="1" hidden="1" outlineLevel="1">
      <c r="A377" s="110"/>
      <c r="B377" s="110"/>
      <c r="C377" s="143"/>
      <c r="D377" s="150"/>
      <c r="E377" s="150" t="s">
        <v>399</v>
      </c>
      <c r="F377" s="2"/>
      <c r="G377" s="2"/>
      <c r="H377" s="102"/>
      <c r="I377" s="102"/>
      <c r="J377" s="102"/>
      <c r="K377" s="102"/>
      <c r="L377" s="102"/>
      <c r="M377" s="102"/>
      <c r="N377" s="102"/>
      <c r="O377" s="102"/>
      <c r="P377" s="102">
        <f t="shared" ref="P377:AA377" si="337">P375-P376</f>
        <v>324.900000000001</v>
      </c>
      <c r="Q377" s="102">
        <f t="shared" si="337"/>
        <v>209.90000000000055</v>
      </c>
      <c r="R377" s="102">
        <f t="shared" si="337"/>
        <v>352.69999999999936</v>
      </c>
      <c r="S377" s="102">
        <f t="shared" si="337"/>
        <v>470.70000000000186</v>
      </c>
      <c r="T377" s="102">
        <f t="shared" si="337"/>
        <v>510.60000000000036</v>
      </c>
      <c r="U377" s="102">
        <f t="shared" si="337"/>
        <v>508.60000000000105</v>
      </c>
      <c r="V377" s="102">
        <f t="shared" si="337"/>
        <v>672.99999999999932</v>
      </c>
      <c r="W377" s="102">
        <f t="shared" si="337"/>
        <v>741.99999999999932</v>
      </c>
      <c r="X377" s="102">
        <f t="shared" si="337"/>
        <v>820.00000000000091</v>
      </c>
      <c r="Y377" s="102">
        <f t="shared" si="337"/>
        <v>866.49999999999886</v>
      </c>
      <c r="Z377" s="102">
        <f t="shared" si="337"/>
        <v>987.29999999999973</v>
      </c>
      <c r="AA377" s="102">
        <f t="shared" si="337"/>
        <v>1133.6000000000015</v>
      </c>
      <c r="AB377" s="102">
        <f>AB375-AB376</f>
        <v>1179.2000000000039</v>
      </c>
      <c r="AC377" s="102"/>
      <c r="AD377" s="102"/>
      <c r="AE377" s="102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/>
    </row>
    <row r="378" spans="1:41" hidden="1" outlineLevel="1">
      <c r="E378" s="70" t="s">
        <v>127</v>
      </c>
      <c r="H378" s="284"/>
      <c r="I378" s="284"/>
      <c r="J378" s="284"/>
      <c r="K378" s="284"/>
      <c r="L378" s="284"/>
      <c r="M378" s="284"/>
      <c r="N378" s="284"/>
      <c r="O378" s="284"/>
      <c r="P378" s="225">
        <v>2.2000000000000002</v>
      </c>
      <c r="Q378" s="225">
        <v>2.4</v>
      </c>
      <c r="R378" s="225">
        <f>2+0.2</f>
        <v>2.2000000000000002</v>
      </c>
      <c r="S378" s="225">
        <f>-118.9+0.7</f>
        <v>-118.2</v>
      </c>
      <c r="T378" s="225">
        <f>-17.2+0.1</f>
        <v>-17.099999999999998</v>
      </c>
      <c r="U378" s="225">
        <f>-64+1</f>
        <v>-63</v>
      </c>
      <c r="V378" s="225">
        <f>-90.7+2.7</f>
        <v>-88</v>
      </c>
      <c r="W378" s="225">
        <f>-24.3+98.1-9.3</f>
        <v>64.5</v>
      </c>
      <c r="X378" s="225">
        <v>-0.3</v>
      </c>
      <c r="Y378" s="225">
        <v>-55.3</v>
      </c>
      <c r="Z378" s="225">
        <v>1.8</v>
      </c>
      <c r="AA378" s="225">
        <v>-24.5</v>
      </c>
      <c r="AB378" s="225">
        <v>-22</v>
      </c>
    </row>
    <row r="379" spans="1:41" s="3" customFormat="1" hidden="1" outlineLevel="1">
      <c r="A379" s="110"/>
      <c r="B379" s="110"/>
      <c r="C379" s="143"/>
      <c r="D379" s="150"/>
      <c r="E379" s="150" t="s">
        <v>400</v>
      </c>
      <c r="F379" s="2"/>
      <c r="G379" s="2"/>
      <c r="H379" s="102"/>
      <c r="I379" s="102"/>
      <c r="J379" s="102"/>
      <c r="K379" s="102"/>
      <c r="L379" s="102"/>
      <c r="M379" s="102"/>
      <c r="N379" s="102"/>
      <c r="O379" s="102"/>
      <c r="P379" s="102">
        <f t="shared" ref="P379:AA379" si="338">P377-P378</f>
        <v>322.70000000000101</v>
      </c>
      <c r="Q379" s="102">
        <f t="shared" si="338"/>
        <v>207.50000000000054</v>
      </c>
      <c r="R379" s="102">
        <f t="shared" si="338"/>
        <v>350.49999999999937</v>
      </c>
      <c r="S379" s="102">
        <f t="shared" si="338"/>
        <v>588.90000000000191</v>
      </c>
      <c r="T379" s="102">
        <f t="shared" si="338"/>
        <v>527.70000000000039</v>
      </c>
      <c r="U379" s="102">
        <f t="shared" si="338"/>
        <v>571.60000000000105</v>
      </c>
      <c r="V379" s="102">
        <f t="shared" si="338"/>
        <v>760.99999999999932</v>
      </c>
      <c r="W379" s="102">
        <f t="shared" si="338"/>
        <v>677.49999999999932</v>
      </c>
      <c r="X379" s="102">
        <f t="shared" si="338"/>
        <v>820.30000000000086</v>
      </c>
      <c r="Y379" s="102">
        <f t="shared" si="338"/>
        <v>921.79999999999882</v>
      </c>
      <c r="Z379" s="102">
        <f t="shared" si="338"/>
        <v>985.49999999999977</v>
      </c>
      <c r="AA379" s="102">
        <f t="shared" si="338"/>
        <v>1158.1000000000015</v>
      </c>
      <c r="AB379" s="102">
        <f>AB377-AB378</f>
        <v>1201.2000000000039</v>
      </c>
      <c r="AC379" s="102"/>
      <c r="AD379" s="102"/>
      <c r="AE379" s="102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/>
    </row>
    <row r="380" spans="1:41" hidden="1" outlineLevel="1"/>
    <row r="381" spans="1:41" hidden="1" outlineLevel="1">
      <c r="E381" t="s">
        <v>251</v>
      </c>
      <c r="H381" s="284"/>
      <c r="I381" s="284"/>
      <c r="J381" s="284"/>
      <c r="K381" s="284"/>
      <c r="L381" s="284"/>
      <c r="M381" s="284"/>
      <c r="N381" s="284"/>
      <c r="O381" s="284"/>
      <c r="P381" s="225"/>
      <c r="Q381" s="225"/>
      <c r="R381" s="225">
        <v>209.4</v>
      </c>
      <c r="S381" s="225">
        <v>204.9</v>
      </c>
      <c r="T381" s="225">
        <v>210.2</v>
      </c>
      <c r="U381" s="225">
        <v>208.2</v>
      </c>
      <c r="V381" s="225">
        <v>207.9</v>
      </c>
      <c r="W381" s="225">
        <v>227.4</v>
      </c>
      <c r="X381" s="225">
        <v>254.5</v>
      </c>
      <c r="Y381" s="225">
        <v>260.89999999999998</v>
      </c>
      <c r="Z381" s="225">
        <v>265.60000000000002</v>
      </c>
      <c r="AA381" s="225">
        <v>267.10000000000002</v>
      </c>
      <c r="AB381" s="225">
        <v>425.6</v>
      </c>
    </row>
    <row r="382" spans="1:41" hidden="1" outlineLevel="1">
      <c r="E382" t="s">
        <v>130</v>
      </c>
      <c r="H382" s="284"/>
      <c r="I382" s="284"/>
      <c r="J382" s="284"/>
      <c r="K382" s="284"/>
      <c r="L382" s="284"/>
      <c r="M382" s="284"/>
      <c r="N382" s="284"/>
      <c r="O382" s="284"/>
      <c r="P382" s="225"/>
      <c r="Q382" s="225">
        <v>15.6</v>
      </c>
      <c r="R382" s="225">
        <v>41.5</v>
      </c>
      <c r="S382" s="225">
        <v>45.7</v>
      </c>
      <c r="T382" s="225">
        <v>41.4</v>
      </c>
      <c r="U382" s="225">
        <v>47.1</v>
      </c>
      <c r="V382" s="225">
        <v>55</v>
      </c>
      <c r="W382" s="225">
        <v>90.1</v>
      </c>
      <c r="X382" s="225">
        <v>63.5</v>
      </c>
      <c r="Y382" s="225">
        <v>81.099999999999994</v>
      </c>
      <c r="Z382" s="225">
        <v>86.31</v>
      </c>
      <c r="AA382" s="225">
        <v>236.3</v>
      </c>
      <c r="AB382" s="225">
        <v>158</v>
      </c>
    </row>
    <row r="383" spans="1:41" hidden="1" outlineLevel="1">
      <c r="E383" t="s">
        <v>131</v>
      </c>
      <c r="H383" s="284"/>
      <c r="I383" s="284"/>
      <c r="J383" s="284"/>
      <c r="K383" s="284"/>
      <c r="L383" s="284"/>
      <c r="M383" s="284"/>
      <c r="N383" s="284"/>
      <c r="O383" s="284"/>
      <c r="P383" s="225"/>
      <c r="Q383" s="225">
        <v>0</v>
      </c>
      <c r="R383" s="225">
        <v>0</v>
      </c>
      <c r="S383" s="225">
        <v>0</v>
      </c>
      <c r="T383" s="225">
        <v>0</v>
      </c>
      <c r="U383" s="225">
        <v>0</v>
      </c>
      <c r="V383" s="225">
        <v>0</v>
      </c>
      <c r="W383" s="225">
        <v>263.8</v>
      </c>
      <c r="X383" s="225">
        <v>0</v>
      </c>
      <c r="Y383" s="225">
        <v>0</v>
      </c>
      <c r="Z383" s="225">
        <v>0</v>
      </c>
      <c r="AA383" s="225">
        <v>95.1</v>
      </c>
      <c r="AB383" s="225">
        <v>43</v>
      </c>
    </row>
    <row r="384" spans="1:41" hidden="1" outlineLevel="1"/>
    <row r="385" spans="4:40" hidden="1" outlineLevel="1">
      <c r="E385" t="s">
        <v>401</v>
      </c>
      <c r="H385" s="284"/>
      <c r="I385" s="284"/>
      <c r="J385" s="284"/>
      <c r="K385" s="284"/>
      <c r="L385" s="284"/>
      <c r="M385" s="284"/>
      <c r="N385" s="284"/>
      <c r="O385" s="284"/>
      <c r="P385" s="225"/>
      <c r="Q385" s="225"/>
      <c r="R385" s="225">
        <v>1091.5</v>
      </c>
      <c r="S385" s="225">
        <v>1254.9000000000001</v>
      </c>
      <c r="T385" s="225">
        <v>1285</v>
      </c>
      <c r="U385" s="225">
        <v>1451</v>
      </c>
      <c r="V385" s="225">
        <v>1561.1</v>
      </c>
      <c r="W385" s="225">
        <v>2017.4</v>
      </c>
      <c r="X385" s="225">
        <v>2168.6</v>
      </c>
      <c r="Y385" s="225">
        <v>2329.3000000000002</v>
      </c>
      <c r="Z385" s="225">
        <v>2671.2</v>
      </c>
      <c r="AA385" s="225">
        <v>3002.2</v>
      </c>
      <c r="AB385" s="225">
        <v>3212.6</v>
      </c>
    </row>
    <row r="386" spans="4:40" hidden="1" outlineLevel="1">
      <c r="E386" t="s">
        <v>402</v>
      </c>
      <c r="H386" s="284"/>
      <c r="I386" s="284"/>
      <c r="J386" s="284"/>
      <c r="K386" s="284"/>
      <c r="L386" s="284"/>
      <c r="M386" s="284"/>
      <c r="N386" s="284"/>
      <c r="O386" s="284"/>
      <c r="P386" s="225"/>
      <c r="Q386" s="225"/>
      <c r="R386" s="225">
        <v>292.8</v>
      </c>
      <c r="S386" s="225">
        <v>321.7</v>
      </c>
      <c r="T386" s="225">
        <v>314.60000000000002</v>
      </c>
      <c r="U386" s="225">
        <v>382</v>
      </c>
      <c r="V386" s="225">
        <v>337.5</v>
      </c>
      <c r="W386" s="225">
        <v>393.1</v>
      </c>
      <c r="X386" s="225">
        <v>452</v>
      </c>
      <c r="Y386" s="225">
        <v>411.5</v>
      </c>
      <c r="Z386" s="225">
        <v>454.3</v>
      </c>
      <c r="AA386" s="225">
        <v>611.20000000000005</v>
      </c>
      <c r="AB386" s="225">
        <v>760</v>
      </c>
    </row>
    <row r="387" spans="4:40" hidden="1" outlineLevel="1">
      <c r="E387" t="s">
        <v>403</v>
      </c>
      <c r="H387" s="284"/>
      <c r="I387" s="284"/>
      <c r="J387" s="284"/>
      <c r="K387" s="284"/>
      <c r="L387" s="284"/>
      <c r="M387" s="284"/>
      <c r="N387" s="284"/>
      <c r="O387" s="284"/>
      <c r="P387" s="225"/>
      <c r="Q387" s="225"/>
      <c r="R387" s="225">
        <v>192.8</v>
      </c>
      <c r="S387" s="225">
        <v>143.6</v>
      </c>
      <c r="T387" s="225">
        <v>148.5</v>
      </c>
      <c r="U387" s="225">
        <v>146.30000000000001</v>
      </c>
      <c r="V387" s="225">
        <v>155.6</v>
      </c>
      <c r="W387" s="225">
        <v>198.4</v>
      </c>
      <c r="X387" s="225">
        <v>234.9</v>
      </c>
      <c r="Y387" s="225">
        <v>343</v>
      </c>
      <c r="Z387" s="225">
        <v>316.39999999999998</v>
      </c>
      <c r="AA387" s="225">
        <v>395.1</v>
      </c>
      <c r="AB387" s="225">
        <v>379.5</v>
      </c>
    </row>
    <row r="388" spans="4:40" hidden="1" outlineLevel="1">
      <c r="E388" t="s">
        <v>404</v>
      </c>
      <c r="H388" s="284"/>
      <c r="I388" s="284"/>
      <c r="J388" s="284"/>
      <c r="K388" s="284"/>
      <c r="L388" s="284"/>
      <c r="M388" s="284"/>
      <c r="N388" s="284"/>
      <c r="O388" s="284"/>
      <c r="P388" s="225"/>
      <c r="Q388" s="225"/>
      <c r="R388" s="225">
        <f>52.8+35.8</f>
        <v>88.6</v>
      </c>
      <c r="S388" s="225">
        <f>24.6+34.7</f>
        <v>59.300000000000004</v>
      </c>
      <c r="T388" s="225">
        <f>14.1+34.6</f>
        <v>48.7</v>
      </c>
      <c r="U388" s="225">
        <v>46.1</v>
      </c>
      <c r="V388" s="225">
        <v>54.7</v>
      </c>
      <c r="W388" s="225">
        <v>144.30000000000001</v>
      </c>
      <c r="X388" s="225">
        <v>127.4</v>
      </c>
      <c r="Y388" s="225">
        <v>168.3</v>
      </c>
      <c r="Z388" s="225">
        <v>149.1</v>
      </c>
      <c r="AA388" s="225">
        <v>171.6</v>
      </c>
      <c r="AB388" s="225">
        <v>191.2</v>
      </c>
    </row>
    <row r="389" spans="4:40" hidden="1" outlineLevel="1"/>
    <row r="390" spans="4:40" hidden="1" outlineLevel="1">
      <c r="E390" t="s">
        <v>141</v>
      </c>
      <c r="H390" s="284"/>
      <c r="I390" s="284"/>
      <c r="J390" s="284"/>
      <c r="K390" s="284"/>
      <c r="L390" s="284"/>
      <c r="M390" s="284"/>
      <c r="N390" s="284"/>
      <c r="O390" s="284"/>
      <c r="P390" s="225"/>
      <c r="Q390" s="225"/>
      <c r="R390" s="225">
        <v>158.1</v>
      </c>
      <c r="S390" s="225">
        <v>154.30000000000001</v>
      </c>
      <c r="T390" s="225">
        <v>142.69999999999999</v>
      </c>
      <c r="U390" s="225">
        <v>131.1</v>
      </c>
      <c r="V390" s="225">
        <v>137.19999999999999</v>
      </c>
      <c r="W390" s="225">
        <v>175.4</v>
      </c>
      <c r="X390" s="225">
        <v>163.69999999999999</v>
      </c>
      <c r="Y390" s="225">
        <v>161.1</v>
      </c>
      <c r="Z390" s="225">
        <v>156.1</v>
      </c>
      <c r="AA390" s="225">
        <v>363.1</v>
      </c>
      <c r="AB390" s="225">
        <v>175.5</v>
      </c>
    </row>
    <row r="391" spans="4:40" hidden="1" outlineLevel="1">
      <c r="E391" t="s">
        <v>143</v>
      </c>
      <c r="H391" s="284"/>
      <c r="I391" s="284"/>
      <c r="J391" s="284"/>
      <c r="K391" s="284"/>
      <c r="L391" s="284"/>
      <c r="M391" s="284"/>
      <c r="N391" s="284"/>
      <c r="O391" s="284"/>
      <c r="P391" s="225"/>
      <c r="Q391" s="225"/>
      <c r="R391" s="225">
        <v>1791.2</v>
      </c>
      <c r="S391" s="225">
        <v>1636</v>
      </c>
      <c r="T391" s="225">
        <v>1478.5</v>
      </c>
      <c r="U391" s="225">
        <v>1328</v>
      </c>
      <c r="V391" s="225">
        <v>1168.8</v>
      </c>
      <c r="W391" s="225">
        <v>1276.4000000000001</v>
      </c>
      <c r="X391" s="225">
        <v>1055.5999999999999</v>
      </c>
      <c r="Y391" s="225">
        <v>897</v>
      </c>
      <c r="Z391" s="225">
        <v>712.2</v>
      </c>
      <c r="AA391" s="225">
        <v>594.1</v>
      </c>
      <c r="AB391" s="225">
        <v>445.1</v>
      </c>
    </row>
    <row r="392" spans="4:40" hidden="1" outlineLevel="1"/>
    <row r="393" spans="4:40" hidden="1" outlineLevel="1">
      <c r="E393" t="s">
        <v>405</v>
      </c>
      <c r="H393" s="284"/>
      <c r="I393" s="284"/>
      <c r="J393" s="284"/>
      <c r="K393" s="284"/>
      <c r="L393" s="284"/>
      <c r="M393" s="284"/>
      <c r="N393" s="284"/>
      <c r="O393" s="284"/>
      <c r="P393" s="225"/>
      <c r="Q393" s="225"/>
      <c r="R393" s="225">
        <v>537.1</v>
      </c>
      <c r="S393" s="225">
        <v>517.79999999999995</v>
      </c>
      <c r="T393" s="225">
        <v>518.6</v>
      </c>
      <c r="U393" s="225">
        <v>662.8</v>
      </c>
      <c r="V393" s="225">
        <v>704</v>
      </c>
      <c r="W393" s="225">
        <v>866.5</v>
      </c>
      <c r="X393" s="225">
        <v>1072.9000000000001</v>
      </c>
      <c r="Y393" s="225">
        <v>1317.7</v>
      </c>
      <c r="Z393" s="225">
        <v>1577.1</v>
      </c>
      <c r="AA393" s="225">
        <v>1835</v>
      </c>
      <c r="AB393" s="225">
        <v>2088.4</v>
      </c>
    </row>
    <row r="394" spans="4:40" hidden="1" outlineLevel="1">
      <c r="E394" t="s">
        <v>406</v>
      </c>
      <c r="H394" s="284"/>
      <c r="I394" s="284"/>
      <c r="J394" s="284"/>
      <c r="K394" s="284"/>
      <c r="L394" s="284"/>
      <c r="M394" s="284"/>
      <c r="N394" s="284"/>
      <c r="O394" s="284"/>
      <c r="P394" s="225"/>
      <c r="Q394" s="225"/>
      <c r="R394" s="225">
        <v>28.2</v>
      </c>
      <c r="S394" s="225">
        <v>278.7</v>
      </c>
      <c r="T394" s="225">
        <v>249.2</v>
      </c>
      <c r="U394" s="225">
        <v>256.60000000000002</v>
      </c>
      <c r="V394" s="225">
        <v>332.1</v>
      </c>
      <c r="W394" s="225">
        <v>439.6</v>
      </c>
      <c r="X394" s="225">
        <v>580.4</v>
      </c>
      <c r="Y394" s="225">
        <v>498</v>
      </c>
      <c r="Z394" s="225">
        <v>429.3</v>
      </c>
      <c r="AA394" s="225">
        <v>429.9</v>
      </c>
      <c r="AB394" s="225">
        <v>524.6</v>
      </c>
    </row>
    <row r="395" spans="4:40" hidden="1" outlineLevel="1">
      <c r="E395" t="s">
        <v>407</v>
      </c>
      <c r="H395" s="284"/>
      <c r="I395" s="284"/>
      <c r="J395" s="284"/>
      <c r="K395" s="284"/>
      <c r="L395" s="284"/>
      <c r="M395" s="284"/>
      <c r="N395" s="284"/>
      <c r="O395" s="284"/>
      <c r="P395" s="225"/>
      <c r="Q395" s="225"/>
      <c r="R395" s="225">
        <f>2.8+28.6+91.3+64.3+23.2+27+4.2+87.6</f>
        <v>329</v>
      </c>
      <c r="S395" s="225">
        <f>27.8+106.6+54.9+23.1+38.8+92.6</f>
        <v>343.79999999999995</v>
      </c>
      <c r="T395" s="225">
        <v>57.8</v>
      </c>
      <c r="U395" s="225">
        <v>94.8</v>
      </c>
      <c r="V395" s="225">
        <v>81.3</v>
      </c>
      <c r="W395" s="225">
        <v>151.9</v>
      </c>
      <c r="X395" s="225">
        <v>172.6</v>
      </c>
      <c r="Y395" s="225">
        <v>158.80000000000001</v>
      </c>
      <c r="Z395" s="225">
        <v>178.3</v>
      </c>
      <c r="AA395" s="225">
        <v>252.2</v>
      </c>
      <c r="AB395" s="225">
        <v>243.7</v>
      </c>
    </row>
    <row r="396" spans="4:40" collapsed="1"/>
    <row r="397" spans="4:40">
      <c r="D397" s="104"/>
      <c r="E397" s="105" t="s">
        <v>408</v>
      </c>
      <c r="F397" s="104"/>
      <c r="G397" s="105" t="s">
        <v>415</v>
      </c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104"/>
      <c r="AK397" s="104"/>
      <c r="AL397" s="104"/>
      <c r="AM397" s="104"/>
      <c r="AN397" s="104"/>
    </row>
    <row r="398" spans="4:40" ht="5.0999999999999996" hidden="1" customHeight="1" outlineLevel="1"/>
    <row r="399" spans="4:40" hidden="1" outlineLevel="1">
      <c r="E399" s="70" t="s">
        <v>394</v>
      </c>
      <c r="H399" s="284"/>
      <c r="I399" s="284"/>
      <c r="J399" s="284"/>
      <c r="K399" s="284"/>
      <c r="L399" s="284"/>
      <c r="M399" s="284"/>
      <c r="N399" s="284"/>
      <c r="O399" s="284"/>
      <c r="P399" s="225"/>
      <c r="Q399" s="225"/>
      <c r="R399" s="225">
        <f>2131.815+427.6+1.002</f>
        <v>2560.4169999999999</v>
      </c>
      <c r="S399" s="225">
        <f>2334.257+438.181+1.647</f>
        <v>2774.085</v>
      </c>
      <c r="T399" s="225">
        <f>2238.363+540.886+4.82</f>
        <v>2784.069</v>
      </c>
      <c r="U399" s="225">
        <f>2130.006+504.006+6.222</f>
        <v>2640.2339999999999</v>
      </c>
      <c r="V399" s="225">
        <f>2175.397+572.494+12.463</f>
        <v>2760.3540000000003</v>
      </c>
      <c r="W399" s="225">
        <f>2336.788+531.308+14.333</f>
        <v>2882.4290000000001</v>
      </c>
      <c r="X399" s="225">
        <f>2454.889+481.505+18.916</f>
        <v>2955.3100000000004</v>
      </c>
      <c r="Y399" s="225">
        <f>3352.355+536.5+27.907</f>
        <v>3916.7620000000002</v>
      </c>
      <c r="Z399" s="225">
        <v>4293.3509999999997</v>
      </c>
      <c r="AA399" s="225">
        <v>4615.4210000000003</v>
      </c>
      <c r="AB399" s="225">
        <v>5068.0730000000003</v>
      </c>
    </row>
    <row r="400" spans="4:40" hidden="1" outlineLevel="1">
      <c r="E400" s="70" t="s">
        <v>395</v>
      </c>
      <c r="H400" s="284"/>
      <c r="I400" s="284"/>
      <c r="J400" s="284"/>
      <c r="K400" s="284"/>
      <c r="L400" s="284"/>
      <c r="M400" s="284"/>
      <c r="N400" s="284"/>
      <c r="O400" s="284"/>
      <c r="P400" s="225"/>
      <c r="Q400" s="225"/>
      <c r="R400" s="225">
        <f>1000.418+863.72+153.966</f>
        <v>2018.1039999999998</v>
      </c>
      <c r="S400" s="225">
        <f>1095.532+936.543+208.2</f>
        <v>2240.2749999999996</v>
      </c>
      <c r="T400" s="225">
        <f>1177.538+894.949+199.239</f>
        <v>2271.7260000000001</v>
      </c>
      <c r="U400" s="225">
        <f>1129.114+930.903+191.355</f>
        <v>2251.3719999999998</v>
      </c>
      <c r="V400" s="225">
        <f>1174.234+930.763+193.533</f>
        <v>2298.5299999999997</v>
      </c>
      <c r="W400" s="225">
        <f>1231.269+799.761+158.046</f>
        <v>2189.076</v>
      </c>
      <c r="X400" s="225">
        <f>1146.808+762.427+132.718</f>
        <v>2041.9530000000002</v>
      </c>
      <c r="Y400" s="225">
        <f>1310.118+710.452+101.412</f>
        <v>2121.982</v>
      </c>
      <c r="Z400" s="225">
        <v>1956.587</v>
      </c>
      <c r="AA400" s="225">
        <v>2116.6999999999998</v>
      </c>
      <c r="AB400" s="225">
        <v>2104.0819999999999</v>
      </c>
    </row>
    <row r="401" spans="1:41" hidden="1" outlineLevel="1">
      <c r="E401" s="70" t="s">
        <v>396</v>
      </c>
      <c r="H401" s="284"/>
      <c r="I401" s="284"/>
      <c r="J401" s="284"/>
      <c r="K401" s="284"/>
      <c r="L401" s="284"/>
      <c r="M401" s="284"/>
      <c r="N401" s="284"/>
      <c r="O401" s="284"/>
      <c r="P401" s="225"/>
      <c r="Q401" s="225"/>
      <c r="R401" s="225">
        <f>207.929+19.229+4.251</f>
        <v>231.40900000000002</v>
      </c>
      <c r="S401" s="225">
        <f>242.703+23.707+6.468</f>
        <v>272.87800000000004</v>
      </c>
      <c r="T401" s="225">
        <f>210.456+27.772+7.418</f>
        <v>245.64599999999999</v>
      </c>
      <c r="U401" s="225">
        <f>211.64+34.265+6.836</f>
        <v>252.74099999999999</v>
      </c>
      <c r="V401" s="225">
        <f>213.095+36.711+7.539</f>
        <v>257.34499999999997</v>
      </c>
      <c r="W401" s="225">
        <f>255.471+40.068+6.046</f>
        <v>301.58499999999998</v>
      </c>
      <c r="X401" s="225">
        <f>370.131+94.628+23.493</f>
        <v>488.25199999999995</v>
      </c>
      <c r="Y401" s="225">
        <f>519.261+108.464+37.154</f>
        <v>664.87899999999991</v>
      </c>
      <c r="Z401" s="225">
        <v>830.19799999999998</v>
      </c>
      <c r="AA401" s="225">
        <v>999.06899999999996</v>
      </c>
      <c r="AB401" s="225">
        <v>1168.424</v>
      </c>
    </row>
    <row r="402" spans="1:41" s="3" customFormat="1" hidden="1" outlineLevel="1">
      <c r="A402" s="110"/>
      <c r="B402" s="110"/>
      <c r="C402" s="143"/>
      <c r="D402" s="150"/>
      <c r="E402" s="150" t="s">
        <v>397</v>
      </c>
      <c r="F402" s="2"/>
      <c r="G402" s="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>
        <f t="shared" ref="R402:AB402" si="339">SUM(R399:R401)</f>
        <v>4809.9299999999994</v>
      </c>
      <c r="S402" s="102">
        <f t="shared" si="339"/>
        <v>5287.2379999999994</v>
      </c>
      <c r="T402" s="102">
        <f t="shared" si="339"/>
        <v>5301.4409999999998</v>
      </c>
      <c r="U402" s="102">
        <f t="shared" si="339"/>
        <v>5144.3469999999998</v>
      </c>
      <c r="V402" s="102">
        <f t="shared" si="339"/>
        <v>5316.2290000000003</v>
      </c>
      <c r="W402" s="102">
        <f t="shared" si="339"/>
        <v>5373.09</v>
      </c>
      <c r="X402" s="102">
        <f t="shared" si="339"/>
        <v>5485.5150000000012</v>
      </c>
      <c r="Y402" s="102">
        <f t="shared" si="339"/>
        <v>6703.6230000000005</v>
      </c>
      <c r="Z402" s="102">
        <f t="shared" si="339"/>
        <v>7080.1360000000004</v>
      </c>
      <c r="AA402" s="102">
        <f t="shared" si="339"/>
        <v>7731.1900000000005</v>
      </c>
      <c r="AB402" s="102">
        <f t="shared" si="339"/>
        <v>8340.5790000000015</v>
      </c>
      <c r="AC402" s="102"/>
      <c r="AD402" s="102"/>
      <c r="AE402" s="102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/>
    </row>
    <row r="403" spans="1:41" s="3" customFormat="1" hidden="1" outlineLevel="1">
      <c r="A403" s="110"/>
      <c r="B403" s="110"/>
      <c r="C403" s="143"/>
      <c r="E403" s="245" t="s">
        <v>409</v>
      </c>
      <c r="F403" s="167"/>
      <c r="G403" s="167"/>
      <c r="H403" s="289"/>
      <c r="I403" s="289"/>
      <c r="J403" s="289"/>
      <c r="K403" s="289"/>
      <c r="L403" s="289"/>
      <c r="M403" s="289"/>
      <c r="N403" s="289"/>
      <c r="O403" s="289"/>
      <c r="P403" s="289"/>
      <c r="Q403" s="289"/>
      <c r="R403" s="289"/>
      <c r="S403" s="289"/>
      <c r="T403" s="289"/>
      <c r="U403" s="289"/>
      <c r="V403" s="289"/>
      <c r="W403" s="289"/>
      <c r="X403" s="289">
        <v>4571.4620000000004</v>
      </c>
      <c r="Y403" s="289">
        <v>5512.402</v>
      </c>
      <c r="Z403" s="289">
        <v>5711.4</v>
      </c>
      <c r="AA403" s="289">
        <v>6125.36</v>
      </c>
      <c r="AB403" s="289">
        <v>6497.0010000000002</v>
      </c>
      <c r="AC403" s="274"/>
      <c r="AD403" s="274"/>
      <c r="AE403" s="274"/>
      <c r="AF403" s="244"/>
      <c r="AG403" s="244"/>
      <c r="AH403" s="244"/>
      <c r="AI403" s="244"/>
      <c r="AJ403" s="244"/>
      <c r="AK403" s="244"/>
      <c r="AL403" s="244"/>
      <c r="AM403" s="244"/>
      <c r="AN403" s="244"/>
      <c r="AO403"/>
    </row>
    <row r="404" spans="1:41" s="3" customFormat="1" hidden="1" outlineLevel="1">
      <c r="A404" s="110"/>
      <c r="B404" s="110"/>
      <c r="C404" s="143"/>
      <c r="E404" s="245" t="s">
        <v>410</v>
      </c>
      <c r="F404" s="167"/>
      <c r="G404" s="167"/>
      <c r="H404" s="288"/>
      <c r="I404" s="288"/>
      <c r="J404" s="288"/>
      <c r="K404" s="288"/>
      <c r="L404" s="288"/>
      <c r="M404" s="288"/>
      <c r="N404" s="288"/>
      <c r="O404" s="288"/>
      <c r="P404" s="288"/>
      <c r="Q404" s="288"/>
      <c r="R404" s="288"/>
      <c r="S404" s="288"/>
      <c r="T404" s="288"/>
      <c r="U404" s="288"/>
      <c r="V404" s="288"/>
      <c r="W404" s="288"/>
      <c r="X404" s="288">
        <v>170.95099999999999</v>
      </c>
      <c r="Y404" s="288">
        <v>272.65100000000001</v>
      </c>
      <c r="Z404" s="288">
        <v>375.01799999999997</v>
      </c>
      <c r="AA404" s="288">
        <v>467.73200000000003</v>
      </c>
      <c r="AB404" s="288">
        <v>543.63599999999997</v>
      </c>
      <c r="AC404" s="274"/>
      <c r="AD404" s="274"/>
      <c r="AE404" s="274"/>
      <c r="AF404" s="244"/>
      <c r="AG404" s="244"/>
      <c r="AH404" s="244"/>
      <c r="AI404" s="244"/>
      <c r="AJ404" s="244"/>
      <c r="AK404" s="244"/>
      <c r="AL404" s="244"/>
      <c r="AM404" s="244"/>
      <c r="AN404" s="244"/>
      <c r="AO404"/>
    </row>
    <row r="405" spans="1:41" hidden="1" outlineLevel="1">
      <c r="E405" s="286" t="s">
        <v>255</v>
      </c>
      <c r="F405" s="287"/>
      <c r="G405" s="287"/>
      <c r="H405" s="289"/>
      <c r="I405" s="289"/>
      <c r="J405" s="289"/>
      <c r="K405" s="289"/>
      <c r="L405" s="289"/>
      <c r="M405" s="289"/>
      <c r="N405" s="289"/>
      <c r="O405" s="289"/>
      <c r="P405" s="289"/>
      <c r="Q405" s="289"/>
      <c r="R405" s="289">
        <v>4163.8329999999996</v>
      </c>
      <c r="S405" s="289">
        <v>4578.0709999999999</v>
      </c>
      <c r="T405" s="289">
        <v>4581.7650000000003</v>
      </c>
      <c r="U405" s="289">
        <v>4445.46</v>
      </c>
      <c r="V405" s="289">
        <v>4603.826</v>
      </c>
      <c r="W405" s="289">
        <v>4656.7579999999998</v>
      </c>
      <c r="X405" s="290">
        <f>SUM(X403:X404)</f>
        <v>4742.4130000000005</v>
      </c>
      <c r="Y405" s="290">
        <f>SUM(Y403:Y404)</f>
        <v>5785.0529999999999</v>
      </c>
      <c r="Z405" s="290">
        <f>SUM(Z403:Z404)</f>
        <v>6086.4179999999997</v>
      </c>
      <c r="AA405" s="290">
        <f>SUM(AA403:AA404)</f>
        <v>6593.0919999999996</v>
      </c>
      <c r="AB405" s="290">
        <f>SUM(AB403:AB404)</f>
        <v>7040.6370000000006</v>
      </c>
      <c r="AC405" s="287"/>
      <c r="AD405" s="287"/>
      <c r="AE405" s="287"/>
      <c r="AF405" s="287"/>
      <c r="AG405" s="287"/>
      <c r="AH405" s="287"/>
      <c r="AI405" s="287"/>
      <c r="AJ405" s="287"/>
      <c r="AK405" s="287"/>
      <c r="AL405" s="287"/>
      <c r="AM405" s="287"/>
      <c r="AN405" s="287"/>
    </row>
    <row r="406" spans="1:41" s="3" customFormat="1" hidden="1" outlineLevel="1">
      <c r="A406" s="110"/>
      <c r="B406" s="110"/>
      <c r="C406" s="143"/>
      <c r="D406" s="150"/>
      <c r="E406" s="150" t="s">
        <v>398</v>
      </c>
      <c r="F406" s="2"/>
      <c r="G406" s="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>
        <f t="shared" ref="R406:W406" si="340">R402-R405</f>
        <v>646.09699999999975</v>
      </c>
      <c r="S406" s="102">
        <f t="shared" si="340"/>
        <v>709.16699999999946</v>
      </c>
      <c r="T406" s="102">
        <f t="shared" si="340"/>
        <v>719.67599999999948</v>
      </c>
      <c r="U406" s="102">
        <f t="shared" si="340"/>
        <v>698.88699999999972</v>
      </c>
      <c r="V406" s="102">
        <f t="shared" si="340"/>
        <v>712.40300000000025</v>
      </c>
      <c r="W406" s="102">
        <f t="shared" si="340"/>
        <v>716.33200000000033</v>
      </c>
      <c r="X406" s="102">
        <f>X402-X405</f>
        <v>743.10200000000077</v>
      </c>
      <c r="Y406" s="102">
        <f>Y402-Y405</f>
        <v>918.57000000000062</v>
      </c>
      <c r="Z406" s="102">
        <f>Z402-Z405</f>
        <v>993.71800000000076</v>
      </c>
      <c r="AA406" s="102">
        <f>AA402-AA405</f>
        <v>1138.0980000000009</v>
      </c>
      <c r="AB406" s="102">
        <f>AB402-AB405</f>
        <v>1299.9420000000009</v>
      </c>
      <c r="AC406" s="102"/>
      <c r="AD406" s="102"/>
      <c r="AE406" s="102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/>
    </row>
    <row r="407" spans="1:41" hidden="1" outlineLevel="1">
      <c r="E407" s="70" t="s">
        <v>220</v>
      </c>
      <c r="H407" s="284"/>
      <c r="I407" s="284"/>
      <c r="J407" s="284"/>
      <c r="K407" s="284"/>
      <c r="L407" s="284"/>
      <c r="M407" s="284"/>
      <c r="N407" s="284"/>
      <c r="O407" s="284"/>
      <c r="P407" s="225"/>
      <c r="Q407" s="225"/>
      <c r="R407" s="225">
        <v>519.06500000000005</v>
      </c>
      <c r="S407" s="225">
        <v>556.68899999999996</v>
      </c>
      <c r="T407" s="225">
        <v>565.20600000000002</v>
      </c>
      <c r="U407" s="225">
        <v>564.91</v>
      </c>
      <c r="V407" s="225">
        <v>576.96699999999998</v>
      </c>
      <c r="W407" s="225">
        <v>584.90599999999995</v>
      </c>
      <c r="X407" s="225">
        <v>585.24300000000005</v>
      </c>
      <c r="Y407" s="225">
        <v>723.32799999999997</v>
      </c>
      <c r="Z407" s="225">
        <v>756.529</v>
      </c>
      <c r="AA407" s="225">
        <v>880.73699999999997</v>
      </c>
      <c r="AB407" s="225">
        <v>1013.765</v>
      </c>
    </row>
    <row r="408" spans="1:41" s="3" customFormat="1" hidden="1" outlineLevel="1">
      <c r="A408" s="110"/>
      <c r="B408" s="110"/>
      <c r="C408" s="143"/>
      <c r="D408" s="150"/>
      <c r="E408" s="150" t="s">
        <v>399</v>
      </c>
      <c r="F408" s="2"/>
      <c r="G408" s="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>
        <f t="shared" ref="R408:AA408" si="341">R406-R407</f>
        <v>127.0319999999997</v>
      </c>
      <c r="S408" s="102">
        <f t="shared" si="341"/>
        <v>152.4779999999995</v>
      </c>
      <c r="T408" s="102">
        <f t="shared" si="341"/>
        <v>154.46999999999946</v>
      </c>
      <c r="U408" s="102">
        <f t="shared" si="341"/>
        <v>133.97699999999975</v>
      </c>
      <c r="V408" s="102">
        <f t="shared" si="341"/>
        <v>135.43600000000026</v>
      </c>
      <c r="W408" s="102">
        <f t="shared" si="341"/>
        <v>131.42600000000039</v>
      </c>
      <c r="X408" s="102">
        <f t="shared" si="341"/>
        <v>157.85900000000072</v>
      </c>
      <c r="Y408" s="102">
        <f t="shared" si="341"/>
        <v>195.24200000000064</v>
      </c>
      <c r="Z408" s="102">
        <f t="shared" si="341"/>
        <v>237.18900000000076</v>
      </c>
      <c r="AA408" s="102">
        <f t="shared" si="341"/>
        <v>257.3610000000009</v>
      </c>
      <c r="AB408" s="102">
        <f>AB406-AB407</f>
        <v>286.17700000000093</v>
      </c>
      <c r="AC408" s="102"/>
      <c r="AD408" s="102"/>
      <c r="AE408" s="102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/>
    </row>
    <row r="409" spans="1:41" hidden="1" outlineLevel="1">
      <c r="E409" s="70" t="s">
        <v>411</v>
      </c>
      <c r="H409" s="284"/>
      <c r="I409" s="284"/>
      <c r="J409" s="284"/>
      <c r="K409" s="284"/>
      <c r="L409" s="284"/>
      <c r="M409" s="284"/>
      <c r="N409" s="284"/>
      <c r="O409" s="284"/>
      <c r="P409" s="225"/>
      <c r="Q409" s="225"/>
      <c r="R409" s="225">
        <v>2.956</v>
      </c>
      <c r="S409" s="225">
        <v>5.085</v>
      </c>
      <c r="T409" s="225">
        <v>6.3170000000000002</v>
      </c>
      <c r="U409" s="225">
        <v>12.47</v>
      </c>
      <c r="V409" s="225">
        <v>4.4329999999999998</v>
      </c>
      <c r="W409" s="225">
        <v>4.907</v>
      </c>
      <c r="X409" s="225">
        <v>4.58</v>
      </c>
      <c r="Y409" s="225">
        <v>9.0020000000000007</v>
      </c>
      <c r="Z409" s="225">
        <v>3.4239999999999999</v>
      </c>
      <c r="AA409" s="225">
        <v>5.4249999999999998</v>
      </c>
      <c r="AB409" s="225">
        <v>12.394</v>
      </c>
    </row>
    <row r="410" spans="1:41" hidden="1" outlineLevel="1">
      <c r="E410" s="70" t="s">
        <v>412</v>
      </c>
      <c r="H410" s="284"/>
      <c r="I410" s="284"/>
      <c r="J410" s="284"/>
      <c r="K410" s="284"/>
      <c r="L410" s="284"/>
      <c r="M410" s="284"/>
      <c r="N410" s="284"/>
      <c r="O410" s="284"/>
      <c r="P410" s="225"/>
      <c r="Q410" s="225"/>
      <c r="R410" s="225">
        <v>0</v>
      </c>
      <c r="S410" s="225">
        <v>0</v>
      </c>
      <c r="T410" s="225">
        <v>0</v>
      </c>
      <c r="U410" s="225">
        <v>0</v>
      </c>
      <c r="V410" s="225">
        <v>0</v>
      </c>
      <c r="W410" s="225">
        <v>0</v>
      </c>
      <c r="X410" s="225">
        <v>4.4470000000000001</v>
      </c>
      <c r="Y410" s="225">
        <v>3.3290000000000002</v>
      </c>
      <c r="Z410" s="225">
        <v>0.28199999999999997</v>
      </c>
      <c r="AA410" s="225">
        <v>11.342000000000001</v>
      </c>
      <c r="AB410" s="225">
        <v>2.2080000000000002</v>
      </c>
    </row>
    <row r="411" spans="1:41" hidden="1" outlineLevel="1">
      <c r="E411" s="70" t="s">
        <v>127</v>
      </c>
      <c r="H411" s="284"/>
      <c r="I411" s="284"/>
      <c r="J411" s="284"/>
      <c r="K411" s="284"/>
      <c r="L411" s="284"/>
      <c r="M411" s="284"/>
      <c r="N411" s="284"/>
      <c r="O411" s="284"/>
      <c r="P411" s="225"/>
      <c r="Q411" s="225"/>
      <c r="R411" s="225">
        <f>0.522+1.417</f>
        <v>1.9390000000000001</v>
      </c>
      <c r="S411" s="225">
        <f>-1.136+1.589</f>
        <v>0.45300000000000007</v>
      </c>
      <c r="T411" s="225">
        <f>-2.022-0.463+1.337</f>
        <v>-1.1479999999999999</v>
      </c>
      <c r="U411" s="225">
        <f>0.194+1.412</f>
        <v>1.6059999999999999</v>
      </c>
      <c r="V411" s="225">
        <f>0.327+1.347</f>
        <v>1.6739999999999999</v>
      </c>
      <c r="W411" s="225">
        <f>-0.393+1.295</f>
        <v>0.90199999999999991</v>
      </c>
      <c r="X411" s="225">
        <f>0.522+1.29</f>
        <v>1.8120000000000001</v>
      </c>
      <c r="Y411" s="225">
        <f>3.646+0.855+1.347</f>
        <v>5.847999999999999</v>
      </c>
      <c r="Z411" s="225">
        <v>-0.156</v>
      </c>
      <c r="AA411" s="225">
        <v>0.4</v>
      </c>
      <c r="AB411" s="225">
        <v>1.5289999999999999</v>
      </c>
    </row>
    <row r="412" spans="1:41" s="3" customFormat="1" hidden="1" outlineLevel="1">
      <c r="A412" s="110"/>
      <c r="B412" s="110"/>
      <c r="C412" s="143"/>
      <c r="D412" s="150"/>
      <c r="E412" s="150" t="s">
        <v>400</v>
      </c>
      <c r="F412" s="2"/>
      <c r="G412" s="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>
        <f t="shared" ref="R412:AA412" si="342">R408-SUM(R409:R411)</f>
        <v>122.1369999999997</v>
      </c>
      <c r="S412" s="102">
        <f t="shared" si="342"/>
        <v>146.93999999999949</v>
      </c>
      <c r="T412" s="102">
        <f t="shared" si="342"/>
        <v>149.30099999999945</v>
      </c>
      <c r="U412" s="102">
        <f t="shared" si="342"/>
        <v>119.90099999999975</v>
      </c>
      <c r="V412" s="102">
        <f t="shared" si="342"/>
        <v>129.32900000000026</v>
      </c>
      <c r="W412" s="102">
        <f t="shared" si="342"/>
        <v>125.61700000000039</v>
      </c>
      <c r="X412" s="102">
        <f t="shared" si="342"/>
        <v>147.02000000000072</v>
      </c>
      <c r="Y412" s="102">
        <f t="shared" si="342"/>
        <v>177.06300000000064</v>
      </c>
      <c r="Z412" s="102">
        <f t="shared" si="342"/>
        <v>233.63900000000075</v>
      </c>
      <c r="AA412" s="102">
        <f t="shared" si="342"/>
        <v>240.1940000000009</v>
      </c>
      <c r="AB412" s="102">
        <f>AB408-SUM(AB409:AB411)</f>
        <v>270.04600000000096</v>
      </c>
      <c r="AC412" s="102"/>
      <c r="AD412" s="102"/>
      <c r="AE412" s="102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/>
    </row>
    <row r="413" spans="1:41" hidden="1" outlineLevel="1"/>
    <row r="414" spans="1:41" hidden="1" outlineLevel="1">
      <c r="E414" t="s">
        <v>251</v>
      </c>
      <c r="H414" s="284"/>
      <c r="I414" s="284"/>
      <c r="J414" s="284"/>
      <c r="K414" s="284"/>
      <c r="L414" s="284"/>
      <c r="M414" s="284"/>
      <c r="N414" s="284"/>
      <c r="O414" s="284"/>
      <c r="P414" s="225"/>
      <c r="Q414" s="225"/>
      <c r="R414" s="225">
        <v>38.012999999999998</v>
      </c>
      <c r="S414" s="225">
        <v>39.139000000000003</v>
      </c>
      <c r="T414" s="225">
        <v>41.77</v>
      </c>
      <c r="U414" s="225">
        <v>41.543999999999997</v>
      </c>
      <c r="V414" s="225">
        <v>40.579000000000001</v>
      </c>
      <c r="W414" s="225">
        <v>37.656999999999996</v>
      </c>
      <c r="X414" s="225">
        <v>38.130000000000003</v>
      </c>
      <c r="Y414" s="225">
        <v>42.598999999999997</v>
      </c>
      <c r="Z414" s="225">
        <v>37.457999999999998</v>
      </c>
      <c r="AA414" s="225">
        <v>46.209000000000003</v>
      </c>
      <c r="AB414" s="225">
        <v>65.56</v>
      </c>
    </row>
    <row r="415" spans="1:41" hidden="1" outlineLevel="1">
      <c r="E415" t="s">
        <v>130</v>
      </c>
      <c r="H415" s="284"/>
      <c r="I415" s="284"/>
      <c r="J415" s="284"/>
      <c r="K415" s="284"/>
      <c r="L415" s="284"/>
      <c r="M415" s="284"/>
      <c r="N415" s="284"/>
      <c r="O415" s="284"/>
      <c r="P415" s="225"/>
      <c r="Q415" s="225"/>
      <c r="R415" s="225">
        <v>17.972000000000001</v>
      </c>
      <c r="S415" s="225">
        <v>27.093</v>
      </c>
      <c r="T415" s="225">
        <v>30.152000000000001</v>
      </c>
      <c r="U415" s="225">
        <v>19.024000000000001</v>
      </c>
      <c r="V415" s="225">
        <v>9.9830000000000005</v>
      </c>
      <c r="W415" s="225">
        <v>13.416</v>
      </c>
      <c r="X415" s="225">
        <v>12.266</v>
      </c>
      <c r="Y415" s="225">
        <v>19.23</v>
      </c>
      <c r="Z415" s="225">
        <v>17.251000000000001</v>
      </c>
      <c r="AA415" s="225">
        <v>69.085999999999999</v>
      </c>
      <c r="AB415" s="225">
        <v>24.184000000000001</v>
      </c>
    </row>
    <row r="416" spans="1:41" hidden="1" outlineLevel="1">
      <c r="E416" t="s">
        <v>131</v>
      </c>
      <c r="H416" s="284"/>
      <c r="I416" s="284"/>
      <c r="J416" s="284"/>
      <c r="K416" s="284"/>
      <c r="L416" s="284"/>
      <c r="M416" s="284"/>
      <c r="N416" s="284"/>
      <c r="O416" s="284"/>
      <c r="P416" s="225"/>
      <c r="Q416" s="225"/>
      <c r="R416" s="225">
        <v>0</v>
      </c>
      <c r="S416" s="225">
        <v>13.769</v>
      </c>
      <c r="T416" s="225">
        <v>3.831</v>
      </c>
      <c r="U416" s="225">
        <v>0</v>
      </c>
      <c r="V416" s="225">
        <v>0</v>
      </c>
      <c r="W416" s="225">
        <v>44.220999999999997</v>
      </c>
      <c r="X416" s="225">
        <v>10.297000000000001</v>
      </c>
      <c r="Y416" s="225">
        <v>186.93199999999999</v>
      </c>
      <c r="Z416" s="225">
        <v>74.938000000000002</v>
      </c>
      <c r="AA416" s="225">
        <v>664.28700000000003</v>
      </c>
      <c r="AB416" s="225">
        <v>6.4050000000000002</v>
      </c>
    </row>
    <row r="417" spans="1:41" hidden="1" outlineLevel="1"/>
    <row r="418" spans="1:41" hidden="1" outlineLevel="1">
      <c r="E418" t="s">
        <v>401</v>
      </c>
      <c r="H418" s="284"/>
      <c r="I418" s="284"/>
      <c r="J418" s="284"/>
      <c r="K418" s="284"/>
      <c r="L418" s="284"/>
      <c r="M418" s="284"/>
      <c r="N418" s="284"/>
      <c r="O418" s="284"/>
      <c r="P418" s="225"/>
      <c r="Q418" s="225"/>
      <c r="R418" s="225">
        <v>1135.951</v>
      </c>
      <c r="S418" s="225">
        <v>1208.2760000000001</v>
      </c>
      <c r="T418" s="225">
        <v>1371.356</v>
      </c>
      <c r="U418" s="225">
        <v>1257.9100000000001</v>
      </c>
      <c r="V418" s="225">
        <v>1309.2090000000001</v>
      </c>
      <c r="W418" s="225">
        <v>1315.0940000000001</v>
      </c>
      <c r="X418" s="225">
        <v>1436.742</v>
      </c>
      <c r="Y418" s="225">
        <v>1814.56</v>
      </c>
      <c r="Z418" s="225">
        <v>1931.7360000000001</v>
      </c>
      <c r="AA418" s="225">
        <v>2511.3829999999998</v>
      </c>
      <c r="AB418" s="225">
        <v>2685.4479999999999</v>
      </c>
    </row>
    <row r="419" spans="1:41" hidden="1" outlineLevel="1">
      <c r="E419" t="s">
        <v>402</v>
      </c>
      <c r="H419" s="284"/>
      <c r="I419" s="284"/>
      <c r="J419" s="284"/>
      <c r="K419" s="284"/>
      <c r="L419" s="284"/>
      <c r="M419" s="284"/>
      <c r="N419" s="284"/>
      <c r="O419" s="284"/>
      <c r="P419" s="225"/>
      <c r="Q419" s="225"/>
      <c r="R419" s="225">
        <v>157.411</v>
      </c>
      <c r="S419" s="225">
        <v>158.57900000000001</v>
      </c>
      <c r="T419" s="225">
        <v>132.14500000000001</v>
      </c>
      <c r="U419" s="225">
        <v>135.97300000000001</v>
      </c>
      <c r="V419" s="225">
        <v>167.834</v>
      </c>
      <c r="W419" s="225">
        <v>171.57599999999999</v>
      </c>
      <c r="X419" s="225">
        <v>216.822</v>
      </c>
      <c r="Y419" s="225">
        <v>194.529</v>
      </c>
      <c r="Z419" s="225">
        <v>148.50299999999999</v>
      </c>
      <c r="AA419" s="225">
        <v>190.833</v>
      </c>
      <c r="AB419" s="225">
        <v>185.65</v>
      </c>
    </row>
    <row r="420" spans="1:41" hidden="1" outlineLevel="1">
      <c r="E420" t="s">
        <v>127</v>
      </c>
      <c r="H420" s="284"/>
      <c r="I420" s="284"/>
      <c r="J420" s="284"/>
      <c r="K420" s="284"/>
      <c r="L420" s="284"/>
      <c r="M420" s="284"/>
      <c r="N420" s="284"/>
      <c r="O420" s="284"/>
      <c r="P420" s="225"/>
      <c r="Q420" s="225"/>
      <c r="R420" s="225">
        <v>72.572000000000003</v>
      </c>
      <c r="S420" s="225">
        <v>40.488</v>
      </c>
      <c r="T420" s="225">
        <v>45.93</v>
      </c>
      <c r="U420" s="225">
        <v>73.963999999999999</v>
      </c>
      <c r="V420" s="225">
        <v>76.305000000000007</v>
      </c>
      <c r="W420" s="225">
        <v>77.010999999999996</v>
      </c>
      <c r="X420" s="225">
        <v>127.15900000000001</v>
      </c>
      <c r="Y420" s="225">
        <v>152.46700000000001</v>
      </c>
      <c r="Z420" s="225">
        <v>115.68300000000001</v>
      </c>
      <c r="AA420" s="225">
        <v>231.148</v>
      </c>
      <c r="AB420" s="225">
        <v>177.03899999999999</v>
      </c>
    </row>
    <row r="421" spans="1:41" hidden="1" outlineLevel="1"/>
    <row r="422" spans="1:41" hidden="1" outlineLevel="1">
      <c r="E422" t="s">
        <v>141</v>
      </c>
      <c r="H422" s="284"/>
      <c r="I422" s="284"/>
      <c r="J422" s="284"/>
      <c r="K422" s="284"/>
      <c r="L422" s="284"/>
      <c r="M422" s="284"/>
      <c r="N422" s="284"/>
      <c r="O422" s="284"/>
      <c r="P422" s="225"/>
      <c r="Q422" s="225"/>
      <c r="R422" s="225">
        <v>141.399</v>
      </c>
      <c r="S422" s="225">
        <v>140.70500000000001</v>
      </c>
      <c r="T422" s="225">
        <v>143.51300000000001</v>
      </c>
      <c r="U422" s="225">
        <v>132.82</v>
      </c>
      <c r="V422" s="225">
        <v>104.181</v>
      </c>
      <c r="W422" s="225">
        <v>88.281000000000006</v>
      </c>
      <c r="X422" s="225">
        <v>70.91</v>
      </c>
      <c r="Y422" s="225">
        <v>75.251999999999995</v>
      </c>
      <c r="Z422" s="225">
        <v>72.953999999999994</v>
      </c>
      <c r="AA422" s="225">
        <v>130.90700000000001</v>
      </c>
      <c r="AB422" s="225">
        <v>146.01599999999999</v>
      </c>
    </row>
    <row r="423" spans="1:41" hidden="1" outlineLevel="1">
      <c r="E423" t="s">
        <v>143</v>
      </c>
      <c r="H423" s="284"/>
      <c r="I423" s="284"/>
      <c r="J423" s="284"/>
      <c r="K423" s="284"/>
      <c r="L423" s="284"/>
      <c r="M423" s="284"/>
      <c r="N423" s="284"/>
      <c r="O423" s="284"/>
      <c r="P423" s="225"/>
      <c r="Q423" s="225"/>
      <c r="R423" s="225">
        <v>69.081000000000003</v>
      </c>
      <c r="S423" s="225">
        <v>59.021000000000001</v>
      </c>
      <c r="T423" s="225">
        <v>47.405000000000001</v>
      </c>
      <c r="U423" s="225">
        <v>35.765000000000001</v>
      </c>
      <c r="V423" s="225">
        <v>23.567</v>
      </c>
      <c r="W423" s="225">
        <v>26.983000000000001</v>
      </c>
      <c r="X423" s="225">
        <v>20.707000000000001</v>
      </c>
      <c r="Y423" s="225">
        <v>100.77800000000001</v>
      </c>
      <c r="Z423" s="225">
        <v>112.179</v>
      </c>
      <c r="AA423" s="225">
        <v>278.584</v>
      </c>
      <c r="AB423" s="225">
        <v>246.91499999999999</v>
      </c>
    </row>
    <row r="424" spans="1:41" hidden="1" outlineLevel="1"/>
    <row r="425" spans="1:41" hidden="1" outlineLevel="1">
      <c r="E425" t="s">
        <v>405</v>
      </c>
      <c r="H425" s="284"/>
      <c r="I425" s="284"/>
      <c r="J425" s="284"/>
      <c r="K425" s="284"/>
      <c r="L425" s="284"/>
      <c r="M425" s="284"/>
      <c r="N425" s="284"/>
      <c r="O425" s="284"/>
      <c r="P425" s="225"/>
      <c r="Q425" s="225"/>
      <c r="R425" s="225">
        <v>881.68799999999999</v>
      </c>
      <c r="S425" s="225">
        <v>882.38400000000001</v>
      </c>
      <c r="T425" s="225">
        <v>982.61099999999999</v>
      </c>
      <c r="U425" s="225">
        <v>735.69899999999996</v>
      </c>
      <c r="V425" s="225">
        <v>819.91600000000005</v>
      </c>
      <c r="W425" s="225">
        <v>905.46400000000006</v>
      </c>
      <c r="X425" s="225">
        <v>1070.259</v>
      </c>
      <c r="Y425" s="225">
        <v>899.07500000000005</v>
      </c>
      <c r="Z425" s="225">
        <v>978.10400000000004</v>
      </c>
      <c r="AA425" s="225">
        <v>1275.9570000000001</v>
      </c>
      <c r="AB425" s="225">
        <v>1461.3119999999999</v>
      </c>
    </row>
    <row r="426" spans="1:41" hidden="1" outlineLevel="1">
      <c r="E426" t="s">
        <v>406</v>
      </c>
      <c r="H426" s="284"/>
      <c r="I426" s="284"/>
      <c r="J426" s="284"/>
      <c r="K426" s="284"/>
      <c r="L426" s="284"/>
      <c r="M426" s="284"/>
      <c r="N426" s="284"/>
      <c r="O426" s="284"/>
      <c r="P426" s="225"/>
      <c r="Q426" s="225"/>
      <c r="R426" s="225">
        <v>0</v>
      </c>
      <c r="S426" s="225">
        <v>0</v>
      </c>
      <c r="T426" s="225">
        <v>0</v>
      </c>
      <c r="U426" s="225">
        <v>115.252</v>
      </c>
      <c r="V426" s="225">
        <v>122.78100000000001</v>
      </c>
      <c r="W426" s="225">
        <v>106.327</v>
      </c>
      <c r="X426" s="225">
        <v>154.93</v>
      </c>
      <c r="Y426" s="225">
        <v>319.46800000000002</v>
      </c>
      <c r="Z426" s="225">
        <v>304.13</v>
      </c>
      <c r="AA426" s="225">
        <v>253.67599999999999</v>
      </c>
      <c r="AB426" s="225">
        <v>356.93</v>
      </c>
    </row>
    <row r="427" spans="1:41" hidden="1" outlineLevel="1">
      <c r="E427" t="s">
        <v>413</v>
      </c>
      <c r="H427" s="284"/>
      <c r="I427" s="284"/>
      <c r="J427" s="284"/>
      <c r="K427" s="284"/>
      <c r="L427" s="284"/>
      <c r="M427" s="284"/>
      <c r="N427" s="284"/>
      <c r="O427" s="284"/>
      <c r="P427" s="225"/>
      <c r="Q427" s="225"/>
      <c r="R427" s="225">
        <v>254.82999999999998</v>
      </c>
      <c r="S427" s="225">
        <v>225.761</v>
      </c>
      <c r="T427" s="225">
        <v>198.90800000000002</v>
      </c>
      <c r="U427" s="225">
        <v>156.49100000000001</v>
      </c>
      <c r="V427" s="225">
        <v>144.56100000000001</v>
      </c>
      <c r="W427" s="225">
        <v>194.79900000000001</v>
      </c>
      <c r="X427" s="225">
        <v>212.99299999999999</v>
      </c>
      <c r="Y427" s="225">
        <v>175.86</v>
      </c>
      <c r="Z427" s="225">
        <v>190.733</v>
      </c>
      <c r="AA427" s="225">
        <v>352.20400000000001</v>
      </c>
      <c r="AB427" s="225">
        <v>408.11700000000002</v>
      </c>
    </row>
    <row r="428" spans="1:41" collapsed="1"/>
    <row r="429" spans="1:41">
      <c r="D429" s="104"/>
      <c r="E429" s="105" t="s">
        <v>421</v>
      </c>
      <c r="F429" s="104"/>
      <c r="G429" s="105" t="s">
        <v>422</v>
      </c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104"/>
    </row>
    <row r="430" spans="1:41" ht="5.0999999999999996" hidden="1" customHeight="1" outlineLevel="1"/>
    <row r="431" spans="1:41" s="3" customFormat="1" hidden="1" outlineLevel="1">
      <c r="A431" s="110"/>
      <c r="B431" s="110"/>
      <c r="C431" s="143"/>
      <c r="D431" s="242"/>
      <c r="E431" s="242" t="s">
        <v>397</v>
      </c>
      <c r="F431" s="167"/>
      <c r="G431" s="167"/>
      <c r="H431" s="297"/>
      <c r="I431" s="297"/>
      <c r="J431" s="297"/>
      <c r="K431" s="297"/>
      <c r="L431" s="297"/>
      <c r="M431" s="297"/>
      <c r="N431" s="297"/>
      <c r="O431" s="297"/>
      <c r="P431" s="297"/>
      <c r="Q431" s="297"/>
      <c r="R431" s="297">
        <v>1974.1980000000001</v>
      </c>
      <c r="S431" s="297">
        <v>2103.2950000000001</v>
      </c>
      <c r="T431" s="297">
        <v>2158.873</v>
      </c>
      <c r="U431" s="297">
        <v>2221.6379999999999</v>
      </c>
      <c r="V431" s="297">
        <v>2463.3389999999999</v>
      </c>
      <c r="W431" s="297">
        <v>2573.973</v>
      </c>
      <c r="X431" s="297">
        <v>2692.5920000000001</v>
      </c>
      <c r="Y431" s="297">
        <v>2911.8829999999998</v>
      </c>
      <c r="Z431" s="297">
        <v>2699.489</v>
      </c>
      <c r="AA431" s="297">
        <v>2820.0340000000001</v>
      </c>
      <c r="AB431" s="297">
        <v>2590.29</v>
      </c>
      <c r="AC431" s="274"/>
      <c r="AD431" s="274"/>
      <c r="AE431" s="274"/>
      <c r="AF431" s="244"/>
      <c r="AG431" s="244"/>
      <c r="AH431" s="244"/>
      <c r="AI431" s="244"/>
      <c r="AJ431" s="244"/>
      <c r="AK431" s="244"/>
      <c r="AL431" s="244"/>
      <c r="AM431" s="244"/>
      <c r="AN431" s="244"/>
      <c r="AO431"/>
    </row>
    <row r="432" spans="1:41" hidden="1" outlineLevel="1">
      <c r="E432" s="295" t="s">
        <v>255</v>
      </c>
      <c r="F432" s="296"/>
      <c r="G432" s="296"/>
      <c r="H432" s="289"/>
      <c r="I432" s="289"/>
      <c r="J432" s="289"/>
      <c r="K432" s="289"/>
      <c r="L432" s="289"/>
      <c r="M432" s="289"/>
      <c r="N432" s="289"/>
      <c r="O432" s="289"/>
      <c r="P432" s="289"/>
      <c r="Q432" s="289"/>
      <c r="R432" s="289">
        <v>1744.298</v>
      </c>
      <c r="S432" s="289">
        <v>1838.4110000000001</v>
      </c>
      <c r="T432" s="289">
        <v>1876.7840000000001</v>
      </c>
      <c r="U432" s="289">
        <v>1928.6379999999999</v>
      </c>
      <c r="V432" s="289">
        <v>2139.9499999999998</v>
      </c>
      <c r="W432" s="289">
        <v>2232.9540000000002</v>
      </c>
      <c r="X432" s="289">
        <v>2321.4349999999999</v>
      </c>
      <c r="Y432" s="289">
        <v>2529.8069999999998</v>
      </c>
      <c r="Z432" s="289">
        <v>2288.4029999999998</v>
      </c>
      <c r="AA432" s="289">
        <v>2368.7240000000002</v>
      </c>
      <c r="AB432" s="289">
        <v>2171.4830000000002</v>
      </c>
      <c r="AC432" s="296"/>
      <c r="AD432" s="296"/>
      <c r="AE432" s="296"/>
      <c r="AF432" s="296"/>
      <c r="AG432" s="296"/>
      <c r="AH432" s="296"/>
      <c r="AI432" s="296"/>
      <c r="AJ432" s="296"/>
      <c r="AK432" s="296"/>
      <c r="AL432" s="296"/>
      <c r="AM432" s="296"/>
      <c r="AN432" s="296"/>
    </row>
    <row r="433" spans="1:41" s="3" customFormat="1" hidden="1" outlineLevel="1">
      <c r="A433" s="110"/>
      <c r="B433" s="110"/>
      <c r="C433" s="143"/>
      <c r="D433" s="150"/>
      <c r="E433" s="150" t="s">
        <v>398</v>
      </c>
      <c r="F433" s="2"/>
      <c r="G433" s="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>
        <f t="shared" ref="R433:AB433" si="343">R431-R432</f>
        <v>229.90000000000009</v>
      </c>
      <c r="S433" s="102">
        <f t="shared" si="343"/>
        <v>264.88400000000001</v>
      </c>
      <c r="T433" s="102">
        <f t="shared" si="343"/>
        <v>282.08899999999994</v>
      </c>
      <c r="U433" s="102">
        <f t="shared" si="343"/>
        <v>293</v>
      </c>
      <c r="V433" s="102">
        <f t="shared" si="343"/>
        <v>323.38900000000012</v>
      </c>
      <c r="W433" s="102">
        <f t="shared" si="343"/>
        <v>341.01899999999978</v>
      </c>
      <c r="X433" s="102">
        <f t="shared" si="343"/>
        <v>371.15700000000015</v>
      </c>
      <c r="Y433" s="102">
        <f t="shared" si="343"/>
        <v>382.07600000000002</v>
      </c>
      <c r="Z433" s="102">
        <f t="shared" si="343"/>
        <v>411.08600000000024</v>
      </c>
      <c r="AA433" s="102">
        <f t="shared" si="343"/>
        <v>451.30999999999995</v>
      </c>
      <c r="AB433" s="102">
        <f t="shared" si="343"/>
        <v>418.80699999999979</v>
      </c>
      <c r="AC433" s="102"/>
      <c r="AD433" s="102"/>
      <c r="AE433" s="102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/>
    </row>
    <row r="434" spans="1:41" hidden="1" outlineLevel="1">
      <c r="E434" s="70" t="s">
        <v>220</v>
      </c>
      <c r="H434" s="284"/>
      <c r="I434" s="284"/>
      <c r="J434" s="284"/>
      <c r="K434" s="284"/>
      <c r="L434" s="284"/>
      <c r="M434" s="284"/>
      <c r="N434" s="284"/>
      <c r="O434" s="284"/>
      <c r="P434" s="225"/>
      <c r="Q434" s="225"/>
      <c r="R434" s="225">
        <v>191.233</v>
      </c>
      <c r="S434" s="225">
        <v>217.273</v>
      </c>
      <c r="T434" s="225">
        <v>226.322</v>
      </c>
      <c r="U434" s="225">
        <v>233.60400000000001</v>
      </c>
      <c r="V434" s="225">
        <v>251.935</v>
      </c>
      <c r="W434" s="225">
        <v>262.46499999999997</v>
      </c>
      <c r="X434" s="225">
        <v>287.23099999999999</v>
      </c>
      <c r="Y434" s="225">
        <v>300.91300000000001</v>
      </c>
      <c r="Z434" s="225">
        <v>324.43299999999999</v>
      </c>
      <c r="AA434" s="225">
        <v>338.63499999999999</v>
      </c>
      <c r="AB434" s="225">
        <v>345.74099999999999</v>
      </c>
    </row>
    <row r="435" spans="1:41" s="3" customFormat="1" hidden="1" outlineLevel="1">
      <c r="A435" s="110"/>
      <c r="B435" s="110"/>
      <c r="C435" s="143"/>
      <c r="D435" s="150"/>
      <c r="E435" s="150" t="s">
        <v>399</v>
      </c>
      <c r="F435" s="2"/>
      <c r="G435" s="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>
        <f t="shared" ref="R435:AA435" si="344">R433-R434</f>
        <v>38.667000000000087</v>
      </c>
      <c r="S435" s="102">
        <f t="shared" si="344"/>
        <v>47.611000000000018</v>
      </c>
      <c r="T435" s="102">
        <f t="shared" si="344"/>
        <v>55.766999999999939</v>
      </c>
      <c r="U435" s="102">
        <f t="shared" si="344"/>
        <v>59.395999999999987</v>
      </c>
      <c r="V435" s="102">
        <f t="shared" si="344"/>
        <v>71.454000000000121</v>
      </c>
      <c r="W435" s="102">
        <f t="shared" si="344"/>
        <v>78.553999999999803</v>
      </c>
      <c r="X435" s="102">
        <f t="shared" si="344"/>
        <v>83.926000000000158</v>
      </c>
      <c r="Y435" s="102">
        <f t="shared" si="344"/>
        <v>81.163000000000011</v>
      </c>
      <c r="Z435" s="102">
        <f t="shared" si="344"/>
        <v>86.653000000000247</v>
      </c>
      <c r="AA435" s="102">
        <f t="shared" si="344"/>
        <v>112.67499999999995</v>
      </c>
      <c r="AB435" s="102">
        <f>AB433-AB434</f>
        <v>73.065999999999804</v>
      </c>
      <c r="AC435" s="102"/>
      <c r="AD435" s="102"/>
      <c r="AE435" s="102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/>
    </row>
    <row r="436" spans="1:41" hidden="1" outlineLevel="1">
      <c r="E436" s="70" t="s">
        <v>423</v>
      </c>
      <c r="H436" s="284"/>
      <c r="I436" s="284"/>
      <c r="J436" s="284"/>
      <c r="K436" s="284"/>
      <c r="L436" s="284"/>
      <c r="M436" s="284"/>
      <c r="N436" s="284"/>
      <c r="O436" s="284"/>
      <c r="P436" s="225"/>
      <c r="Q436" s="225"/>
      <c r="R436" s="225">
        <v>0</v>
      </c>
      <c r="S436" s="225">
        <v>0</v>
      </c>
      <c r="T436" s="225">
        <v>1.135</v>
      </c>
      <c r="U436" s="225">
        <v>0</v>
      </c>
      <c r="V436" s="225">
        <v>0</v>
      </c>
      <c r="W436" s="225">
        <v>0</v>
      </c>
      <c r="X436" s="225">
        <v>3.4060000000000001</v>
      </c>
      <c r="Y436" s="225">
        <v>3.6360000000000001</v>
      </c>
      <c r="Z436" s="225">
        <v>0.96699999999999997</v>
      </c>
      <c r="AA436" s="225">
        <v>0.70299999999999996</v>
      </c>
      <c r="AB436" s="225">
        <v>0.99199999999999999</v>
      </c>
    </row>
    <row r="437" spans="1:41" hidden="1" outlineLevel="1">
      <c r="E437" s="70" t="s">
        <v>424</v>
      </c>
      <c r="H437" s="284"/>
      <c r="I437" s="284"/>
      <c r="J437" s="284"/>
      <c r="K437" s="284"/>
      <c r="L437" s="284"/>
      <c r="M437" s="284"/>
      <c r="N437" s="284"/>
      <c r="O437" s="284"/>
      <c r="P437" s="225"/>
      <c r="Q437" s="225"/>
      <c r="R437" s="225">
        <v>-0.21299999999999999</v>
      </c>
      <c r="S437" s="225">
        <v>-0.189</v>
      </c>
      <c r="T437" s="225">
        <v>-4.1000000000000002E-2</v>
      </c>
      <c r="U437" s="225">
        <v>0</v>
      </c>
      <c r="V437" s="225">
        <v>0</v>
      </c>
      <c r="W437" s="225">
        <v>0</v>
      </c>
      <c r="X437" s="225">
        <v>0</v>
      </c>
      <c r="Y437" s="225">
        <v>9.8000000000000004E-2</v>
      </c>
      <c r="Z437" s="225">
        <v>2.9780000000000002</v>
      </c>
      <c r="AA437" s="225">
        <v>0.70699999999999996</v>
      </c>
      <c r="AB437" s="225">
        <v>1.1220000000000001</v>
      </c>
    </row>
    <row r="438" spans="1:41" s="3" customFormat="1" hidden="1" outlineLevel="1">
      <c r="A438" s="110"/>
      <c r="B438" s="110"/>
      <c r="C438" s="143"/>
      <c r="D438" s="150"/>
      <c r="E438" s="150" t="s">
        <v>400</v>
      </c>
      <c r="F438" s="2"/>
      <c r="G438" s="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>
        <f t="shared" ref="R438:AA438" si="345">R435-R436+R437</f>
        <v>38.454000000000086</v>
      </c>
      <c r="S438" s="102">
        <f t="shared" si="345"/>
        <v>47.422000000000018</v>
      </c>
      <c r="T438" s="102">
        <f t="shared" si="345"/>
        <v>54.590999999999944</v>
      </c>
      <c r="U438" s="102">
        <f t="shared" si="345"/>
        <v>59.395999999999987</v>
      </c>
      <c r="V438" s="102">
        <f t="shared" si="345"/>
        <v>71.454000000000121</v>
      </c>
      <c r="W438" s="102">
        <f t="shared" si="345"/>
        <v>78.553999999999803</v>
      </c>
      <c r="X438" s="102">
        <f t="shared" si="345"/>
        <v>80.520000000000152</v>
      </c>
      <c r="Y438" s="102">
        <f t="shared" si="345"/>
        <v>77.625000000000014</v>
      </c>
      <c r="Z438" s="102">
        <f t="shared" si="345"/>
        <v>88.664000000000243</v>
      </c>
      <c r="AA438" s="102">
        <f t="shared" si="345"/>
        <v>112.67899999999995</v>
      </c>
      <c r="AB438" s="102">
        <f>AB435-AB436+AB437</f>
        <v>73.195999999999799</v>
      </c>
      <c r="AC438" s="102"/>
      <c r="AD438" s="102"/>
      <c r="AE438" s="102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/>
    </row>
    <row r="439" spans="1:41" hidden="1" outlineLevel="1"/>
    <row r="440" spans="1:41" hidden="1" outlineLevel="1">
      <c r="E440" t="s">
        <v>251</v>
      </c>
      <c r="H440" s="284"/>
      <c r="I440" s="284"/>
      <c r="J440" s="284"/>
      <c r="K440" s="284"/>
      <c r="L440" s="284"/>
      <c r="M440" s="284"/>
      <c r="N440" s="284"/>
      <c r="O440" s="284"/>
      <c r="P440" s="225"/>
      <c r="Q440" s="225"/>
      <c r="R440" s="225">
        <v>5.43</v>
      </c>
      <c r="S440" s="225">
        <v>5.9509999999999996</v>
      </c>
      <c r="T440" s="225">
        <v>6.8949999999999996</v>
      </c>
      <c r="U440" s="225">
        <v>7.0890000000000004</v>
      </c>
      <c r="V440" s="225">
        <v>8.0920000000000005</v>
      </c>
      <c r="W440" s="225">
        <v>8.9610000000000003</v>
      </c>
      <c r="X440" s="225">
        <v>10.452999999999999</v>
      </c>
      <c r="Y440" s="225">
        <v>11.839</v>
      </c>
      <c r="Z440" s="225">
        <v>14.063000000000001</v>
      </c>
      <c r="AA440" s="225">
        <v>13.314</v>
      </c>
      <c r="AB440" s="225">
        <v>13.603</v>
      </c>
    </row>
    <row r="441" spans="1:41" hidden="1" outlineLevel="1">
      <c r="E441" t="s">
        <v>130</v>
      </c>
      <c r="H441" s="284"/>
      <c r="I441" s="284"/>
      <c r="J441" s="284"/>
      <c r="K441" s="284"/>
      <c r="L441" s="284"/>
      <c r="M441" s="284"/>
      <c r="N441" s="284"/>
      <c r="O441" s="284"/>
      <c r="P441" s="225"/>
      <c r="Q441" s="225"/>
      <c r="R441" s="225">
        <f>6.387+0.8</f>
        <v>7.1869999999999994</v>
      </c>
      <c r="S441" s="225">
        <f>10.855+0.45</f>
        <v>11.305</v>
      </c>
      <c r="T441" s="225">
        <v>9.25</v>
      </c>
      <c r="U441" s="225">
        <v>7.6070000000000002</v>
      </c>
      <c r="V441" s="225">
        <v>7.609</v>
      </c>
      <c r="W441" s="225">
        <f>12.337+0.45</f>
        <v>12.786999999999999</v>
      </c>
      <c r="X441" s="225">
        <v>11.885</v>
      </c>
      <c r="Y441" s="225">
        <v>11.803000000000001</v>
      </c>
      <c r="Z441" s="225">
        <v>21.238</v>
      </c>
      <c r="AA441" s="225">
        <v>25.655999999999999</v>
      </c>
      <c r="AB441" s="225">
        <v>11.032999999999999</v>
      </c>
    </row>
    <row r="442" spans="1:41" hidden="1" outlineLevel="1">
      <c r="E442" t="s">
        <v>131</v>
      </c>
      <c r="H442" s="284"/>
      <c r="I442" s="284"/>
      <c r="J442" s="284"/>
      <c r="K442" s="284"/>
      <c r="L442" s="284"/>
      <c r="M442" s="284"/>
      <c r="N442" s="284"/>
      <c r="O442" s="284"/>
      <c r="P442" s="225"/>
      <c r="Q442" s="225"/>
      <c r="R442" s="225">
        <v>0</v>
      </c>
      <c r="S442" s="225">
        <v>4.7450000000000001</v>
      </c>
      <c r="T442" s="225">
        <v>0</v>
      </c>
      <c r="U442" s="225">
        <v>0</v>
      </c>
      <c r="V442" s="225">
        <v>0</v>
      </c>
      <c r="W442" s="225">
        <v>0</v>
      </c>
      <c r="X442" s="225">
        <v>42.99</v>
      </c>
      <c r="Y442" s="225">
        <v>0</v>
      </c>
      <c r="Z442" s="225">
        <v>0</v>
      </c>
      <c r="AA442" s="225">
        <v>0</v>
      </c>
      <c r="AB442" s="225">
        <v>0</v>
      </c>
    </row>
    <row r="443" spans="1:41" hidden="1" outlineLevel="1"/>
    <row r="444" spans="1:41" hidden="1" outlineLevel="1">
      <c r="E444" t="s">
        <v>401</v>
      </c>
      <c r="H444" s="284"/>
      <c r="I444" s="284"/>
      <c r="J444" s="284"/>
      <c r="K444" s="284"/>
      <c r="L444" s="284"/>
      <c r="M444" s="284"/>
      <c r="N444" s="284"/>
      <c r="O444" s="284"/>
      <c r="P444" s="225"/>
      <c r="Q444" s="225"/>
      <c r="R444" s="225">
        <v>238.011</v>
      </c>
      <c r="S444" s="225">
        <v>295.18799999999999</v>
      </c>
      <c r="T444" s="225">
        <v>267.31</v>
      </c>
      <c r="U444" s="225">
        <v>283.05099999999999</v>
      </c>
      <c r="V444" s="225">
        <v>293.02699999999999</v>
      </c>
      <c r="W444" s="225">
        <v>356.14499999999998</v>
      </c>
      <c r="X444" s="225">
        <v>411.88299999999998</v>
      </c>
      <c r="Y444" s="225">
        <v>449.68200000000002</v>
      </c>
      <c r="Z444" s="225">
        <v>447.69799999999998</v>
      </c>
      <c r="AA444" s="225">
        <v>549.62599999999998</v>
      </c>
      <c r="AB444" s="225">
        <v>611.02099999999996</v>
      </c>
    </row>
    <row r="445" spans="1:41" hidden="1" outlineLevel="1">
      <c r="E445" t="s">
        <v>402</v>
      </c>
      <c r="H445" s="284"/>
      <c r="I445" s="284"/>
      <c r="J445" s="284"/>
      <c r="K445" s="284"/>
      <c r="L445" s="284"/>
      <c r="M445" s="284"/>
      <c r="N445" s="284"/>
      <c r="O445" s="284"/>
      <c r="P445" s="225"/>
      <c r="Q445" s="225"/>
      <c r="R445" s="225">
        <v>74.293000000000006</v>
      </c>
      <c r="S445" s="225">
        <v>77.436999999999998</v>
      </c>
      <c r="T445" s="225">
        <v>69.637</v>
      </c>
      <c r="U445" s="225">
        <v>79.141000000000005</v>
      </c>
      <c r="V445" s="225">
        <v>90.917000000000002</v>
      </c>
      <c r="W445" s="225">
        <v>102.78</v>
      </c>
      <c r="X445" s="225">
        <v>90.534999999999997</v>
      </c>
      <c r="Y445" s="225">
        <v>106.753</v>
      </c>
      <c r="Z445" s="225">
        <v>119.19499999999999</v>
      </c>
      <c r="AA445" s="225">
        <v>124.666</v>
      </c>
      <c r="AB445" s="225">
        <v>140.86699999999999</v>
      </c>
    </row>
    <row r="446" spans="1:41" hidden="1" outlineLevel="1">
      <c r="E446" t="s">
        <v>127</v>
      </c>
      <c r="H446" s="284"/>
      <c r="I446" s="284"/>
      <c r="J446" s="284"/>
      <c r="K446" s="284"/>
      <c r="L446" s="284"/>
      <c r="M446" s="284"/>
      <c r="N446" s="284"/>
      <c r="O446" s="284"/>
      <c r="P446" s="225"/>
      <c r="Q446" s="225"/>
      <c r="R446" s="225">
        <f>4.21+3.813+1.489</f>
        <v>9.5120000000000005</v>
      </c>
      <c r="S446" s="225">
        <f>4.436+4.713+1.927</f>
        <v>11.076000000000001</v>
      </c>
      <c r="T446" s="225">
        <f>5.25+3.934+0.434</f>
        <v>9.6180000000000003</v>
      </c>
      <c r="U446" s="225">
        <f>6.382+5.117+2.256</f>
        <v>13.754999999999999</v>
      </c>
      <c r="V446" s="225">
        <f>7.749+5.332+0.212</f>
        <v>13.292999999999999</v>
      </c>
      <c r="W446" s="225">
        <f>1.575+4.254+7.909</f>
        <v>13.738</v>
      </c>
      <c r="X446" s="225">
        <f>2.12+5.453</f>
        <v>7.5730000000000004</v>
      </c>
      <c r="Y446" s="225">
        <f>3.933+5.737</f>
        <v>9.67</v>
      </c>
      <c r="Z446" s="225">
        <f>0.922+9.661</f>
        <v>10.583</v>
      </c>
      <c r="AA446" s="225">
        <f>1.388+10.671</f>
        <v>12.058999999999999</v>
      </c>
      <c r="AB446" s="225">
        <v>11.436999999999999</v>
      </c>
    </row>
    <row r="447" spans="1:41" hidden="1" outlineLevel="1"/>
    <row r="448" spans="1:41" hidden="1" outlineLevel="1">
      <c r="E448" t="s">
        <v>141</v>
      </c>
      <c r="H448" s="284"/>
      <c r="I448" s="284"/>
      <c r="J448" s="284"/>
      <c r="K448" s="284"/>
      <c r="L448" s="284"/>
      <c r="M448" s="284"/>
      <c r="N448" s="284"/>
      <c r="O448" s="284"/>
      <c r="P448" s="225"/>
      <c r="Q448" s="225"/>
      <c r="R448" s="225">
        <v>13.5</v>
      </c>
      <c r="S448" s="225">
        <v>22.57</v>
      </c>
      <c r="T448" s="225">
        <v>26.103999999999999</v>
      </c>
      <c r="U448" s="225">
        <v>27.6</v>
      </c>
      <c r="V448" s="225">
        <v>27.861000000000001</v>
      </c>
      <c r="W448" s="225">
        <v>32.226999999999997</v>
      </c>
      <c r="X448" s="225">
        <v>39.402000000000001</v>
      </c>
      <c r="Y448" s="225">
        <v>41.491</v>
      </c>
      <c r="Z448" s="225">
        <v>51.798999999999999</v>
      </c>
      <c r="AA448" s="225">
        <f>64.226+13.842</f>
        <v>78.067999999999998</v>
      </c>
      <c r="AB448" s="225">
        <f>61.537+12.821</f>
        <v>74.358000000000004</v>
      </c>
    </row>
    <row r="449" spans="1:41" hidden="1" outlineLevel="1">
      <c r="E449" t="s">
        <v>143</v>
      </c>
      <c r="H449" s="284"/>
      <c r="I449" s="284"/>
      <c r="J449" s="284"/>
      <c r="K449" s="284"/>
      <c r="L449" s="284"/>
      <c r="M449" s="284"/>
      <c r="N449" s="284"/>
      <c r="O449" s="284"/>
      <c r="P449" s="225"/>
      <c r="Q449" s="225"/>
      <c r="R449" s="225">
        <v>1.786</v>
      </c>
      <c r="S449" s="225">
        <v>5.2050000000000001</v>
      </c>
      <c r="T449" s="225">
        <v>3.7570000000000001</v>
      </c>
      <c r="U449" s="225">
        <v>2.8540000000000001</v>
      </c>
      <c r="V449" s="225">
        <v>1.9530000000000001</v>
      </c>
      <c r="W449" s="225">
        <v>1.6679999999999999</v>
      </c>
      <c r="X449" s="225">
        <v>12.586</v>
      </c>
      <c r="Y449" s="225">
        <v>11.025</v>
      </c>
      <c r="Z449" s="225">
        <v>9.5640000000000001</v>
      </c>
      <c r="AA449" s="225">
        <v>8.3070000000000004</v>
      </c>
      <c r="AB449" s="225">
        <v>7.0880000000000001</v>
      </c>
    </row>
    <row r="450" spans="1:41" hidden="1" outlineLevel="1"/>
    <row r="451" spans="1:41" hidden="1" outlineLevel="1">
      <c r="E451" t="s">
        <v>425</v>
      </c>
      <c r="H451" s="284"/>
      <c r="I451" s="284"/>
      <c r="J451" s="284"/>
      <c r="K451" s="284"/>
      <c r="L451" s="284"/>
      <c r="M451" s="284"/>
      <c r="N451" s="284"/>
      <c r="O451" s="284"/>
      <c r="P451" s="225"/>
      <c r="Q451" s="225"/>
      <c r="R451" s="225">
        <v>114.63200000000001</v>
      </c>
      <c r="S451" s="225">
        <v>130.9</v>
      </c>
      <c r="T451" s="225">
        <v>126.11</v>
      </c>
      <c r="U451" s="225">
        <v>124.821</v>
      </c>
      <c r="V451" s="225">
        <v>124.893</v>
      </c>
      <c r="W451" s="225">
        <v>166.51599999999999</v>
      </c>
      <c r="X451" s="225">
        <v>177.86199999999999</v>
      </c>
      <c r="Y451" s="225">
        <v>194.25700000000001</v>
      </c>
      <c r="Z451" s="225">
        <v>201.64</v>
      </c>
      <c r="AA451" s="225">
        <v>235.64099999999999</v>
      </c>
      <c r="AB451" s="225">
        <v>266.846</v>
      </c>
    </row>
    <row r="452" spans="1:41" hidden="1" outlineLevel="1">
      <c r="E452" t="s">
        <v>426</v>
      </c>
      <c r="H452" s="284"/>
      <c r="I452" s="284"/>
      <c r="J452" s="284"/>
      <c r="K452" s="284"/>
      <c r="L452" s="284"/>
      <c r="M452" s="284"/>
      <c r="N452" s="284"/>
      <c r="O452" s="284"/>
      <c r="P452" s="225"/>
      <c r="Q452" s="225"/>
      <c r="R452" s="225">
        <f>23.963+12.652</f>
        <v>36.615000000000002</v>
      </c>
      <c r="S452" s="225">
        <f>30.902+12.964</f>
        <v>43.866</v>
      </c>
      <c r="T452" s="225">
        <f>22.562+13.824</f>
        <v>36.386000000000003</v>
      </c>
      <c r="U452" s="225">
        <f>22.362+14.935</f>
        <v>37.296999999999997</v>
      </c>
      <c r="V452" s="225">
        <f>22.011+17.793</f>
        <v>39.804000000000002</v>
      </c>
      <c r="W452" s="225">
        <f>36.207+19.28</f>
        <v>55.487000000000002</v>
      </c>
      <c r="X452" s="225">
        <f>31.047+21.345</f>
        <v>52.391999999999996</v>
      </c>
      <c r="Y452" s="225">
        <f>22.662+31.096</f>
        <v>53.757999999999996</v>
      </c>
      <c r="Z452" s="225">
        <f>24.319+33.84</f>
        <v>58.159000000000006</v>
      </c>
      <c r="AA452" s="225">
        <f>28.05+45.232</f>
        <v>73.281999999999996</v>
      </c>
      <c r="AB452" s="225">
        <f>17.828+57.586</f>
        <v>75.414000000000001</v>
      </c>
    </row>
    <row r="453" spans="1:41" collapsed="1"/>
    <row r="454" spans="1:41">
      <c r="D454" s="104"/>
      <c r="E454" s="105" t="s">
        <v>444</v>
      </c>
      <c r="F454" s="104"/>
      <c r="G454" s="105" t="s">
        <v>453</v>
      </c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104"/>
      <c r="AK454" s="104"/>
      <c r="AL454" s="104"/>
      <c r="AM454" s="104"/>
      <c r="AN454" s="104"/>
    </row>
    <row r="455" spans="1:41" ht="5.0999999999999996" hidden="1" customHeight="1" outlineLevel="1"/>
    <row r="456" spans="1:41" ht="15" hidden="1" customHeight="1" outlineLevel="1">
      <c r="E456" s="70" t="s">
        <v>446</v>
      </c>
      <c r="H456" s="289"/>
      <c r="I456" s="289"/>
      <c r="J456" s="289"/>
      <c r="K456" s="289"/>
      <c r="L456" s="289"/>
      <c r="M456" s="289"/>
      <c r="N456" s="289"/>
      <c r="O456" s="289"/>
      <c r="P456" s="289"/>
      <c r="Q456" s="289"/>
      <c r="R456" s="289">
        <v>1151.1189999999999</v>
      </c>
      <c r="S456" s="289">
        <v>1315.6690000000001</v>
      </c>
      <c r="T456" s="289">
        <v>1394.4549999999999</v>
      </c>
      <c r="U456" s="289">
        <v>1535.316</v>
      </c>
      <c r="V456" s="289">
        <v>1727.0730000000001</v>
      </c>
      <c r="W456" s="289">
        <v>1889.4939999999999</v>
      </c>
      <c r="X456" s="289">
        <v>2174.893</v>
      </c>
      <c r="Y456" s="289">
        <v>2516.8719999999998</v>
      </c>
      <c r="Z456" s="289">
        <v>2906.29</v>
      </c>
      <c r="AA456" s="289">
        <v>3485.0369999999998</v>
      </c>
      <c r="AB456" s="289">
        <v>3863.5740000000001</v>
      </c>
    </row>
    <row r="457" spans="1:41" ht="15" hidden="1" customHeight="1" outlineLevel="1">
      <c r="E457" s="70" t="s">
        <v>447</v>
      </c>
      <c r="H457" s="289"/>
      <c r="I457" s="289"/>
      <c r="J457" s="289"/>
      <c r="K457" s="289"/>
      <c r="L457" s="289"/>
      <c r="M457" s="289"/>
      <c r="N457" s="289"/>
      <c r="O457" s="289"/>
      <c r="P457" s="289"/>
      <c r="Q457" s="289"/>
      <c r="R457" s="289">
        <v>571.79999999999995</v>
      </c>
      <c r="S457" s="289">
        <v>679.21199999999999</v>
      </c>
      <c r="T457" s="289">
        <v>702.38</v>
      </c>
      <c r="U457" s="289">
        <v>738.16899999999998</v>
      </c>
      <c r="V457" s="289">
        <v>853.375</v>
      </c>
      <c r="W457" s="289">
        <v>941.80899999999997</v>
      </c>
      <c r="X457" s="289">
        <v>918.68600000000004</v>
      </c>
      <c r="Y457" s="289">
        <v>1053.252</v>
      </c>
      <c r="Z457" s="289">
        <v>1417.028</v>
      </c>
      <c r="AA457" s="289">
        <v>1889.4159999999999</v>
      </c>
      <c r="AB457" s="289">
        <v>1955.6690000000001</v>
      </c>
    </row>
    <row r="458" spans="1:41" s="3" customFormat="1" hidden="1" outlineLevel="1">
      <c r="A458" s="110"/>
      <c r="B458" s="110"/>
      <c r="C458" s="143"/>
      <c r="D458" s="150"/>
      <c r="E458" s="150" t="s">
        <v>445</v>
      </c>
      <c r="F458" s="2"/>
      <c r="G458" s="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>
        <f t="shared" ref="R458:AA458" si="346">SUM(R456:R457)</f>
        <v>1722.9189999999999</v>
      </c>
      <c r="S458" s="102">
        <f t="shared" si="346"/>
        <v>1994.8810000000001</v>
      </c>
      <c r="T458" s="102">
        <f t="shared" si="346"/>
        <v>2096.835</v>
      </c>
      <c r="U458" s="102">
        <f t="shared" si="346"/>
        <v>2273.4850000000001</v>
      </c>
      <c r="V458" s="102">
        <f t="shared" si="346"/>
        <v>2580.4480000000003</v>
      </c>
      <c r="W458" s="102">
        <f t="shared" si="346"/>
        <v>2831.3029999999999</v>
      </c>
      <c r="X458" s="102">
        <f t="shared" si="346"/>
        <v>3093.5790000000002</v>
      </c>
      <c r="Y458" s="102">
        <f t="shared" si="346"/>
        <v>3570.1239999999998</v>
      </c>
      <c r="Z458" s="102">
        <f t="shared" si="346"/>
        <v>4323.3180000000002</v>
      </c>
      <c r="AA458" s="102">
        <f t="shared" si="346"/>
        <v>5374.4529999999995</v>
      </c>
      <c r="AB458" s="102">
        <f>SUM(AB456:AB457)</f>
        <v>5819.2430000000004</v>
      </c>
      <c r="AC458" s="102"/>
      <c r="AD458" s="102"/>
      <c r="AE458" s="102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/>
    </row>
    <row r="459" spans="1:41" hidden="1" outlineLevel="1">
      <c r="E459" s="295" t="s">
        <v>255</v>
      </c>
      <c r="F459" s="296"/>
      <c r="G459" s="296"/>
      <c r="H459" s="289"/>
      <c r="I459" s="289"/>
      <c r="J459" s="289"/>
      <c r="K459" s="289"/>
      <c r="L459" s="289"/>
      <c r="M459" s="289"/>
      <c r="N459" s="289"/>
      <c r="O459" s="289"/>
      <c r="P459" s="289"/>
      <c r="Q459" s="289"/>
      <c r="R459" s="289">
        <v>1486.44</v>
      </c>
      <c r="S459" s="289">
        <v>1697.1849999999999</v>
      </c>
      <c r="T459" s="289">
        <v>1778.0350000000001</v>
      </c>
      <c r="U459" s="289">
        <v>1933.0709999999999</v>
      </c>
      <c r="V459" s="289">
        <v>2197.212</v>
      </c>
      <c r="W459" s="289">
        <v>2401.9169999999999</v>
      </c>
      <c r="X459" s="289">
        <v>2619.0819999999999</v>
      </c>
      <c r="Y459" s="289">
        <v>3026.3290000000002</v>
      </c>
      <c r="Z459" s="289">
        <v>3680.384</v>
      </c>
      <c r="AA459" s="289">
        <v>4606.6360000000004</v>
      </c>
      <c r="AB459" s="289">
        <v>4962.6620000000003</v>
      </c>
      <c r="AC459" s="296"/>
      <c r="AD459" s="296"/>
      <c r="AE459" s="296"/>
      <c r="AF459" s="296"/>
      <c r="AG459" s="296"/>
      <c r="AH459" s="296"/>
      <c r="AI459" s="296"/>
      <c r="AJ459" s="296"/>
      <c r="AK459" s="296"/>
      <c r="AL459" s="296"/>
      <c r="AM459" s="296"/>
      <c r="AN459" s="296"/>
    </row>
    <row r="460" spans="1:41" s="3" customFormat="1" hidden="1" outlineLevel="1">
      <c r="A460" s="110"/>
      <c r="B460" s="110"/>
      <c r="C460" s="143"/>
      <c r="D460" s="150"/>
      <c r="E460" s="150" t="s">
        <v>398</v>
      </c>
      <c r="F460" s="2"/>
      <c r="G460" s="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>
        <f t="shared" ref="R460:AB460" si="347">R458-R459</f>
        <v>236.47899999999981</v>
      </c>
      <c r="S460" s="102">
        <f t="shared" si="347"/>
        <v>297.69600000000014</v>
      </c>
      <c r="T460" s="102">
        <f t="shared" si="347"/>
        <v>318.79999999999995</v>
      </c>
      <c r="U460" s="102">
        <f t="shared" si="347"/>
        <v>340.41400000000021</v>
      </c>
      <c r="V460" s="102">
        <f t="shared" si="347"/>
        <v>383.23600000000033</v>
      </c>
      <c r="W460" s="102">
        <f t="shared" si="347"/>
        <v>429.38599999999997</v>
      </c>
      <c r="X460" s="102">
        <f t="shared" si="347"/>
        <v>474.4970000000003</v>
      </c>
      <c r="Y460" s="102">
        <f t="shared" si="347"/>
        <v>543.79499999999962</v>
      </c>
      <c r="Z460" s="102">
        <f t="shared" si="347"/>
        <v>642.9340000000002</v>
      </c>
      <c r="AA460" s="102">
        <f t="shared" si="347"/>
        <v>767.8169999999991</v>
      </c>
      <c r="AB460" s="102">
        <f t="shared" si="347"/>
        <v>856.58100000000013</v>
      </c>
      <c r="AC460" s="102"/>
      <c r="AD460" s="102"/>
      <c r="AE460" s="102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/>
    </row>
    <row r="461" spans="1:41" hidden="1" outlineLevel="1">
      <c r="E461" s="70" t="s">
        <v>448</v>
      </c>
      <c r="H461" s="284"/>
      <c r="I461" s="284"/>
      <c r="J461" s="284"/>
      <c r="K461" s="284"/>
      <c r="L461" s="284"/>
      <c r="M461" s="284"/>
      <c r="N461" s="284"/>
      <c r="O461" s="284"/>
      <c r="P461" s="225"/>
      <c r="Q461" s="225"/>
      <c r="R461" s="225">
        <v>99.015000000000001</v>
      </c>
      <c r="S461" s="225">
        <v>127.145</v>
      </c>
      <c r="T461" s="225">
        <v>145.316</v>
      </c>
      <c r="U461" s="225">
        <v>151.54599999999999</v>
      </c>
      <c r="V461" s="225">
        <v>166.55600000000001</v>
      </c>
      <c r="W461" s="225">
        <v>182.80600000000001</v>
      </c>
      <c r="X461" s="225">
        <v>196.285</v>
      </c>
      <c r="Y461" s="225">
        <v>215.989</v>
      </c>
      <c r="Z461" s="225">
        <v>257.21800000000002</v>
      </c>
      <c r="AA461" s="225">
        <v>306.63200000000001</v>
      </c>
      <c r="AB461" s="225">
        <v>319.24200000000002</v>
      </c>
    </row>
    <row r="462" spans="1:41" hidden="1" outlineLevel="1">
      <c r="E462" s="70" t="s">
        <v>220</v>
      </c>
      <c r="H462" s="284"/>
      <c r="I462" s="284"/>
      <c r="J462" s="284"/>
      <c r="K462" s="284"/>
      <c r="L462" s="284"/>
      <c r="M462" s="284"/>
      <c r="N462" s="284"/>
      <c r="O462" s="284"/>
      <c r="P462" s="225"/>
      <c r="Q462" s="225"/>
      <c r="R462" s="225">
        <v>86.001000000000005</v>
      </c>
      <c r="S462" s="225">
        <v>93.671000000000006</v>
      </c>
      <c r="T462" s="225">
        <v>104.238</v>
      </c>
      <c r="U462" s="225">
        <v>110.483</v>
      </c>
      <c r="V462" s="225">
        <v>124.001</v>
      </c>
      <c r="W462" s="225">
        <v>138.41499999999999</v>
      </c>
      <c r="X462" s="225">
        <v>153.03700000000001</v>
      </c>
      <c r="Y462" s="225">
        <v>173.39599999999999</v>
      </c>
      <c r="Z462" s="225">
        <v>205.68799999999999</v>
      </c>
      <c r="AA462" s="225">
        <v>249.607</v>
      </c>
      <c r="AB462" s="225">
        <v>286.53199999999998</v>
      </c>
    </row>
    <row r="463" spans="1:41" s="3" customFormat="1" hidden="1" outlineLevel="1">
      <c r="A463" s="110"/>
      <c r="B463" s="110"/>
      <c r="C463" s="143"/>
      <c r="D463" s="150"/>
      <c r="E463" s="150" t="s">
        <v>399</v>
      </c>
      <c r="F463" s="2"/>
      <c r="G463" s="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>
        <f t="shared" ref="R463:Z463" si="348">R460-SUM(R461:R462)</f>
        <v>51.462999999999795</v>
      </c>
      <c r="S463" s="102">
        <f t="shared" si="348"/>
        <v>76.880000000000138</v>
      </c>
      <c r="T463" s="102">
        <f t="shared" si="348"/>
        <v>69.245999999999952</v>
      </c>
      <c r="U463" s="102">
        <f t="shared" si="348"/>
        <v>78.385000000000218</v>
      </c>
      <c r="V463" s="102">
        <f t="shared" si="348"/>
        <v>92.679000000000315</v>
      </c>
      <c r="W463" s="102">
        <f t="shared" si="348"/>
        <v>108.16499999999996</v>
      </c>
      <c r="X463" s="102">
        <f t="shared" si="348"/>
        <v>125.1750000000003</v>
      </c>
      <c r="Y463" s="102">
        <f t="shared" si="348"/>
        <v>154.40999999999963</v>
      </c>
      <c r="Z463" s="102">
        <f t="shared" si="348"/>
        <v>180.02800000000019</v>
      </c>
      <c r="AA463" s="102">
        <f>AA460-SUM(AA461:AA462)</f>
        <v>211.57799999999907</v>
      </c>
      <c r="AB463" s="102">
        <f>AB460-SUM(AB461:AB462)</f>
        <v>250.80700000000013</v>
      </c>
      <c r="AC463" s="102"/>
      <c r="AD463" s="102"/>
      <c r="AE463" s="102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/>
    </row>
    <row r="464" spans="1:41" hidden="1" outlineLevel="1">
      <c r="E464" s="70" t="s">
        <v>424</v>
      </c>
      <c r="H464" s="284"/>
      <c r="I464" s="284"/>
      <c r="J464" s="284"/>
      <c r="K464" s="284"/>
      <c r="L464" s="284"/>
      <c r="M464" s="284"/>
      <c r="N464" s="284"/>
      <c r="O464" s="284"/>
      <c r="P464" s="225"/>
      <c r="Q464" s="225"/>
      <c r="R464" s="225">
        <v>9.2650000000000006</v>
      </c>
      <c r="S464" s="225">
        <v>9.5229999999999997</v>
      </c>
      <c r="T464" s="225">
        <v>11.273999999999999</v>
      </c>
      <c r="U464" s="225">
        <v>12.663</v>
      </c>
      <c r="V464" s="225">
        <v>15.819000000000001</v>
      </c>
      <c r="W464" s="225">
        <v>21.318999999999999</v>
      </c>
      <c r="X464" s="225">
        <v>18.908000000000001</v>
      </c>
      <c r="Y464" s="225">
        <v>9.8420000000000005</v>
      </c>
      <c r="Z464" s="225">
        <v>15.053000000000001</v>
      </c>
      <c r="AA464" s="225">
        <v>29.792000000000002</v>
      </c>
      <c r="AB464" s="225">
        <v>26.148</v>
      </c>
    </row>
    <row r="465" spans="1:41" s="3" customFormat="1" hidden="1" outlineLevel="1">
      <c r="A465" s="110"/>
      <c r="B465" s="110"/>
      <c r="C465" s="143"/>
      <c r="D465" s="150"/>
      <c r="E465" s="150" t="s">
        <v>400</v>
      </c>
      <c r="F465" s="2"/>
      <c r="G465" s="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>
        <f t="shared" ref="R465:AA465" si="349">R463+R464</f>
        <v>60.727999999999795</v>
      </c>
      <c r="S465" s="102">
        <f t="shared" si="349"/>
        <v>86.403000000000134</v>
      </c>
      <c r="T465" s="102">
        <f t="shared" si="349"/>
        <v>80.519999999999953</v>
      </c>
      <c r="U465" s="102">
        <f t="shared" si="349"/>
        <v>91.048000000000215</v>
      </c>
      <c r="V465" s="102">
        <f t="shared" si="349"/>
        <v>108.49800000000032</v>
      </c>
      <c r="W465" s="102">
        <f t="shared" si="349"/>
        <v>129.48399999999995</v>
      </c>
      <c r="X465" s="102">
        <f t="shared" si="349"/>
        <v>144.08300000000031</v>
      </c>
      <c r="Y465" s="102">
        <f t="shared" si="349"/>
        <v>164.25199999999964</v>
      </c>
      <c r="Z465" s="102">
        <f t="shared" si="349"/>
        <v>195.08100000000019</v>
      </c>
      <c r="AA465" s="102">
        <f t="shared" si="349"/>
        <v>241.36999999999907</v>
      </c>
      <c r="AB465" s="102">
        <f>AB463+AB464</f>
        <v>276.95500000000015</v>
      </c>
      <c r="AC465" s="102"/>
      <c r="AD465" s="102"/>
      <c r="AE465" s="102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/>
    </row>
    <row r="466" spans="1:41" hidden="1" outlineLevel="1"/>
    <row r="467" spans="1:41" hidden="1" outlineLevel="1">
      <c r="E467" t="s">
        <v>251</v>
      </c>
      <c r="H467" s="284"/>
      <c r="I467" s="284"/>
      <c r="J467" s="284"/>
      <c r="K467" s="284"/>
      <c r="L467" s="284"/>
      <c r="M467" s="284"/>
      <c r="N467" s="284"/>
      <c r="O467" s="284"/>
      <c r="P467" s="225"/>
      <c r="Q467" s="225"/>
      <c r="R467" s="225">
        <v>15.398999999999999</v>
      </c>
      <c r="S467" s="225">
        <v>18.361000000000001</v>
      </c>
      <c r="T467" s="225">
        <v>21.748000000000001</v>
      </c>
      <c r="U467" s="225">
        <v>22.492999999999999</v>
      </c>
      <c r="V467" s="225">
        <v>23.753</v>
      </c>
      <c r="W467" s="225">
        <v>26.436</v>
      </c>
      <c r="X467" s="225">
        <v>27.715</v>
      </c>
      <c r="Y467" s="225">
        <v>31.93</v>
      </c>
      <c r="Z467" s="225">
        <v>41.976999999999997</v>
      </c>
      <c r="AA467" s="225">
        <v>84.61</v>
      </c>
      <c r="AB467" s="225">
        <v>98.138000000000005</v>
      </c>
    </row>
    <row r="468" spans="1:41" hidden="1" outlineLevel="1">
      <c r="E468" t="s">
        <v>130</v>
      </c>
      <c r="H468" s="284"/>
      <c r="I468" s="284"/>
      <c r="J468" s="284"/>
      <c r="K468" s="284"/>
      <c r="L468" s="284"/>
      <c r="M468" s="284"/>
      <c r="N468" s="284"/>
      <c r="O468" s="284"/>
      <c r="P468" s="225"/>
      <c r="Q468" s="225"/>
      <c r="R468" s="225">
        <v>12.223000000000001</v>
      </c>
      <c r="S468" s="225">
        <v>28.904</v>
      </c>
      <c r="T468" s="225">
        <v>31.870999999999999</v>
      </c>
      <c r="U468" s="225">
        <v>23.535</v>
      </c>
      <c r="V468" s="225">
        <v>23.614000000000001</v>
      </c>
      <c r="W468" s="225">
        <v>21.361000000000001</v>
      </c>
      <c r="X468" s="225">
        <v>39.896999999999998</v>
      </c>
      <c r="Y468" s="225">
        <v>67.173000000000002</v>
      </c>
      <c r="Z468" s="225">
        <v>56.429000000000002</v>
      </c>
      <c r="AA468" s="225">
        <v>48.619</v>
      </c>
      <c r="AB468" s="225">
        <v>65.972999999999999</v>
      </c>
    </row>
    <row r="469" spans="1:41" hidden="1" outlineLevel="1">
      <c r="E469" t="s">
        <v>131</v>
      </c>
      <c r="H469" s="284"/>
      <c r="I469" s="284"/>
      <c r="J469" s="284"/>
      <c r="K469" s="284"/>
      <c r="L469" s="284"/>
      <c r="M469" s="284"/>
      <c r="N469" s="284"/>
      <c r="O469" s="284"/>
      <c r="P469" s="225"/>
      <c r="Q469" s="225"/>
      <c r="R469" s="225">
        <v>5.8979999999999997</v>
      </c>
      <c r="S469" s="225">
        <v>14.916</v>
      </c>
      <c r="T469" s="225">
        <v>5.641</v>
      </c>
      <c r="U469" s="225">
        <v>7.1459999999999999</v>
      </c>
      <c r="V469" s="225">
        <v>3.5009999999999999</v>
      </c>
      <c r="W469" s="225">
        <f>20.735-2.295</f>
        <v>18.439999999999998</v>
      </c>
      <c r="X469" s="225">
        <f>23.519-3.004</f>
        <v>20.514999999999997</v>
      </c>
      <c r="Y469" s="225">
        <f>11.711-0.494</f>
        <v>11.217000000000001</v>
      </c>
      <c r="Z469" s="225">
        <f>232.572-1.291</f>
        <v>231.28100000000001</v>
      </c>
      <c r="AA469" s="225">
        <f>32.193-4.356</f>
        <v>27.836999999999996</v>
      </c>
      <c r="AB469" s="225">
        <f>59.656-12.311</f>
        <v>47.344999999999999</v>
      </c>
    </row>
    <row r="470" spans="1:41" hidden="1" outlineLevel="1"/>
    <row r="471" spans="1:41" hidden="1" outlineLevel="1">
      <c r="E471" t="s">
        <v>401</v>
      </c>
      <c r="H471" s="284"/>
      <c r="I471" s="284"/>
      <c r="J471" s="284"/>
      <c r="K471" s="284"/>
      <c r="L471" s="284"/>
      <c r="M471" s="284"/>
      <c r="N471" s="284"/>
      <c r="O471" s="284"/>
      <c r="P471" s="225"/>
      <c r="Q471" s="225"/>
      <c r="R471" s="225">
        <v>249.04599999999999</v>
      </c>
      <c r="S471" s="225">
        <v>286.77300000000002</v>
      </c>
      <c r="T471" s="225">
        <f>307.348+2.243</f>
        <v>309.59100000000001</v>
      </c>
      <c r="U471" s="225">
        <f>345.195+1.547</f>
        <v>346.74200000000002</v>
      </c>
      <c r="V471" s="225">
        <f>387.828+19.774</f>
        <v>407.60199999999998</v>
      </c>
      <c r="W471" s="225">
        <f>406.167+22.02</f>
        <v>428.18699999999995</v>
      </c>
      <c r="X471" s="225">
        <f>502.27+12.436</f>
        <v>514.70600000000002</v>
      </c>
      <c r="Y471" s="225">
        <f>581.919+30.235</f>
        <v>612.154</v>
      </c>
      <c r="Z471" s="225">
        <f>754.069+27.863</f>
        <v>781.93200000000002</v>
      </c>
      <c r="AA471" s="225">
        <f>862.323+38.148</f>
        <v>900.471</v>
      </c>
      <c r="AB471" s="225">
        <f>877.173+55.903</f>
        <v>933.07600000000002</v>
      </c>
    </row>
    <row r="472" spans="1:41" hidden="1" outlineLevel="1">
      <c r="E472" t="s">
        <v>402</v>
      </c>
      <c r="H472" s="284"/>
      <c r="I472" s="284"/>
      <c r="J472" s="284"/>
      <c r="K472" s="284"/>
      <c r="L472" s="284"/>
      <c r="M472" s="284"/>
      <c r="N472" s="284"/>
      <c r="O472" s="284"/>
      <c r="P472" s="225"/>
      <c r="Q472" s="225"/>
      <c r="R472" s="225">
        <v>75.046000000000006</v>
      </c>
      <c r="S472" s="225">
        <v>91.19</v>
      </c>
      <c r="T472" s="225">
        <v>90.064999999999998</v>
      </c>
      <c r="U472" s="225">
        <v>107.63800000000001</v>
      </c>
      <c r="V472" s="225">
        <v>131.16499999999999</v>
      </c>
      <c r="W472" s="225">
        <v>150.41499999999999</v>
      </c>
      <c r="X472" s="225">
        <v>180.65199999999999</v>
      </c>
      <c r="Y472" s="225">
        <v>211.31899999999999</v>
      </c>
      <c r="Z472" s="225">
        <v>280.33100000000002</v>
      </c>
      <c r="AA472" s="225">
        <v>285.57400000000001</v>
      </c>
      <c r="AB472" s="225">
        <v>301.66300000000001</v>
      </c>
    </row>
    <row r="473" spans="1:41" hidden="1" outlineLevel="1">
      <c r="E473" t="s">
        <v>127</v>
      </c>
      <c r="H473" s="284"/>
      <c r="I473" s="284"/>
      <c r="J473" s="284"/>
      <c r="K473" s="284"/>
      <c r="L473" s="284"/>
      <c r="M473" s="284"/>
      <c r="N473" s="284"/>
      <c r="O473" s="284"/>
      <c r="P473" s="225"/>
      <c r="Q473" s="225"/>
      <c r="R473" s="225">
        <f>21.88+13.619</f>
        <v>35.498999999999995</v>
      </c>
      <c r="S473" s="225">
        <f>31.955+16.219</f>
        <v>48.173999999999999</v>
      </c>
      <c r="T473" s="225">
        <f>35.423+35.888</f>
        <v>71.311000000000007</v>
      </c>
      <c r="U473" s="225">
        <f>33.181+18.255</f>
        <v>51.435999999999993</v>
      </c>
      <c r="V473" s="225">
        <f>1.196+45.469+22.272</f>
        <v>68.936999999999998</v>
      </c>
      <c r="W473" s="225">
        <f>58.738+24.894</f>
        <v>83.632000000000005</v>
      </c>
      <c r="X473" s="225">
        <f>61.562+15.361</f>
        <v>76.923000000000002</v>
      </c>
      <c r="Y473" s="225">
        <f>58.783+12.444</f>
        <v>71.227000000000004</v>
      </c>
      <c r="Z473" s="225">
        <f>81.227+5.543</f>
        <v>86.77000000000001</v>
      </c>
      <c r="AA473" s="225">
        <f>2.022+126.18</f>
        <v>128.202</v>
      </c>
      <c r="AB473" s="225">
        <f>2.289+143.928+40.002</f>
        <v>186.21899999999999</v>
      </c>
    </row>
    <row r="474" spans="1:41" hidden="1" outlineLevel="1"/>
    <row r="475" spans="1:41" hidden="1" outlineLevel="1">
      <c r="E475" t="s">
        <v>141</v>
      </c>
      <c r="H475" s="284"/>
      <c r="I475" s="284"/>
      <c r="J475" s="284"/>
      <c r="K475" s="284"/>
      <c r="L475" s="284"/>
      <c r="M475" s="284"/>
      <c r="N475" s="284"/>
      <c r="O475" s="284"/>
      <c r="P475" s="225"/>
      <c r="Q475" s="225"/>
      <c r="R475" s="225">
        <v>29.161999999999999</v>
      </c>
      <c r="S475" s="225">
        <v>79.644999999999996</v>
      </c>
      <c r="T475" s="225">
        <v>94.537000000000006</v>
      </c>
      <c r="U475" s="225">
        <v>99.747</v>
      </c>
      <c r="V475" s="225">
        <v>104.224</v>
      </c>
      <c r="W475" s="225">
        <v>101.872</v>
      </c>
      <c r="X475" s="225">
        <v>111.666</v>
      </c>
      <c r="Y475" s="225">
        <v>134.86500000000001</v>
      </c>
      <c r="Z475" s="225">
        <v>152.85300000000001</v>
      </c>
      <c r="AA475" s="225">
        <v>280.685</v>
      </c>
      <c r="AB475" s="225">
        <v>327.21499999999997</v>
      </c>
    </row>
    <row r="476" spans="1:41" hidden="1" outlineLevel="1">
      <c r="E476" t="s">
        <v>143</v>
      </c>
      <c r="H476" s="284"/>
      <c r="I476" s="284"/>
      <c r="J476" s="284"/>
      <c r="K476" s="284"/>
      <c r="L476" s="284"/>
      <c r="M476" s="284"/>
      <c r="N476" s="284"/>
      <c r="O476" s="284"/>
      <c r="P476" s="225"/>
      <c r="Q476" s="225"/>
      <c r="R476" s="225">
        <v>17.698</v>
      </c>
      <c r="S476" s="225">
        <v>22.347999999999999</v>
      </c>
      <c r="T476" s="225">
        <v>20.991</v>
      </c>
      <c r="U476" s="225">
        <v>19.292999999999999</v>
      </c>
      <c r="V476" s="225">
        <v>19.98</v>
      </c>
      <c r="W476" s="225">
        <v>29.161000000000001</v>
      </c>
      <c r="X476" s="225">
        <v>35.338000000000001</v>
      </c>
      <c r="Y476" s="225">
        <v>48.720999999999997</v>
      </c>
      <c r="Z476" s="225">
        <v>121.12</v>
      </c>
      <c r="AA476" s="225">
        <v>119.303</v>
      </c>
      <c r="AB476" s="225">
        <v>113.241</v>
      </c>
    </row>
    <row r="477" spans="1:41" hidden="1" outlineLevel="1"/>
    <row r="478" spans="1:41" hidden="1" outlineLevel="1">
      <c r="E478" t="s">
        <v>425</v>
      </c>
      <c r="H478" s="284"/>
      <c r="I478" s="284"/>
      <c r="J478" s="284"/>
      <c r="K478" s="284"/>
      <c r="L478" s="284"/>
      <c r="M478" s="284"/>
      <c r="N478" s="284"/>
      <c r="O478" s="284"/>
      <c r="P478" s="225"/>
      <c r="Q478" s="225"/>
      <c r="R478" s="225">
        <v>129.06</v>
      </c>
      <c r="S478" s="225">
        <v>148.79900000000001</v>
      </c>
      <c r="T478" s="225">
        <v>145.964</v>
      </c>
      <c r="U478" s="225">
        <f>170.518+6.519</f>
        <v>177.03700000000001</v>
      </c>
      <c r="V478" s="225">
        <f>178.644+6.418</f>
        <v>185.06200000000001</v>
      </c>
      <c r="W478" s="225">
        <f>204.067+8.176</f>
        <v>212.24299999999999</v>
      </c>
      <c r="X478" s="225">
        <f>242.12+7.676</f>
        <v>249.79599999999999</v>
      </c>
      <c r="Y478" s="225">
        <f>237.16+10.733</f>
        <v>247.893</v>
      </c>
      <c r="Z478" s="225">
        <f>372.338+12.509</f>
        <v>384.84700000000004</v>
      </c>
      <c r="AA478" s="225">
        <f>406.807+0.013</f>
        <v>406.82</v>
      </c>
      <c r="AB478" s="225">
        <f>425.875+6.262</f>
        <v>432.137</v>
      </c>
    </row>
    <row r="479" spans="1:41" hidden="1" outlineLevel="1">
      <c r="E479" t="s">
        <v>426</v>
      </c>
      <c r="H479" s="284"/>
      <c r="I479" s="284"/>
      <c r="J479" s="284"/>
      <c r="K479" s="284"/>
      <c r="L479" s="284"/>
      <c r="M479" s="284"/>
      <c r="N479" s="284"/>
      <c r="O479" s="284"/>
      <c r="P479" s="225"/>
      <c r="Q479" s="225"/>
      <c r="R479" s="225">
        <f>5.338+4.812+64.624+25.335</f>
        <v>100.10900000000001</v>
      </c>
      <c r="S479" s="225">
        <f>5.643+9.002+72.237+41.286</f>
        <v>128.16800000000001</v>
      </c>
      <c r="T479" s="225">
        <f>5.241+12.567+74.963+42.129</f>
        <v>134.89999999999998</v>
      </c>
      <c r="U479" s="225">
        <f>5.774+10.546+79.941+44.698</f>
        <v>140.959</v>
      </c>
      <c r="V479" s="225">
        <f>6.239+12.711+95.695+67.009</f>
        <v>181.654</v>
      </c>
      <c r="W479" s="225">
        <f>6.416+9.627+104.052+78.252</f>
        <v>198.34699999999998</v>
      </c>
      <c r="X479" s="225">
        <f>6.657+9.745+115.314+75.764</f>
        <v>207.48000000000002</v>
      </c>
      <c r="Y479" s="225">
        <f>7.129+58.93+131.118+93.764</f>
        <v>290.94099999999997</v>
      </c>
      <c r="Z479" s="225">
        <f>9.162+12.872+159.957+16.109+96.12</f>
        <v>294.22000000000003</v>
      </c>
      <c r="AA479" s="225">
        <f>12.805+231.776+22.699</f>
        <v>267.28000000000003</v>
      </c>
      <c r="AB479" s="225">
        <f>22.831+253.921+27.102</f>
        <v>303.85399999999998</v>
      </c>
    </row>
    <row r="480" spans="1:41" s="36" customFormat="1" hidden="1" outlineLevel="1">
      <c r="A480" s="301"/>
      <c r="B480" s="301"/>
      <c r="H480" s="299"/>
      <c r="I480" s="299"/>
      <c r="J480" s="299"/>
      <c r="K480" s="299"/>
      <c r="L480" s="299"/>
      <c r="M480" s="299"/>
      <c r="N480" s="299"/>
      <c r="O480" s="299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  <c r="Z480" s="165"/>
      <c r="AA480" s="165"/>
      <c r="AB480" s="165"/>
    </row>
    <row r="481" spans="1:42" hidden="1" outlineLevel="1">
      <c r="E481" s="36" t="s">
        <v>449</v>
      </c>
      <c r="H481" s="284"/>
      <c r="I481" s="284"/>
      <c r="J481" s="284"/>
      <c r="K481" s="284"/>
      <c r="L481" s="284"/>
      <c r="M481" s="284"/>
      <c r="N481" s="284"/>
      <c r="O481" s="284"/>
      <c r="P481" s="225"/>
      <c r="Q481" s="225"/>
      <c r="R481" s="292">
        <v>1.3566</v>
      </c>
      <c r="S481" s="292">
        <v>1.3946000000000001</v>
      </c>
      <c r="T481" s="292">
        <v>1.2982</v>
      </c>
      <c r="U481" s="292">
        <v>1.3319000000000001</v>
      </c>
      <c r="V481" s="292">
        <v>1.3571</v>
      </c>
      <c r="W481" s="292">
        <v>1.1488</v>
      </c>
      <c r="X481" s="292">
        <v>1.1108</v>
      </c>
      <c r="Y481" s="292">
        <v>1.105</v>
      </c>
      <c r="Z481" s="292">
        <v>1.1901999999999999</v>
      </c>
      <c r="AA481" s="292">
        <v>1.1281000000000001</v>
      </c>
      <c r="AB481" s="292">
        <v>1.1201000000000001</v>
      </c>
      <c r="AC481" s="298">
        <v>1.1954</v>
      </c>
    </row>
    <row r="482" spans="1:42" collapsed="1"/>
    <row r="483" spans="1:42">
      <c r="D483" s="104"/>
      <c r="E483" s="105" t="s">
        <v>455</v>
      </c>
      <c r="F483" s="104"/>
      <c r="G483" s="105" t="s">
        <v>456</v>
      </c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  <c r="AA483" s="104"/>
      <c r="AB483" s="104"/>
      <c r="AC483" s="104"/>
      <c r="AD483" s="104"/>
      <c r="AE483" s="104"/>
      <c r="AF483" s="104"/>
      <c r="AG483" s="104"/>
      <c r="AH483" s="104"/>
      <c r="AI483" s="104"/>
      <c r="AJ483" s="104"/>
      <c r="AK483" s="104"/>
      <c r="AL483" s="104"/>
      <c r="AM483" s="104"/>
      <c r="AN483" s="104"/>
    </row>
    <row r="484" spans="1:42" ht="5.0999999999999996" hidden="1" customHeight="1" outlineLevel="1"/>
    <row r="485" spans="1:42" ht="15" hidden="1" customHeight="1" outlineLevel="1">
      <c r="E485" s="70" t="s">
        <v>457</v>
      </c>
      <c r="H485" s="289"/>
      <c r="I485" s="289"/>
      <c r="J485" s="289"/>
      <c r="K485" s="289"/>
      <c r="L485" s="289"/>
      <c r="M485" s="289"/>
      <c r="N485" s="289"/>
      <c r="O485" s="289"/>
      <c r="P485" s="289"/>
      <c r="Q485" s="289"/>
      <c r="R485" s="289">
        <v>2283.145</v>
      </c>
      <c r="S485" s="289">
        <v>2845.777</v>
      </c>
      <c r="T485" s="289">
        <v>3055.8209999999999</v>
      </c>
      <c r="U485" s="289">
        <v>5617.2719999999999</v>
      </c>
      <c r="V485" s="289">
        <v>5460.4870000000001</v>
      </c>
      <c r="W485" s="289">
        <v>5585.63</v>
      </c>
      <c r="X485" s="289">
        <v>5779.6710000000003</v>
      </c>
      <c r="Y485" s="289">
        <v>5769.15</v>
      </c>
      <c r="Z485" s="289">
        <v>5483.5039999999999</v>
      </c>
      <c r="AA485" s="289">
        <v>6112.75</v>
      </c>
      <c r="AB485" s="289">
        <v>6609.4930000000004</v>
      </c>
    </row>
    <row r="486" spans="1:42" ht="15" hidden="1" customHeight="1" outlineLevel="1">
      <c r="E486" s="70" t="s">
        <v>458</v>
      </c>
      <c r="H486" s="289"/>
      <c r="I486" s="289"/>
      <c r="J486" s="289"/>
      <c r="K486" s="289"/>
      <c r="L486" s="289"/>
      <c r="M486" s="289"/>
      <c r="N486" s="289"/>
      <c r="O486" s="289"/>
      <c r="P486" s="289"/>
      <c r="Q486" s="289"/>
      <c r="R486" s="289">
        <v>1448.972</v>
      </c>
      <c r="S486" s="289">
        <v>1378.165</v>
      </c>
      <c r="T486" s="289">
        <v>1716.633</v>
      </c>
      <c r="U486" s="289">
        <v>4467.3519999999999</v>
      </c>
      <c r="V486" s="289">
        <v>5039.2049999999999</v>
      </c>
      <c r="W486" s="289">
        <v>4701.4660000000003</v>
      </c>
      <c r="X486" s="289">
        <v>4903.5929999999998</v>
      </c>
      <c r="Y486" s="289">
        <v>5075.9160000000002</v>
      </c>
      <c r="Z486" s="289">
        <v>6023.3209999999999</v>
      </c>
      <c r="AA486" s="289">
        <v>5998.4859999999999</v>
      </c>
      <c r="AB486" s="289">
        <v>5554.6220000000003</v>
      </c>
    </row>
    <row r="487" spans="1:42" s="3" customFormat="1" hidden="1" outlineLevel="1">
      <c r="A487" s="110"/>
      <c r="B487" s="110"/>
      <c r="C487" s="143"/>
      <c r="D487" s="150"/>
      <c r="E487" s="150" t="s">
        <v>472</v>
      </c>
      <c r="F487" s="2"/>
      <c r="G487" s="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>
        <f t="shared" ref="R487:AB487" si="350">SUM(R485:R486)</f>
        <v>3732.1170000000002</v>
      </c>
      <c r="S487" s="102">
        <f t="shared" si="350"/>
        <v>4223.942</v>
      </c>
      <c r="T487" s="102">
        <f t="shared" si="350"/>
        <v>4772.4539999999997</v>
      </c>
      <c r="U487" s="102">
        <f t="shared" si="350"/>
        <v>10084.624</v>
      </c>
      <c r="V487" s="102">
        <f t="shared" si="350"/>
        <v>10499.691999999999</v>
      </c>
      <c r="W487" s="102">
        <f t="shared" si="350"/>
        <v>10287.096000000001</v>
      </c>
      <c r="X487" s="102">
        <f t="shared" si="350"/>
        <v>10683.263999999999</v>
      </c>
      <c r="Y487" s="102">
        <f t="shared" si="350"/>
        <v>10845.065999999999</v>
      </c>
      <c r="Z487" s="102">
        <f t="shared" si="350"/>
        <v>11506.825000000001</v>
      </c>
      <c r="AA487" s="102">
        <f t="shared" si="350"/>
        <v>12111.236000000001</v>
      </c>
      <c r="AB487" s="102">
        <f t="shared" si="350"/>
        <v>12164.115000000002</v>
      </c>
      <c r="AC487" s="102"/>
      <c r="AD487" s="102"/>
      <c r="AE487" s="102"/>
      <c r="AF487" s="103"/>
      <c r="AG487" s="103"/>
      <c r="AH487" s="103"/>
      <c r="AI487" s="103"/>
      <c r="AJ487" s="103"/>
      <c r="AK487" s="103"/>
      <c r="AL487" s="103"/>
      <c r="AM487" s="103"/>
      <c r="AN487" s="103"/>
      <c r="AO487"/>
    </row>
    <row r="488" spans="1:42" hidden="1" outlineLevel="1">
      <c r="E488" s="247" t="s">
        <v>459</v>
      </c>
      <c r="F488" s="27"/>
      <c r="G488" s="27"/>
      <c r="H488" s="289"/>
      <c r="I488" s="289"/>
      <c r="J488" s="289"/>
      <c r="K488" s="289"/>
      <c r="L488" s="289"/>
      <c r="M488" s="289"/>
      <c r="N488" s="289"/>
      <c r="O488" s="289"/>
      <c r="P488" s="289"/>
      <c r="Q488" s="289"/>
      <c r="R488" s="289">
        <v>3124.7809999999999</v>
      </c>
      <c r="S488" s="289">
        <v>3480.51</v>
      </c>
      <c r="T488" s="289">
        <v>4105.5550000000003</v>
      </c>
      <c r="U488" s="289">
        <v>8691.3320000000003</v>
      </c>
      <c r="V488" s="289">
        <v>8815.1299999999992</v>
      </c>
      <c r="W488" s="289">
        <v>8514.4599999999991</v>
      </c>
      <c r="X488" s="289">
        <v>8901.0740000000005</v>
      </c>
      <c r="Y488" s="289">
        <v>9074.2330000000002</v>
      </c>
      <c r="Z488" s="289">
        <v>9600.4500000000007</v>
      </c>
      <c r="AA488" s="289">
        <v>10067.308999999999</v>
      </c>
      <c r="AB488" s="289">
        <v>9906.3070000000007</v>
      </c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</row>
    <row r="489" spans="1:42" hidden="1" outlineLevel="1">
      <c r="D489" s="201"/>
      <c r="E489" s="247" t="s">
        <v>251</v>
      </c>
      <c r="F489" s="201"/>
      <c r="G489" s="201"/>
      <c r="H489" s="284"/>
      <c r="I489" s="284"/>
      <c r="J489" s="284"/>
      <c r="K489" s="284"/>
      <c r="L489" s="284"/>
      <c r="M489" s="284"/>
      <c r="N489" s="284"/>
      <c r="O489" s="284"/>
      <c r="P489" s="225"/>
      <c r="Q489" s="225"/>
      <c r="R489" s="225">
        <v>195.30799999999999</v>
      </c>
      <c r="S489" s="225">
        <v>210.45</v>
      </c>
      <c r="T489" s="225">
        <v>220.054</v>
      </c>
      <c r="U489" s="225">
        <v>416.88900000000001</v>
      </c>
      <c r="V489" s="225">
        <v>435.77499999999998</v>
      </c>
      <c r="W489" s="225">
        <v>418.01100000000002</v>
      </c>
      <c r="X489" s="225">
        <v>394.05399999999997</v>
      </c>
      <c r="Y489" s="225">
        <v>366.37700000000001</v>
      </c>
      <c r="Z489" s="225">
        <v>383.834</v>
      </c>
      <c r="AA489" s="225">
        <v>388.08699999999999</v>
      </c>
      <c r="AB489" s="225">
        <v>556.06100000000004</v>
      </c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</row>
    <row r="490" spans="1:42" s="3" customFormat="1" hidden="1" outlineLevel="1">
      <c r="A490" s="110"/>
      <c r="B490" s="110"/>
      <c r="C490" s="143"/>
      <c r="D490" s="150"/>
      <c r="E490" s="150" t="s">
        <v>399</v>
      </c>
      <c r="F490" s="2"/>
      <c r="G490" s="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>
        <f t="shared" ref="R490:AB490" si="351">R487-SUM(R488:R489)</f>
        <v>412.02800000000025</v>
      </c>
      <c r="S490" s="102">
        <f t="shared" si="351"/>
        <v>532.98199999999997</v>
      </c>
      <c r="T490" s="102">
        <f t="shared" si="351"/>
        <v>446.84499999999935</v>
      </c>
      <c r="U490" s="102">
        <f t="shared" si="351"/>
        <v>976.40300000000025</v>
      </c>
      <c r="V490" s="102">
        <f t="shared" si="351"/>
        <v>1248.7870000000003</v>
      </c>
      <c r="W490" s="102">
        <f t="shared" si="351"/>
        <v>1354.6250000000018</v>
      </c>
      <c r="X490" s="102">
        <f t="shared" si="351"/>
        <v>1388.1359999999986</v>
      </c>
      <c r="Y490" s="102">
        <f t="shared" si="351"/>
        <v>1404.4559999999983</v>
      </c>
      <c r="Z490" s="102">
        <f t="shared" si="351"/>
        <v>1522.5409999999993</v>
      </c>
      <c r="AA490" s="102">
        <f t="shared" si="351"/>
        <v>1655.840000000002</v>
      </c>
      <c r="AB490" s="102">
        <f t="shared" si="351"/>
        <v>1701.7470000000012</v>
      </c>
      <c r="AC490" s="102"/>
      <c r="AD490" s="102"/>
      <c r="AE490" s="102"/>
      <c r="AF490" s="103"/>
      <c r="AG490" s="103"/>
      <c r="AH490" s="103"/>
      <c r="AI490" s="103"/>
      <c r="AJ490" s="103"/>
      <c r="AK490" s="103"/>
      <c r="AL490" s="103"/>
      <c r="AM490" s="103"/>
      <c r="AN490" s="103"/>
      <c r="AO490"/>
    </row>
    <row r="491" spans="1:42" hidden="1" outlineLevel="1">
      <c r="E491" s="70" t="s">
        <v>460</v>
      </c>
      <c r="H491" s="284"/>
      <c r="I491" s="284"/>
      <c r="J491" s="284"/>
      <c r="K491" s="284"/>
      <c r="L491" s="284"/>
      <c r="M491" s="284"/>
      <c r="N491" s="284"/>
      <c r="O491" s="284"/>
      <c r="P491" s="225"/>
      <c r="Q491" s="225"/>
      <c r="R491" s="225">
        <v>-0.59099999999999997</v>
      </c>
      <c r="S491" s="225">
        <v>-23.077000000000002</v>
      </c>
      <c r="T491" s="225">
        <v>240.57</v>
      </c>
      <c r="U491" s="225">
        <v>335.166</v>
      </c>
      <c r="V491" s="225">
        <v>144.22800000000001</v>
      </c>
      <c r="W491" s="225">
        <v>52.475000000000001</v>
      </c>
      <c r="X491" s="225">
        <v>35.750999999999998</v>
      </c>
      <c r="Y491" s="225">
        <v>101.577</v>
      </c>
      <c r="Z491" s="225">
        <v>144.01300000000001</v>
      </c>
      <c r="AA491" s="225">
        <v>71.897999999999996</v>
      </c>
      <c r="AB491" s="225">
        <v>228.102</v>
      </c>
    </row>
    <row r="492" spans="1:42" s="3" customFormat="1" hidden="1" outlineLevel="1">
      <c r="A492" s="110"/>
      <c r="B492" s="110"/>
      <c r="C492" s="143"/>
      <c r="D492" s="150"/>
      <c r="E492" s="150" t="s">
        <v>400</v>
      </c>
      <c r="F492" s="2"/>
      <c r="G492" s="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>
        <f t="shared" ref="R492:AA492" si="352">R490-R491</f>
        <v>412.61900000000026</v>
      </c>
      <c r="S492" s="102">
        <f t="shared" si="352"/>
        <v>556.05899999999997</v>
      </c>
      <c r="T492" s="102">
        <f t="shared" si="352"/>
        <v>206.27499999999935</v>
      </c>
      <c r="U492" s="102">
        <f t="shared" si="352"/>
        <v>641.23700000000031</v>
      </c>
      <c r="V492" s="102">
        <f t="shared" si="352"/>
        <v>1104.5590000000002</v>
      </c>
      <c r="W492" s="102">
        <f t="shared" si="352"/>
        <v>1302.1500000000019</v>
      </c>
      <c r="X492" s="102">
        <f t="shared" si="352"/>
        <v>1352.3849999999986</v>
      </c>
      <c r="Y492" s="102">
        <f t="shared" si="352"/>
        <v>1302.8789999999983</v>
      </c>
      <c r="Z492" s="102">
        <f t="shared" si="352"/>
        <v>1378.5279999999993</v>
      </c>
      <c r="AA492" s="102">
        <f t="shared" si="352"/>
        <v>1583.9420000000021</v>
      </c>
      <c r="AB492" s="102">
        <f>AB490-AB491</f>
        <v>1473.6450000000011</v>
      </c>
      <c r="AC492" s="102"/>
      <c r="AD492" s="102"/>
      <c r="AE492" s="102"/>
      <c r="AF492" s="103"/>
      <c r="AG492" s="103"/>
      <c r="AH492" s="103"/>
      <c r="AI492" s="103"/>
      <c r="AJ492" s="103"/>
      <c r="AK492" s="103"/>
      <c r="AL492" s="103"/>
      <c r="AM492" s="103"/>
      <c r="AN492" s="103"/>
      <c r="AO492"/>
    </row>
    <row r="493" spans="1:42" hidden="1" outlineLevel="1"/>
    <row r="494" spans="1:42" hidden="1" outlineLevel="1">
      <c r="E494" t="s">
        <v>130</v>
      </c>
      <c r="H494" s="284"/>
      <c r="I494" s="284"/>
      <c r="J494" s="284"/>
      <c r="K494" s="284"/>
      <c r="L494" s="284"/>
      <c r="M494" s="284"/>
      <c r="N494" s="284"/>
      <c r="O494" s="284"/>
      <c r="P494" s="225"/>
      <c r="Q494" s="225"/>
      <c r="R494" s="225">
        <v>117.40600000000001</v>
      </c>
      <c r="S494" s="225">
        <v>119.77</v>
      </c>
      <c r="T494" s="225">
        <v>133.53800000000001</v>
      </c>
      <c r="U494" s="225">
        <v>244.619</v>
      </c>
      <c r="V494" s="225">
        <v>333.09699999999998</v>
      </c>
      <c r="W494" s="225">
        <v>272.66399999999999</v>
      </c>
      <c r="X494" s="225">
        <v>369.63499999999999</v>
      </c>
      <c r="Y494" s="225">
        <v>314.61</v>
      </c>
      <c r="Z494" s="225">
        <v>326.12099999999998</v>
      </c>
      <c r="AA494" s="225">
        <v>328.22800000000001</v>
      </c>
      <c r="AB494" s="225">
        <v>315.435</v>
      </c>
    </row>
    <row r="495" spans="1:42" hidden="1" outlineLevel="1">
      <c r="E495" t="s">
        <v>131</v>
      </c>
      <c r="H495" s="284"/>
      <c r="I495" s="284"/>
      <c r="J495" s="284"/>
      <c r="K495" s="284"/>
      <c r="L495" s="284"/>
      <c r="M495" s="284"/>
      <c r="N495" s="284"/>
      <c r="O495" s="284"/>
      <c r="P495" s="225"/>
      <c r="Q495" s="225"/>
      <c r="R495" s="225">
        <v>894.56799999999998</v>
      </c>
      <c r="S495" s="225">
        <v>-3.4860000000000002</v>
      </c>
      <c r="T495" s="225">
        <v>2730.212</v>
      </c>
      <c r="U495" s="225">
        <v>5.14</v>
      </c>
      <c r="V495" s="225">
        <v>-13.673</v>
      </c>
      <c r="W495" s="225">
        <v>-12.91</v>
      </c>
      <c r="X495" s="225">
        <v>28.187999999999999</v>
      </c>
      <c r="Y495" s="225">
        <v>279.74400000000003</v>
      </c>
      <c r="Z495" s="225">
        <v>244.637</v>
      </c>
      <c r="AA495" s="225">
        <v>620.01400000000001</v>
      </c>
      <c r="AB495" s="225">
        <v>266.93799999999999</v>
      </c>
    </row>
    <row r="496" spans="1:42" hidden="1" outlineLevel="1"/>
    <row r="497" spans="1:40" hidden="1" outlineLevel="1">
      <c r="E497" t="s">
        <v>401</v>
      </c>
      <c r="H497" s="284"/>
      <c r="I497" s="284"/>
      <c r="J497" s="284"/>
      <c r="K497" s="284"/>
      <c r="L497" s="284"/>
      <c r="M497" s="284"/>
      <c r="N497" s="284"/>
      <c r="O497" s="284"/>
      <c r="P497" s="225"/>
      <c r="Q497" s="225"/>
      <c r="R497" s="225">
        <v>349.34899999999999</v>
      </c>
      <c r="S497" s="225">
        <v>387.22899999999998</v>
      </c>
      <c r="T497" s="225">
        <v>1272.325</v>
      </c>
      <c r="U497" s="225">
        <v>1018.99</v>
      </c>
      <c r="V497" s="225">
        <v>1681.4549999999999</v>
      </c>
      <c r="W497" s="225">
        <v>1762.2909999999999</v>
      </c>
      <c r="X497" s="225">
        <v>1752.3810000000001</v>
      </c>
      <c r="Y497" s="225">
        <v>1854.15</v>
      </c>
      <c r="Z497" s="225">
        <v>2069.598</v>
      </c>
      <c r="AA497" s="225">
        <v>2075.759</v>
      </c>
      <c r="AB497" s="225">
        <v>1980.1389999999999</v>
      </c>
    </row>
    <row r="498" spans="1:40" hidden="1" outlineLevel="1">
      <c r="E498" t="s">
        <v>402</v>
      </c>
      <c r="H498" s="284"/>
      <c r="I498" s="284"/>
      <c r="J498" s="284"/>
      <c r="K498" s="284"/>
      <c r="L498" s="284"/>
      <c r="M498" s="284"/>
      <c r="N498" s="284"/>
      <c r="O498" s="284"/>
      <c r="P498" s="225"/>
      <c r="Q498" s="225"/>
      <c r="R498" s="225">
        <v>358.98399999999998</v>
      </c>
      <c r="S498" s="225">
        <v>391.06599999999997</v>
      </c>
      <c r="T498" s="225">
        <v>744.48199999999997</v>
      </c>
      <c r="U498" s="225">
        <v>911.84799999999996</v>
      </c>
      <c r="V498" s="225"/>
      <c r="W498" s="225"/>
      <c r="X498" s="225"/>
      <c r="Y498" s="225"/>
      <c r="Z498" s="225"/>
      <c r="AA498" s="225"/>
      <c r="AB498" s="225"/>
    </row>
    <row r="499" spans="1:40" hidden="1" outlineLevel="1">
      <c r="E499" t="s">
        <v>127</v>
      </c>
      <c r="H499" s="284"/>
      <c r="I499" s="284"/>
      <c r="J499" s="284"/>
      <c r="K499" s="284"/>
      <c r="L499" s="284"/>
      <c r="M499" s="284"/>
      <c r="N499" s="284"/>
      <c r="O499" s="284"/>
      <c r="P499" s="225"/>
      <c r="Q499" s="225"/>
      <c r="R499" s="225">
        <v>410.59800000000001</v>
      </c>
      <c r="S499" s="225">
        <v>445.37</v>
      </c>
      <c r="T499" s="225">
        <v>428.82</v>
      </c>
      <c r="U499" s="225">
        <v>423.52</v>
      </c>
      <c r="V499" s="225">
        <v>335.86599999999999</v>
      </c>
      <c r="W499" s="225">
        <v>348.44</v>
      </c>
      <c r="X499" s="225">
        <v>810.29399999999998</v>
      </c>
      <c r="Y499" s="225">
        <v>826.69299999999998</v>
      </c>
      <c r="Z499" s="225">
        <v>825.95299999999997</v>
      </c>
      <c r="AA499" s="225">
        <v>948.01499999999999</v>
      </c>
      <c r="AB499" s="225">
        <v>1244.9159999999999</v>
      </c>
    </row>
    <row r="500" spans="1:40" hidden="1" outlineLevel="1"/>
    <row r="501" spans="1:40" hidden="1" outlineLevel="1">
      <c r="E501" t="s">
        <v>141</v>
      </c>
      <c r="H501" s="284"/>
      <c r="I501" s="284"/>
      <c r="J501" s="284"/>
      <c r="K501" s="284"/>
      <c r="L501" s="284"/>
      <c r="M501" s="284"/>
      <c r="N501" s="284"/>
      <c r="O501" s="284"/>
      <c r="P501" s="225"/>
      <c r="Q501" s="225"/>
      <c r="R501" s="225">
        <v>238.024</v>
      </c>
      <c r="S501" s="225">
        <v>249.90100000000001</v>
      </c>
      <c r="T501" s="225">
        <v>500.995</v>
      </c>
      <c r="U501" s="225">
        <v>475.14299999999997</v>
      </c>
      <c r="V501" s="225">
        <v>486.88</v>
      </c>
      <c r="W501" s="225">
        <v>473.10899999999998</v>
      </c>
      <c r="X501" s="225">
        <v>439.29300000000001</v>
      </c>
      <c r="Y501" s="225">
        <v>396.613</v>
      </c>
      <c r="Z501" s="225">
        <v>388.09300000000002</v>
      </c>
      <c r="AA501" s="225">
        <v>397.661</v>
      </c>
      <c r="AB501" s="225">
        <f>372.946+666.865</f>
        <v>1039.8110000000001</v>
      </c>
    </row>
    <row r="502" spans="1:40" hidden="1" outlineLevel="1">
      <c r="E502" t="s">
        <v>143</v>
      </c>
      <c r="H502" s="284"/>
      <c r="I502" s="284"/>
      <c r="J502" s="284"/>
      <c r="K502" s="284"/>
      <c r="L502" s="284"/>
      <c r="M502" s="284"/>
      <c r="N502" s="284"/>
      <c r="O502" s="284"/>
      <c r="P502" s="225"/>
      <c r="Q502" s="225"/>
      <c r="R502" s="225">
        <v>516.75400000000002</v>
      </c>
      <c r="S502" s="225">
        <v>292.13299999999998</v>
      </c>
      <c r="T502" s="225">
        <v>857.98400000000004</v>
      </c>
      <c r="U502" s="225">
        <v>708.16499999999996</v>
      </c>
      <c r="V502" s="225">
        <v>630.07399999999996</v>
      </c>
      <c r="W502" s="225">
        <v>568.81100000000004</v>
      </c>
      <c r="X502" s="225">
        <v>509.78100000000001</v>
      </c>
      <c r="Y502" s="225">
        <v>490.42599999999999</v>
      </c>
      <c r="Z502" s="225">
        <v>479.32600000000002</v>
      </c>
      <c r="AA502" s="225">
        <v>517.98199999999997</v>
      </c>
      <c r="AB502" s="225">
        <v>521.46199999999999</v>
      </c>
    </row>
    <row r="503" spans="1:40" hidden="1" outlineLevel="1"/>
    <row r="504" spans="1:40" hidden="1" outlineLevel="1">
      <c r="E504" t="s">
        <v>425</v>
      </c>
      <c r="H504" s="284"/>
      <c r="I504" s="284"/>
      <c r="J504" s="284"/>
      <c r="K504" s="284"/>
      <c r="L504" s="284"/>
      <c r="M504" s="284"/>
      <c r="N504" s="284"/>
      <c r="O504" s="284"/>
      <c r="P504" s="225"/>
      <c r="Q504" s="225"/>
      <c r="R504" s="225">
        <v>304.37599999999998</v>
      </c>
      <c r="S504" s="225">
        <v>303.64100000000002</v>
      </c>
      <c r="T504" s="225">
        <v>1156.7370000000001</v>
      </c>
      <c r="U504" s="225">
        <v>1125.9159999999999</v>
      </c>
      <c r="V504" s="225">
        <v>1060.3800000000001</v>
      </c>
      <c r="W504" s="225">
        <v>1113.636</v>
      </c>
      <c r="X504" s="225">
        <v>1107.8630000000001</v>
      </c>
      <c r="Y504" s="225">
        <v>1004.307</v>
      </c>
      <c r="Z504" s="225">
        <v>1134.8019999999999</v>
      </c>
      <c r="AA504" s="225">
        <v>1108.895</v>
      </c>
      <c r="AB504" s="225">
        <v>1025.963</v>
      </c>
    </row>
    <row r="505" spans="1:40" hidden="1" outlineLevel="1">
      <c r="E505" t="s">
        <v>426</v>
      </c>
      <c r="H505" s="284"/>
      <c r="I505" s="284"/>
      <c r="J505" s="284"/>
      <c r="K505" s="284"/>
      <c r="L505" s="284"/>
      <c r="M505" s="284"/>
      <c r="N505" s="284"/>
      <c r="O505" s="284"/>
      <c r="P505" s="225"/>
      <c r="Q505" s="225"/>
      <c r="R505" s="225">
        <f>191.486+507.788</f>
        <v>699.274</v>
      </c>
      <c r="S505" s="225">
        <f>183.842+461.545</f>
        <v>645.38700000000006</v>
      </c>
      <c r="T505" s="225">
        <f>539.779+979.237</f>
        <v>1519.0160000000001</v>
      </c>
      <c r="U505" s="225">
        <f>713.933+1107.978</f>
        <v>1821.9110000000001</v>
      </c>
      <c r="V505" s="225">
        <f>583.979+1053.493</f>
        <v>1637.472</v>
      </c>
      <c r="W505" s="225">
        <f>571.883+1191.36</f>
        <v>1763.2429999999999</v>
      </c>
      <c r="X505" s="225">
        <f>523.553+955.212</f>
        <v>1478.7649999999999</v>
      </c>
      <c r="Y505" s="225">
        <f>578.886+995.89</f>
        <v>1574.7759999999998</v>
      </c>
      <c r="Z505" s="225">
        <f>602.245+1034.04</f>
        <v>1636.2849999999999</v>
      </c>
      <c r="AA505" s="225">
        <f>642.897+1018.82</f>
        <v>1661.7170000000001</v>
      </c>
      <c r="AB505" s="225">
        <f>672.775+1467.603</f>
        <v>2140.3780000000002</v>
      </c>
    </row>
    <row r="506" spans="1:40" s="36" customFormat="1" hidden="1" outlineLevel="1">
      <c r="A506" s="301"/>
      <c r="B506" s="301"/>
      <c r="H506" s="299"/>
      <c r="I506" s="299"/>
      <c r="J506" s="299"/>
      <c r="K506" s="299"/>
      <c r="L506" s="299"/>
      <c r="M506" s="299"/>
      <c r="N506" s="299"/>
      <c r="O506" s="299"/>
      <c r="P506" s="165"/>
      <c r="Q506" s="165"/>
      <c r="R506" s="165"/>
      <c r="S506" s="165"/>
      <c r="T506" s="165"/>
      <c r="U506" s="165"/>
      <c r="V506" s="165"/>
      <c r="W506" s="165"/>
      <c r="X506" s="165"/>
      <c r="Y506" s="165"/>
      <c r="Z506" s="165"/>
      <c r="AA506" s="165"/>
      <c r="AB506" s="165"/>
    </row>
    <row r="507" spans="1:40" hidden="1" outlineLevel="1">
      <c r="E507" s="36" t="s">
        <v>461</v>
      </c>
      <c r="H507" s="284"/>
      <c r="I507" s="284"/>
      <c r="J507" s="284"/>
      <c r="K507" s="284"/>
      <c r="L507" s="284"/>
      <c r="M507" s="284"/>
      <c r="N507" s="284"/>
      <c r="O507" s="284"/>
      <c r="P507" s="225"/>
      <c r="Q507" s="225"/>
      <c r="R507" s="292">
        <v>1.0407999999999999</v>
      </c>
      <c r="S507" s="292">
        <v>0.98680000000000001</v>
      </c>
      <c r="T507" s="292">
        <v>1.0078</v>
      </c>
      <c r="U507" s="292">
        <v>1.0156000000000001</v>
      </c>
      <c r="V507" s="292">
        <v>1.0826</v>
      </c>
      <c r="W507" s="292">
        <v>1.2284999999999999</v>
      </c>
      <c r="X507" s="292">
        <v>1.3258000000000001</v>
      </c>
      <c r="Y507" s="292">
        <v>1.3140000000000001</v>
      </c>
      <c r="Z507" s="292">
        <v>1.2835000000000001</v>
      </c>
      <c r="AA507" s="292">
        <v>1.3273999999999999</v>
      </c>
      <c r="AB507" s="292">
        <v>1.3453999999999999</v>
      </c>
      <c r="AC507" s="298">
        <v>1.2657</v>
      </c>
    </row>
    <row r="508" spans="1:40" collapsed="1"/>
    <row r="509" spans="1:40">
      <c r="D509" s="104"/>
      <c r="E509" s="105" t="s">
        <v>499</v>
      </c>
      <c r="F509" s="104"/>
      <c r="G509" s="105" t="s">
        <v>500</v>
      </c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  <c r="AA509" s="104"/>
      <c r="AB509" s="104"/>
      <c r="AC509" s="104"/>
      <c r="AD509" s="104"/>
      <c r="AE509" s="104"/>
      <c r="AF509" s="104"/>
      <c r="AG509" s="104"/>
      <c r="AH509" s="104"/>
      <c r="AI509" s="104"/>
      <c r="AJ509" s="104"/>
      <c r="AK509" s="104"/>
      <c r="AL509" s="104"/>
      <c r="AM509" s="104"/>
      <c r="AN509" s="104"/>
    </row>
    <row r="510" spans="1:40" ht="5.0999999999999996" hidden="1" customHeight="1" outlineLevel="1"/>
    <row r="511" spans="1:40" ht="15" hidden="1" customHeight="1" outlineLevel="1">
      <c r="E511" s="70" t="s">
        <v>554</v>
      </c>
      <c r="H511" s="289"/>
      <c r="I511" s="289"/>
      <c r="J511" s="289"/>
      <c r="K511" s="289"/>
      <c r="L511" s="289"/>
      <c r="M511" s="289"/>
      <c r="N511" s="289"/>
      <c r="O511" s="289"/>
      <c r="P511" s="289"/>
      <c r="Q511" s="289"/>
      <c r="R511" s="289">
        <v>14924</v>
      </c>
      <c r="S511" s="289">
        <v>15562</v>
      </c>
      <c r="T511" s="289">
        <v>15383</v>
      </c>
      <c r="U511" s="289">
        <v>15738</v>
      </c>
      <c r="V511" s="289">
        <v>16204</v>
      </c>
      <c r="W511" s="289">
        <v>17868</v>
      </c>
      <c r="X511" s="289">
        <v>18754</v>
      </c>
      <c r="Y511" s="289">
        <v>22979</v>
      </c>
      <c r="Z511" s="289">
        <v>24177</v>
      </c>
      <c r="AA511" s="289">
        <v>24227</v>
      </c>
      <c r="AB511" s="289">
        <v>27338</v>
      </c>
    </row>
    <row r="512" spans="1:40" ht="15" hidden="1" customHeight="1" outlineLevel="1">
      <c r="E512" s="70" t="s">
        <v>555</v>
      </c>
      <c r="H512" s="289"/>
      <c r="I512" s="289"/>
      <c r="J512" s="289"/>
      <c r="K512" s="289"/>
      <c r="L512" s="289"/>
      <c r="M512" s="289"/>
      <c r="N512" s="289"/>
      <c r="O512" s="289"/>
      <c r="P512" s="289"/>
      <c r="Q512" s="289"/>
      <c r="R512" s="289">
        <v>10583</v>
      </c>
      <c r="S512" s="289">
        <v>12300</v>
      </c>
      <c r="T512" s="289">
        <v>13179</v>
      </c>
      <c r="U512" s="289">
        <v>14265</v>
      </c>
      <c r="V512" s="289">
        <v>14844</v>
      </c>
      <c r="W512" s="289">
        <v>15015</v>
      </c>
      <c r="X512" s="289">
        <v>16096</v>
      </c>
      <c r="Y512" s="289">
        <v>18014</v>
      </c>
      <c r="Z512" s="289">
        <v>19038</v>
      </c>
      <c r="AA512" s="289">
        <v>20100</v>
      </c>
      <c r="AB512" s="289">
        <v>23196</v>
      </c>
    </row>
    <row r="513" spans="1:42" ht="15" hidden="1" customHeight="1" outlineLevel="1">
      <c r="E513" s="70" t="s">
        <v>127</v>
      </c>
      <c r="H513" s="331"/>
      <c r="I513" s="331"/>
      <c r="J513" s="331"/>
      <c r="K513" s="331"/>
      <c r="L513" s="331"/>
      <c r="M513" s="331"/>
      <c r="N513" s="331"/>
      <c r="O513" s="331"/>
      <c r="P513" s="331"/>
      <c r="Q513" s="331"/>
      <c r="R513" s="331">
        <f t="shared" ref="R513:AB513" si="353">R514-SUM(R511:R512)</f>
        <v>1845.9140000000007</v>
      </c>
      <c r="S513" s="331">
        <f t="shared" si="353"/>
        <v>1915.9840000000004</v>
      </c>
      <c r="T513" s="331">
        <f t="shared" si="353"/>
        <v>1832.2829999999994</v>
      </c>
      <c r="U513" s="331">
        <f t="shared" si="353"/>
        <v>1871.6779999999999</v>
      </c>
      <c r="V513" s="331">
        <f t="shared" si="353"/>
        <v>1866.4259999999995</v>
      </c>
      <c r="W513" s="331">
        <f t="shared" si="353"/>
        <v>1914.6600000000035</v>
      </c>
      <c r="X513" s="331">
        <f t="shared" si="353"/>
        <v>1326.8399999999965</v>
      </c>
      <c r="Y513" s="331">
        <f t="shared" si="353"/>
        <v>-0.46499999999650754</v>
      </c>
      <c r="Z513" s="331">
        <f t="shared" si="353"/>
        <v>1.299999999901047E-2</v>
      </c>
      <c r="AA513" s="331">
        <f t="shared" si="353"/>
        <v>3.8999999997031409E-2</v>
      </c>
      <c r="AB513" s="331">
        <f t="shared" si="353"/>
        <v>-0.61099999999714782</v>
      </c>
    </row>
    <row r="514" spans="1:42" s="167" customFormat="1" hidden="1" outlineLevel="1">
      <c r="A514" s="322"/>
      <c r="B514" s="322"/>
      <c r="C514" s="166"/>
      <c r="D514" s="327"/>
      <c r="E514" s="327" t="s">
        <v>397</v>
      </c>
      <c r="F514" s="304"/>
      <c r="G514" s="304"/>
      <c r="H514" s="328"/>
      <c r="I514" s="328"/>
      <c r="J514" s="328"/>
      <c r="K514" s="328"/>
      <c r="L514" s="328"/>
      <c r="M514" s="328"/>
      <c r="N514" s="328"/>
      <c r="O514" s="328"/>
      <c r="P514" s="328"/>
      <c r="Q514" s="328"/>
      <c r="R514" s="328">
        <v>27352.914000000001</v>
      </c>
      <c r="S514" s="328">
        <v>29777.984</v>
      </c>
      <c r="T514" s="328">
        <v>30394.282999999999</v>
      </c>
      <c r="U514" s="328">
        <v>31874.678</v>
      </c>
      <c r="V514" s="328">
        <v>32914.425999999999</v>
      </c>
      <c r="W514" s="328">
        <v>34797.660000000003</v>
      </c>
      <c r="X514" s="328">
        <v>36176.839999999997</v>
      </c>
      <c r="Y514" s="328">
        <v>40992.535000000003</v>
      </c>
      <c r="Z514" s="328">
        <v>43215.012999999999</v>
      </c>
      <c r="AA514" s="328">
        <v>44327.038999999997</v>
      </c>
      <c r="AB514" s="328">
        <v>50533.389000000003</v>
      </c>
      <c r="AC514" s="329"/>
      <c r="AD514" s="329"/>
      <c r="AE514" s="329"/>
      <c r="AF514" s="330"/>
      <c r="AG514" s="330"/>
      <c r="AH514" s="330"/>
      <c r="AI514" s="330"/>
      <c r="AJ514" s="330"/>
      <c r="AK514" s="330"/>
      <c r="AL514" s="330"/>
      <c r="AM514" s="330"/>
      <c r="AN514" s="330"/>
    </row>
    <row r="515" spans="1:42" hidden="1" outlineLevel="1">
      <c r="E515" s="247" t="s">
        <v>501</v>
      </c>
      <c r="F515" s="27"/>
      <c r="G515" s="27"/>
      <c r="H515" s="289"/>
      <c r="I515" s="289"/>
      <c r="J515" s="289"/>
      <c r="K515" s="289"/>
      <c r="L515" s="289"/>
      <c r="M515" s="289"/>
      <c r="N515" s="289"/>
      <c r="O515" s="289"/>
      <c r="P515" s="289"/>
      <c r="Q515" s="289"/>
      <c r="R515" s="289">
        <v>18966.185000000001</v>
      </c>
      <c r="S515" s="289">
        <v>20790.282999999999</v>
      </c>
      <c r="T515" s="289">
        <v>21010.109</v>
      </c>
      <c r="U515" s="289">
        <v>22190.213</v>
      </c>
      <c r="V515" s="289">
        <v>23105.184000000001</v>
      </c>
      <c r="W515" s="289">
        <v>24520.234</v>
      </c>
      <c r="X515" s="289">
        <v>25105.348000000002</v>
      </c>
      <c r="Y515" s="289">
        <v>28499.17</v>
      </c>
      <c r="Z515" s="289">
        <v>29900.325000000001</v>
      </c>
      <c r="AA515" s="289">
        <v>30350.881000000001</v>
      </c>
      <c r="AB515" s="289">
        <v>34169.260999999999</v>
      </c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</row>
    <row r="516" spans="1:42" hidden="1" outlineLevel="1">
      <c r="E516" s="247" t="s">
        <v>502</v>
      </c>
      <c r="F516" s="27"/>
      <c r="G516" s="27"/>
      <c r="H516" s="289"/>
      <c r="I516" s="289"/>
      <c r="J516" s="289"/>
      <c r="K516" s="289"/>
      <c r="L516" s="289"/>
      <c r="M516" s="289"/>
      <c r="N516" s="289"/>
      <c r="O516" s="289"/>
      <c r="P516" s="289"/>
      <c r="Q516" s="289"/>
      <c r="R516" s="289">
        <v>3094.4650000000001</v>
      </c>
      <c r="S516" s="289">
        <v>3303.4780000000001</v>
      </c>
      <c r="T516" s="289">
        <v>3481.8910000000001</v>
      </c>
      <c r="U516" s="289">
        <v>3582.8330000000001</v>
      </c>
      <c r="V516" s="289">
        <v>3505.0450000000001</v>
      </c>
      <c r="W516" s="289">
        <v>3580.4389999999999</v>
      </c>
      <c r="X516" s="289">
        <v>3752.3130000000001</v>
      </c>
      <c r="Y516" s="289">
        <v>4196.201</v>
      </c>
      <c r="Z516" s="289">
        <v>4447.4560000000001</v>
      </c>
      <c r="AA516" s="289">
        <v>4625.9290000000001</v>
      </c>
      <c r="AB516" s="289">
        <v>5288.2370000000001</v>
      </c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</row>
    <row r="517" spans="1:42" hidden="1" outlineLevel="1">
      <c r="D517" s="201"/>
      <c r="E517" s="247" t="s">
        <v>503</v>
      </c>
      <c r="F517" s="201"/>
      <c r="G517" s="201"/>
      <c r="H517" s="284"/>
      <c r="I517" s="284"/>
      <c r="J517" s="284"/>
      <c r="K517" s="284"/>
      <c r="L517" s="284"/>
      <c r="M517" s="284"/>
      <c r="N517" s="284"/>
      <c r="O517" s="284"/>
      <c r="P517" s="225"/>
      <c r="Q517" s="225"/>
      <c r="R517" s="225">
        <v>1820.277</v>
      </c>
      <c r="S517" s="225">
        <v>1810.9839999999999</v>
      </c>
      <c r="T517" s="225">
        <v>1835.646</v>
      </c>
      <c r="U517" s="225">
        <v>1819.136</v>
      </c>
      <c r="V517" s="225">
        <v>1803.943</v>
      </c>
      <c r="W517" s="225">
        <v>1886.5429999999999</v>
      </c>
      <c r="X517" s="225">
        <v>2127.777</v>
      </c>
      <c r="Y517" s="225">
        <v>2398.384</v>
      </c>
      <c r="Z517" s="225">
        <v>2562.1579999999999</v>
      </c>
      <c r="AA517" s="225">
        <v>2836.585</v>
      </c>
      <c r="AB517" s="225">
        <v>3454.3620000000001</v>
      </c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</row>
    <row r="518" spans="1:42" s="3" customFormat="1" hidden="1" outlineLevel="1">
      <c r="A518" s="110"/>
      <c r="B518" s="110"/>
      <c r="C518" s="143"/>
      <c r="D518" s="150"/>
      <c r="E518" s="150" t="s">
        <v>399</v>
      </c>
      <c r="F518" s="2"/>
      <c r="G518" s="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>
        <f t="shared" ref="R518:AB518" si="354">R514-SUM(R515:R517)</f>
        <v>3471.9869999999974</v>
      </c>
      <c r="S518" s="102">
        <f t="shared" si="354"/>
        <v>3873.2390000000014</v>
      </c>
      <c r="T518" s="102">
        <f t="shared" si="354"/>
        <v>4066.6369999999988</v>
      </c>
      <c r="U518" s="102">
        <f t="shared" si="354"/>
        <v>4282.4960000000028</v>
      </c>
      <c r="V518" s="102">
        <f t="shared" si="354"/>
        <v>4500.2540000000008</v>
      </c>
      <c r="W518" s="102">
        <f t="shared" si="354"/>
        <v>4810.4440000000031</v>
      </c>
      <c r="X518" s="102">
        <f t="shared" si="354"/>
        <v>5191.4019999999946</v>
      </c>
      <c r="Y518" s="102">
        <f t="shared" si="354"/>
        <v>5898.7800000000061</v>
      </c>
      <c r="Z518" s="102">
        <f t="shared" si="354"/>
        <v>6305.0739999999932</v>
      </c>
      <c r="AA518" s="102">
        <f t="shared" si="354"/>
        <v>6513.6440000000002</v>
      </c>
      <c r="AB518" s="102">
        <f t="shared" si="354"/>
        <v>7621.5290000000023</v>
      </c>
      <c r="AC518" s="102"/>
      <c r="AD518" s="102"/>
      <c r="AE518" s="102"/>
      <c r="AF518" s="103"/>
      <c r="AG518" s="103"/>
      <c r="AH518" s="103"/>
      <c r="AI518" s="103"/>
      <c r="AJ518" s="103"/>
      <c r="AK518" s="103"/>
      <c r="AL518" s="103"/>
      <c r="AM518" s="103"/>
      <c r="AN518" s="103"/>
      <c r="AO518"/>
    </row>
    <row r="519" spans="1:42" hidden="1" outlineLevel="1">
      <c r="E519" s="70" t="s">
        <v>460</v>
      </c>
      <c r="H519" s="284"/>
      <c r="I519" s="284"/>
      <c r="J519" s="284"/>
      <c r="K519" s="284"/>
      <c r="L519" s="284"/>
      <c r="M519" s="284"/>
      <c r="N519" s="284"/>
      <c r="O519" s="284"/>
      <c r="P519" s="225"/>
      <c r="Q519" s="225"/>
      <c r="R519" s="225">
        <v>-15.481999999999999</v>
      </c>
      <c r="S519" s="225">
        <v>-5.1369999999999996</v>
      </c>
      <c r="T519" s="225">
        <v>18.244</v>
      </c>
      <c r="U519" s="225">
        <v>15.56</v>
      </c>
      <c r="V519" s="225">
        <v>44.752000000000002</v>
      </c>
      <c r="W519" s="225">
        <v>69.921999999999997</v>
      </c>
      <c r="X519" s="225">
        <v>87.72</v>
      </c>
      <c r="Y519" s="225">
        <v>127.48399999999999</v>
      </c>
      <c r="Z519" s="225">
        <v>117.822</v>
      </c>
      <c r="AA519" s="225">
        <v>-224.42699999999999</v>
      </c>
      <c r="AB519" s="225">
        <v>-165.714</v>
      </c>
    </row>
    <row r="520" spans="1:42" s="3" customFormat="1" hidden="1" outlineLevel="1">
      <c r="A520" s="110"/>
      <c r="B520" s="110"/>
      <c r="C520" s="143"/>
      <c r="D520" s="150"/>
      <c r="E520" s="150" t="s">
        <v>400</v>
      </c>
      <c r="F520" s="2"/>
      <c r="G520" s="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>
        <f t="shared" ref="R520:AA520" si="355">R518-R519</f>
        <v>3487.4689999999973</v>
      </c>
      <c r="S520" s="102">
        <f t="shared" si="355"/>
        <v>3878.3760000000016</v>
      </c>
      <c r="T520" s="102">
        <f t="shared" si="355"/>
        <v>4048.3929999999987</v>
      </c>
      <c r="U520" s="102">
        <f t="shared" si="355"/>
        <v>4266.9360000000024</v>
      </c>
      <c r="V520" s="102">
        <f t="shared" si="355"/>
        <v>4455.5020000000004</v>
      </c>
      <c r="W520" s="102">
        <f t="shared" si="355"/>
        <v>4740.5220000000036</v>
      </c>
      <c r="X520" s="102">
        <f t="shared" si="355"/>
        <v>5103.6819999999943</v>
      </c>
      <c r="Y520" s="102">
        <f t="shared" si="355"/>
        <v>5771.2960000000057</v>
      </c>
      <c r="Z520" s="102">
        <f t="shared" si="355"/>
        <v>6187.2519999999931</v>
      </c>
      <c r="AA520" s="102">
        <f t="shared" si="355"/>
        <v>6738.0709999999999</v>
      </c>
      <c r="AB520" s="102">
        <f>AB518-AB519</f>
        <v>7787.2430000000022</v>
      </c>
      <c r="AC520" s="102"/>
      <c r="AD520" s="102"/>
      <c r="AE520" s="102"/>
      <c r="AF520" s="103"/>
      <c r="AG520" s="103"/>
      <c r="AH520" s="103"/>
      <c r="AI520" s="103"/>
      <c r="AJ520" s="103"/>
      <c r="AK520" s="103"/>
      <c r="AL520" s="103"/>
      <c r="AM520" s="103"/>
      <c r="AN520" s="103"/>
      <c r="AO520"/>
    </row>
    <row r="521" spans="1:42" hidden="1" outlineLevel="1"/>
    <row r="522" spans="1:42" hidden="1" outlineLevel="1">
      <c r="E522" t="s">
        <v>251</v>
      </c>
      <c r="H522" s="284"/>
      <c r="I522" s="284"/>
      <c r="J522" s="284"/>
      <c r="K522" s="284"/>
      <c r="L522" s="284"/>
      <c r="M522" s="284"/>
      <c r="N522" s="284"/>
      <c r="O522" s="284"/>
      <c r="P522" s="225"/>
      <c r="Q522" s="225"/>
      <c r="R522" s="225">
        <v>513.25599999999997</v>
      </c>
      <c r="S522" s="225">
        <v>593.54499999999996</v>
      </c>
      <c r="T522" s="225">
        <v>593.02800000000002</v>
      </c>
      <c r="U522" s="225">
        <v>620.75300000000004</v>
      </c>
      <c r="V522" s="225">
        <v>645.923</v>
      </c>
      <c r="W522" s="225">
        <v>729.05200000000002</v>
      </c>
      <c r="X522" s="225">
        <v>801.78899999999999</v>
      </c>
      <c r="Y522" s="225">
        <v>926.77599999999995</v>
      </c>
      <c r="Z522" s="225">
        <v>892.76</v>
      </c>
      <c r="AA522" s="225">
        <v>1773.124</v>
      </c>
      <c r="AB522" s="225">
        <v>1891.242</v>
      </c>
    </row>
    <row r="523" spans="1:42" hidden="1" outlineLevel="1">
      <c r="E523" t="s">
        <v>130</v>
      </c>
      <c r="H523" s="284"/>
      <c r="I523" s="284"/>
      <c r="J523" s="284"/>
      <c r="K523" s="284"/>
      <c r="L523" s="284"/>
      <c r="M523" s="284"/>
      <c r="N523" s="284"/>
      <c r="O523" s="284"/>
      <c r="P523" s="225"/>
      <c r="Q523" s="225"/>
      <c r="R523" s="225">
        <v>403.714</v>
      </c>
      <c r="S523" s="225">
        <v>371.97399999999999</v>
      </c>
      <c r="T523" s="225">
        <v>369.59300000000002</v>
      </c>
      <c r="U523" s="225">
        <v>321.87</v>
      </c>
      <c r="V523" s="225">
        <v>395.017</v>
      </c>
      <c r="W523" s="225">
        <v>496.56599999999997</v>
      </c>
      <c r="X523" s="225">
        <v>515.91899999999998</v>
      </c>
      <c r="Y523" s="225">
        <v>619.18700000000001</v>
      </c>
      <c r="Z523" s="225">
        <v>599.00900000000001</v>
      </c>
      <c r="AA523" s="225">
        <v>599.13199999999995</v>
      </c>
      <c r="AB523" s="225">
        <v>580.13199999999995</v>
      </c>
    </row>
    <row r="524" spans="1:42" hidden="1" outlineLevel="1">
      <c r="E524" t="s">
        <v>131</v>
      </c>
      <c r="H524" s="284"/>
      <c r="I524" s="284"/>
      <c r="J524" s="284"/>
      <c r="K524" s="284"/>
      <c r="L524" s="284"/>
      <c r="M524" s="284"/>
      <c r="N524" s="284"/>
      <c r="O524" s="284"/>
      <c r="P524" s="225"/>
      <c r="Q524" s="225"/>
      <c r="R524" s="225">
        <f>306.187-10.935</f>
        <v>295.25200000000001</v>
      </c>
      <c r="S524" s="225">
        <f>174.383-12.549</f>
        <v>161.834</v>
      </c>
      <c r="T524" s="225">
        <v>803.98800000000006</v>
      </c>
      <c r="U524" s="225">
        <v>740.06700000000001</v>
      </c>
      <c r="V524" s="225">
        <f>791.704-10.553</f>
        <v>781.15099999999995</v>
      </c>
      <c r="W524" s="225">
        <f>932.542-814.538</f>
        <v>118.00400000000002</v>
      </c>
      <c r="X524" s="225">
        <f>1704.188+24.035</f>
        <v>1728.2230000000002</v>
      </c>
      <c r="Y524" s="225">
        <f>657.546-20.197</f>
        <v>637.34900000000005</v>
      </c>
      <c r="Z524" s="225">
        <f>1193.071-27.951</f>
        <v>1165.1199999999999</v>
      </c>
      <c r="AA524" s="225">
        <f>1531.599-230.393</f>
        <v>1301.2059999999999</v>
      </c>
      <c r="AB524" s="225">
        <f>4171.123-413.553</f>
        <v>3757.5699999999997</v>
      </c>
    </row>
    <row r="525" spans="1:42" hidden="1" outlineLevel="1">
      <c r="E525" t="s">
        <v>553</v>
      </c>
      <c r="H525" s="284"/>
      <c r="I525" s="284"/>
      <c r="J525" s="284"/>
      <c r="K525" s="284"/>
      <c r="L525" s="284"/>
      <c r="M525" s="284"/>
      <c r="N525" s="284"/>
      <c r="O525" s="284"/>
      <c r="P525" s="225"/>
      <c r="Q525" s="225"/>
      <c r="R525" s="225"/>
      <c r="S525" s="225"/>
      <c r="T525" s="225"/>
      <c r="U525" s="225"/>
      <c r="V525" s="225"/>
      <c r="W525" s="225"/>
      <c r="X525" s="225"/>
      <c r="Y525" s="225"/>
      <c r="Z525" s="225">
        <v>1200</v>
      </c>
      <c r="AA525" s="225">
        <v>1500</v>
      </c>
      <c r="AB525" s="225">
        <v>4200</v>
      </c>
    </row>
    <row r="526" spans="1:42" hidden="1" outlineLevel="1">
      <c r="E526" s="70" t="s">
        <v>556</v>
      </c>
      <c r="H526" s="225"/>
      <c r="I526" s="225"/>
      <c r="J526" s="225"/>
      <c r="K526" s="225"/>
      <c r="L526" s="225"/>
      <c r="M526" s="225"/>
      <c r="N526" s="225"/>
      <c r="O526" s="225"/>
      <c r="P526" s="225"/>
      <c r="Q526" s="225"/>
      <c r="R526" s="225"/>
      <c r="S526" s="225"/>
      <c r="T526" s="225"/>
      <c r="U526" s="225"/>
      <c r="V526" s="225"/>
      <c r="W526" s="225"/>
      <c r="X526" s="225"/>
      <c r="Y526" s="225"/>
      <c r="Z526" s="225">
        <v>33</v>
      </c>
      <c r="AA526" s="225">
        <v>34</v>
      </c>
      <c r="AB526" s="225">
        <v>46</v>
      </c>
    </row>
    <row r="527" spans="1:42" hidden="1" outlineLevel="1">
      <c r="E527" s="70" t="s">
        <v>557</v>
      </c>
      <c r="H527" s="331"/>
      <c r="I527" s="331"/>
      <c r="J527" s="331"/>
      <c r="K527" s="331"/>
      <c r="L527" s="331"/>
      <c r="M527" s="331"/>
      <c r="N527" s="331"/>
      <c r="O527" s="331"/>
      <c r="P527" s="331"/>
      <c r="Q527" s="331"/>
      <c r="R527" s="331"/>
      <c r="S527" s="331"/>
      <c r="T527" s="331"/>
      <c r="U527" s="331"/>
      <c r="V527" s="331"/>
      <c r="W527" s="331"/>
      <c r="X527" s="331"/>
      <c r="Y527" s="331"/>
      <c r="Z527" s="331">
        <f>Z525/Z526</f>
        <v>36.363636363636367</v>
      </c>
      <c r="AA527" s="331">
        <f>AA525/AA526</f>
        <v>44.117647058823529</v>
      </c>
      <c r="AB527" s="331">
        <f>AB525/AB526</f>
        <v>91.304347826086953</v>
      </c>
    </row>
    <row r="528" spans="1:42" hidden="1" outlineLevel="1"/>
    <row r="529" spans="1:43" hidden="1" outlineLevel="1">
      <c r="E529" t="s">
        <v>401</v>
      </c>
      <c r="H529" s="284"/>
      <c r="I529" s="284"/>
      <c r="J529" s="284"/>
      <c r="K529" s="284"/>
      <c r="L529" s="284"/>
      <c r="M529" s="284"/>
      <c r="N529" s="284"/>
      <c r="O529" s="284"/>
      <c r="P529" s="225"/>
      <c r="Q529" s="225"/>
      <c r="R529" s="225">
        <v>4621.7920000000004</v>
      </c>
      <c r="S529" s="225">
        <v>4480.7110000000002</v>
      </c>
      <c r="T529" s="225">
        <v>4846.5739999999996</v>
      </c>
      <c r="U529" s="225">
        <v>5663.3339999999998</v>
      </c>
      <c r="V529" s="225">
        <v>5725.424</v>
      </c>
      <c r="W529" s="225">
        <v>6222.3990000000003</v>
      </c>
      <c r="X529" s="225">
        <v>6885.2569999999996</v>
      </c>
      <c r="Y529" s="225">
        <v>7496.3680000000004</v>
      </c>
      <c r="Z529" s="225">
        <v>8095.0709999999999</v>
      </c>
      <c r="AA529" s="225">
        <v>7846.8919999999998</v>
      </c>
      <c r="AB529" s="225">
        <v>9728.2119999999995</v>
      </c>
    </row>
    <row r="530" spans="1:43" hidden="1" outlineLevel="1">
      <c r="E530" t="s">
        <v>127</v>
      </c>
      <c r="H530" s="284"/>
      <c r="I530" s="284"/>
      <c r="J530" s="284"/>
      <c r="K530" s="284"/>
      <c r="L530" s="284"/>
      <c r="M530" s="284"/>
      <c r="N530" s="284"/>
      <c r="O530" s="284"/>
      <c r="P530" s="225"/>
      <c r="Q530" s="225"/>
      <c r="R530" s="225">
        <v>1143.384</v>
      </c>
      <c r="S530" s="225">
        <v>1464.433</v>
      </c>
      <c r="T530" s="225">
        <v>1363.194</v>
      </c>
      <c r="U530" s="225">
        <v>1317.201</v>
      </c>
      <c r="V530" s="225">
        <v>611.43600000000004</v>
      </c>
      <c r="W530" s="225">
        <v>845.33900000000006</v>
      </c>
      <c r="X530" s="225">
        <v>1082.1610000000001</v>
      </c>
      <c r="Y530" s="225">
        <v>1024.6389999999999</v>
      </c>
      <c r="Z530" s="225">
        <v>1225.364</v>
      </c>
      <c r="AA530" s="225">
        <v>1393.2249999999999</v>
      </c>
      <c r="AB530" s="225">
        <v>1765.8309999999999</v>
      </c>
    </row>
    <row r="531" spans="1:43" hidden="1" outlineLevel="1"/>
    <row r="532" spans="1:43" hidden="1" outlineLevel="1">
      <c r="E532" t="s">
        <v>141</v>
      </c>
      <c r="H532" s="284"/>
      <c r="I532" s="284"/>
      <c r="J532" s="284"/>
      <c r="K532" s="284"/>
      <c r="L532" s="284"/>
      <c r="M532" s="284"/>
      <c r="N532" s="284"/>
      <c r="O532" s="284"/>
      <c r="P532" s="225"/>
      <c r="Q532" s="225"/>
      <c r="R532" s="225">
        <v>785.23099999999999</v>
      </c>
      <c r="S532" s="225">
        <v>779.49400000000003</v>
      </c>
      <c r="T532" s="225">
        <v>779.67499999999995</v>
      </c>
      <c r="U532" s="225">
        <v>793.44399999999996</v>
      </c>
      <c r="V532" s="225">
        <v>801.88400000000001</v>
      </c>
      <c r="W532" s="225">
        <v>956.54200000000003</v>
      </c>
      <c r="X532" s="225">
        <v>1140.598</v>
      </c>
      <c r="Y532" s="225">
        <v>1264.02</v>
      </c>
      <c r="Z532" s="225">
        <v>1391.1659999999999</v>
      </c>
      <c r="AA532" s="225">
        <f>1545.568</f>
        <v>1545.568</v>
      </c>
      <c r="AB532" s="225">
        <f>1639.105</f>
        <v>1639.105</v>
      </c>
    </row>
    <row r="533" spans="1:43" hidden="1" outlineLevel="1">
      <c r="E533" t="s">
        <v>279</v>
      </c>
      <c r="H533" s="284"/>
      <c r="I533" s="284"/>
      <c r="J533" s="284"/>
      <c r="K533" s="284"/>
      <c r="L533" s="284"/>
      <c r="M533" s="284"/>
      <c r="N533" s="284"/>
      <c r="O533" s="284"/>
      <c r="P533" s="225"/>
      <c r="Q533" s="225"/>
      <c r="R533" s="225">
        <v>0</v>
      </c>
      <c r="S533" s="225">
        <v>0</v>
      </c>
      <c r="T533" s="225">
        <v>0</v>
      </c>
      <c r="U533" s="225">
        <v>0</v>
      </c>
      <c r="V533" s="225">
        <v>0</v>
      </c>
      <c r="W533" s="225">
        <v>0</v>
      </c>
      <c r="X533" s="225">
        <v>0</v>
      </c>
      <c r="Y533" s="225">
        <v>0</v>
      </c>
      <c r="Z533" s="225">
        <v>0</v>
      </c>
      <c r="AA533" s="225">
        <v>3183.346</v>
      </c>
      <c r="AB533" s="225">
        <v>3182.5189999999998</v>
      </c>
    </row>
    <row r="534" spans="1:43" hidden="1" outlineLevel="1">
      <c r="E534" t="s">
        <v>504</v>
      </c>
      <c r="H534" s="284"/>
      <c r="I534" s="284"/>
      <c r="J534" s="284"/>
      <c r="K534" s="284"/>
      <c r="L534" s="284"/>
      <c r="M534" s="284"/>
      <c r="N534" s="284"/>
      <c r="O534" s="284"/>
      <c r="P534" s="225"/>
      <c r="Q534" s="225"/>
      <c r="R534" s="225">
        <f>49.192+559.794+937.675</f>
        <v>1546.6610000000001</v>
      </c>
      <c r="S534" s="225">
        <f>12.151+537.943+695.568</f>
        <v>1245.6619999999998</v>
      </c>
      <c r="T534" s="225">
        <f>18.447+554.747+789.218</f>
        <v>1362.4119999999998</v>
      </c>
      <c r="U534" s="225">
        <f>28.039+629.905+959.84</f>
        <v>1617.7840000000001</v>
      </c>
      <c r="V534" s="225">
        <f>15.501+655.482+964.918</f>
        <v>1635.9009999999998</v>
      </c>
      <c r="W534" s="225">
        <f>68.145+733.219+989.494</f>
        <v>1790.8580000000002</v>
      </c>
      <c r="X534" s="225">
        <f>40.938+755.871+1226.331</f>
        <v>2023.1399999999999</v>
      </c>
      <c r="Y534" s="225">
        <f>23.036+705.124+1185.993</f>
        <v>1914.153</v>
      </c>
      <c r="Z534" s="225">
        <f>71.002+681.492+1400.292</f>
        <v>2152.7860000000001</v>
      </c>
      <c r="AA534" s="225">
        <f>43.257+723.168+1646.018</f>
        <v>2412.4430000000002</v>
      </c>
      <c r="AB534" s="225">
        <f>38.334+731.445+2455.412</f>
        <v>3225.1909999999998</v>
      </c>
    </row>
    <row r="535" spans="1:43" hidden="1" outlineLevel="1">
      <c r="A535"/>
      <c r="B535"/>
      <c r="C535"/>
    </row>
    <row r="536" spans="1:43" hidden="1" outlineLevel="1">
      <c r="E536" t="s">
        <v>425</v>
      </c>
      <c r="H536" s="284"/>
      <c r="I536" s="284"/>
      <c r="J536" s="284"/>
      <c r="K536" s="284"/>
      <c r="L536" s="284"/>
      <c r="M536" s="284"/>
      <c r="N536" s="284"/>
      <c r="O536" s="284"/>
      <c r="P536" s="225"/>
      <c r="Q536" s="225"/>
      <c r="R536" s="225">
        <v>949.25</v>
      </c>
      <c r="S536" s="225">
        <v>903.84699999999998</v>
      </c>
      <c r="T536" s="225">
        <v>961.851</v>
      </c>
      <c r="U536" s="225">
        <v>1064.2280000000001</v>
      </c>
      <c r="V536" s="225">
        <v>1151.4639999999999</v>
      </c>
      <c r="W536" s="225">
        <v>1280.8209999999999</v>
      </c>
      <c r="X536" s="225">
        <v>1525.0650000000001</v>
      </c>
      <c r="Y536" s="225">
        <v>1348.8019999999999</v>
      </c>
      <c r="Z536" s="225">
        <v>1646.6410000000001</v>
      </c>
      <c r="AA536" s="225">
        <v>1349.874</v>
      </c>
      <c r="AB536" s="225">
        <v>2274.0569999999998</v>
      </c>
    </row>
    <row r="537" spans="1:43" hidden="1" outlineLevel="1">
      <c r="E537" t="s">
        <v>426</v>
      </c>
      <c r="H537" s="284"/>
      <c r="I537" s="284"/>
      <c r="J537" s="284"/>
      <c r="K537" s="284"/>
      <c r="L537" s="284"/>
      <c r="M537" s="284"/>
      <c r="N537" s="284"/>
      <c r="O537" s="284"/>
      <c r="P537" s="225"/>
      <c r="Q537" s="225"/>
      <c r="R537" s="225"/>
      <c r="S537" s="225"/>
      <c r="T537" s="225"/>
      <c r="U537" s="225"/>
      <c r="V537" s="225"/>
      <c r="W537" s="225"/>
      <c r="X537" s="225"/>
      <c r="Y537" s="225"/>
      <c r="Z537" s="225"/>
      <c r="AA537" s="225">
        <f>3636.714+5083.95+453.542+756.057+662.409+712.197</f>
        <v>11304.869000000001</v>
      </c>
      <c r="AB537" s="225">
        <f>4229.177+6747.853+423.4+744.164+609.553+668.583</f>
        <v>13422.73</v>
      </c>
    </row>
    <row r="538" spans="1:43" s="36" customFormat="1" hidden="1" outlineLevel="1">
      <c r="A538" s="301"/>
      <c r="B538" s="301"/>
      <c r="H538" s="299"/>
      <c r="I538" s="299"/>
      <c r="J538" s="299"/>
      <c r="K538" s="299"/>
      <c r="L538" s="299"/>
      <c r="M538" s="299"/>
      <c r="N538" s="299"/>
      <c r="O538" s="299"/>
      <c r="P538" s="165"/>
      <c r="Q538" s="165"/>
      <c r="R538" s="165"/>
      <c r="S538" s="165"/>
      <c r="T538" s="165"/>
      <c r="U538" s="165"/>
      <c r="V538" s="165"/>
      <c r="W538" s="165"/>
      <c r="X538" s="165"/>
      <c r="Y538" s="165"/>
      <c r="Z538" s="165"/>
      <c r="AA538" s="165"/>
      <c r="AB538" s="165"/>
    </row>
    <row r="539" spans="1:43" s="36" customFormat="1" collapsed="1">
      <c r="A539" s="301"/>
      <c r="B539" s="301"/>
      <c r="H539" s="299"/>
      <c r="I539" s="299"/>
      <c r="J539" s="299"/>
      <c r="K539" s="299"/>
      <c r="L539" s="299"/>
      <c r="M539" s="299"/>
      <c r="N539" s="299"/>
      <c r="O539" s="299"/>
      <c r="P539" s="165"/>
      <c r="Q539" s="165"/>
      <c r="R539" s="165"/>
      <c r="S539" s="165"/>
      <c r="T539" s="165"/>
      <c r="U539" s="165"/>
      <c r="V539" s="165"/>
      <c r="W539" s="165"/>
      <c r="X539" s="165"/>
      <c r="Y539" s="165"/>
      <c r="Z539" s="165"/>
      <c r="AA539" s="165"/>
      <c r="AB539" s="165"/>
    </row>
    <row r="540" spans="1:43">
      <c r="C540" s="141"/>
      <c r="D540" s="52" t="s">
        <v>430</v>
      </c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52"/>
      <c r="AM540" s="52"/>
      <c r="AN540" s="52"/>
    </row>
    <row r="541" spans="1:43">
      <c r="U541" s="65"/>
      <c r="V541" s="65"/>
      <c r="W541" s="65"/>
      <c r="X541" s="65"/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</row>
    <row r="542" spans="1:43">
      <c r="D542" s="104"/>
      <c r="E542" s="105" t="s">
        <v>549</v>
      </c>
      <c r="F542" s="104"/>
      <c r="G542" s="105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104"/>
      <c r="AD542" s="104"/>
      <c r="AE542" s="104"/>
      <c r="AF542" s="104"/>
      <c r="AG542" s="104"/>
      <c r="AH542" s="104"/>
      <c r="AI542" s="104"/>
      <c r="AJ542" s="104"/>
      <c r="AK542" s="104"/>
      <c r="AL542" s="104"/>
      <c r="AM542" s="104"/>
      <c r="AN542" s="104"/>
    </row>
    <row r="543" spans="1:43" s="36" customFormat="1" ht="5.0999999999999996" customHeight="1" outlineLevel="1">
      <c r="A543" s="301"/>
      <c r="B543" s="301"/>
      <c r="E543" s="143"/>
      <c r="G543" s="143"/>
    </row>
    <row r="544" spans="1:43" outlineLevel="1">
      <c r="E544" s="70" t="s">
        <v>434</v>
      </c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>
        <v>140</v>
      </c>
      <c r="U544" s="284">
        <v>140</v>
      </c>
      <c r="V544" s="284">
        <v>166</v>
      </c>
      <c r="W544" s="284">
        <v>171</v>
      </c>
      <c r="X544" s="284">
        <v>170</v>
      </c>
      <c r="Y544" s="284">
        <v>181</v>
      </c>
      <c r="Z544" s="284">
        <v>210</v>
      </c>
      <c r="AA544" s="284">
        <v>215</v>
      </c>
      <c r="AB544" s="284">
        <v>179</v>
      </c>
      <c r="AC544" s="299">
        <v>196</v>
      </c>
      <c r="AD544" s="299">
        <v>207</v>
      </c>
      <c r="AQ544" s="14"/>
    </row>
    <row r="545" spans="1:43" outlineLevel="1">
      <c r="E545" s="70" t="s">
        <v>431</v>
      </c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>
        <v>285</v>
      </c>
      <c r="U545" s="284">
        <v>300</v>
      </c>
      <c r="V545" s="284">
        <v>310</v>
      </c>
      <c r="W545" s="284">
        <v>310</v>
      </c>
      <c r="X545" s="284">
        <v>326</v>
      </c>
      <c r="Y545" s="284">
        <v>369</v>
      </c>
      <c r="Z545" s="284">
        <v>419</v>
      </c>
      <c r="AA545" s="284">
        <v>477</v>
      </c>
      <c r="AB545" s="284">
        <v>529</v>
      </c>
      <c r="AC545" s="299">
        <v>601</v>
      </c>
      <c r="AD545" s="299">
        <v>670</v>
      </c>
      <c r="AQ545" s="14"/>
    </row>
    <row r="546" spans="1:43" outlineLevel="1">
      <c r="E546" s="70" t="s">
        <v>432</v>
      </c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>
        <v>676</v>
      </c>
      <c r="U546" s="284">
        <v>677</v>
      </c>
      <c r="V546" s="284">
        <v>649</v>
      </c>
      <c r="W546" s="284">
        <v>646</v>
      </c>
      <c r="X546" s="284">
        <v>630</v>
      </c>
      <c r="Y546" s="284">
        <v>665</v>
      </c>
      <c r="Z546" s="284">
        <v>712</v>
      </c>
      <c r="AA546" s="284">
        <v>712</v>
      </c>
      <c r="AB546" s="284">
        <v>697</v>
      </c>
      <c r="AC546" s="299">
        <v>802</v>
      </c>
      <c r="AD546" s="299">
        <v>821</v>
      </c>
      <c r="AQ546" s="14"/>
    </row>
    <row r="547" spans="1:43" outlineLevel="1">
      <c r="E547" s="70" t="s">
        <v>433</v>
      </c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>
        <v>906</v>
      </c>
      <c r="U547" s="284">
        <v>922</v>
      </c>
      <c r="V547" s="284">
        <v>897</v>
      </c>
      <c r="W547" s="284">
        <v>866</v>
      </c>
      <c r="X547" s="284">
        <v>894</v>
      </c>
      <c r="Y547" s="284">
        <v>931</v>
      </c>
      <c r="Z547" s="284">
        <v>993</v>
      </c>
      <c r="AA547" s="284">
        <v>1040</v>
      </c>
      <c r="AB547" s="284">
        <v>1071</v>
      </c>
      <c r="AC547" s="299">
        <v>1191</v>
      </c>
      <c r="AD547" s="299">
        <v>1294</v>
      </c>
      <c r="AQ547" s="14"/>
    </row>
    <row r="548" spans="1:43" outlineLevel="1">
      <c r="E548" s="70" t="s">
        <v>435</v>
      </c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>
        <v>1641</v>
      </c>
      <c r="U548" s="284">
        <v>1624</v>
      </c>
      <c r="V548" s="284">
        <v>1541</v>
      </c>
      <c r="W548" s="284">
        <v>1392</v>
      </c>
      <c r="X548" s="284">
        <v>1374</v>
      </c>
      <c r="Y548" s="284">
        <v>1392</v>
      </c>
      <c r="Z548" s="284">
        <v>1380</v>
      </c>
      <c r="AA548" s="284">
        <v>1373</v>
      </c>
      <c r="AB548" s="284">
        <v>1396</v>
      </c>
      <c r="AC548" s="299">
        <v>1451</v>
      </c>
      <c r="AD548" s="299">
        <v>1482</v>
      </c>
      <c r="AQ548" s="14"/>
    </row>
    <row r="549" spans="1:43" s="3" customFormat="1" outlineLevel="1">
      <c r="A549" s="110"/>
      <c r="B549" s="110"/>
      <c r="C549" s="143"/>
      <c r="E549" s="150" t="s">
        <v>441</v>
      </c>
      <c r="F549" s="2"/>
      <c r="G549" s="2"/>
      <c r="H549" s="307"/>
      <c r="I549" s="307"/>
      <c r="J549" s="307"/>
      <c r="K549" s="307"/>
      <c r="L549" s="307"/>
      <c r="M549" s="307">
        <v>2648</v>
      </c>
      <c r="N549" s="307">
        <v>2856</v>
      </c>
      <c r="O549" s="307">
        <v>3177</v>
      </c>
      <c r="P549" s="307">
        <v>3393</v>
      </c>
      <c r="Q549" s="307">
        <v>3228</v>
      </c>
      <c r="R549" s="307">
        <v>3402</v>
      </c>
      <c r="S549" s="307">
        <v>3573</v>
      </c>
      <c r="T549" s="102">
        <f t="shared" ref="T549:AD549" si="356">SUM(T544:T548)</f>
        <v>3648</v>
      </c>
      <c r="U549" s="102">
        <f t="shared" si="356"/>
        <v>3663</v>
      </c>
      <c r="V549" s="102">
        <f t="shared" si="356"/>
        <v>3563</v>
      </c>
      <c r="W549" s="102">
        <f t="shared" si="356"/>
        <v>3385</v>
      </c>
      <c r="X549" s="102">
        <f t="shared" si="356"/>
        <v>3394</v>
      </c>
      <c r="Y549" s="102">
        <f t="shared" si="356"/>
        <v>3538</v>
      </c>
      <c r="Z549" s="102">
        <f t="shared" si="356"/>
        <v>3714</v>
      </c>
      <c r="AA549" s="102">
        <f t="shared" si="356"/>
        <v>3817</v>
      </c>
      <c r="AB549" s="102">
        <f t="shared" si="356"/>
        <v>3872</v>
      </c>
      <c r="AC549" s="102">
        <f t="shared" si="356"/>
        <v>4241</v>
      </c>
      <c r="AD549" s="102">
        <f t="shared" si="356"/>
        <v>4474</v>
      </c>
      <c r="AE549" s="102"/>
      <c r="AF549" s="103"/>
      <c r="AG549" s="103"/>
      <c r="AH549" s="103"/>
      <c r="AI549" s="103"/>
      <c r="AJ549" s="103"/>
      <c r="AK549" s="103"/>
      <c r="AL549" s="103"/>
      <c r="AM549" s="103"/>
      <c r="AN549" s="103"/>
      <c r="AO549"/>
      <c r="AQ549" s="14"/>
    </row>
    <row r="550" spans="1:43" outlineLevel="1"/>
    <row r="551" spans="1:43" s="63" customFormat="1" outlineLevel="1">
      <c r="A551" s="199"/>
      <c r="B551" s="199"/>
      <c r="C551" s="142"/>
      <c r="E551" s="84" t="str">
        <f t="shared" ref="E551:E556" si="357">E544&amp;" - YoY Growth (%)"</f>
        <v>Data center systems - YoY Growth (%)</v>
      </c>
      <c r="U551" s="175">
        <f t="shared" ref="U551:AA551" si="358">U544/T544-1</f>
        <v>0</v>
      </c>
      <c r="V551" s="175">
        <f t="shared" si="358"/>
        <v>0.18571428571428572</v>
      </c>
      <c r="W551" s="175">
        <f t="shared" si="358"/>
        <v>3.0120481927710774E-2</v>
      </c>
      <c r="X551" s="175">
        <f t="shared" si="358"/>
        <v>-5.8479532163743242E-3</v>
      </c>
      <c r="Y551" s="175">
        <f t="shared" si="358"/>
        <v>6.4705882352941169E-2</v>
      </c>
      <c r="Z551" s="175">
        <f t="shared" si="358"/>
        <v>0.16022099447513805</v>
      </c>
      <c r="AA551" s="175">
        <f t="shared" si="358"/>
        <v>2.3809523809523725E-2</v>
      </c>
      <c r="AB551" s="175">
        <f>AB544/AA544-1</f>
        <v>-0.16744186046511633</v>
      </c>
      <c r="AC551" s="175">
        <f>AC544/AB544-1</f>
        <v>9.4972067039106101E-2</v>
      </c>
      <c r="AD551" s="175">
        <f>AD544/AC544-1</f>
        <v>5.6122448979591733E-2</v>
      </c>
      <c r="AF551" s="175">
        <f t="shared" ref="AF551:AF556" si="359">(AD544/AA544)^(1/3)-1</f>
        <v>-1.2560198877934137E-2</v>
      </c>
    </row>
    <row r="552" spans="1:43" s="63" customFormat="1" outlineLevel="1">
      <c r="A552" s="199"/>
      <c r="B552" s="199"/>
      <c r="C552" s="142"/>
      <c r="E552" s="84" t="str">
        <f t="shared" si="357"/>
        <v>Enterprise software - YoY Growth (%)</v>
      </c>
      <c r="U552" s="175">
        <f t="shared" ref="U552:AB552" si="360">U545/T545-1</f>
        <v>5.2631578947368363E-2</v>
      </c>
      <c r="V552" s="175">
        <f t="shared" si="360"/>
        <v>3.3333333333333437E-2</v>
      </c>
      <c r="W552" s="175">
        <f t="shared" si="360"/>
        <v>0</v>
      </c>
      <c r="X552" s="175">
        <f t="shared" si="360"/>
        <v>5.1612903225806361E-2</v>
      </c>
      <c r="Y552" s="175">
        <f t="shared" si="360"/>
        <v>0.13190184049079745</v>
      </c>
      <c r="Z552" s="175">
        <f t="shared" si="360"/>
        <v>0.13550135501355021</v>
      </c>
      <c r="AA552" s="175">
        <f t="shared" si="360"/>
        <v>0.13842482100238662</v>
      </c>
      <c r="AB552" s="175">
        <f t="shared" si="360"/>
        <v>0.1090146750524108</v>
      </c>
      <c r="AC552" s="175">
        <f t="shared" ref="AC552:AD556" si="361">AC545/AB545-1</f>
        <v>0.13610586011342152</v>
      </c>
      <c r="AD552" s="175">
        <f t="shared" si="361"/>
        <v>0.11480865224625614</v>
      </c>
      <c r="AF552" s="175">
        <f t="shared" si="359"/>
        <v>0.11991606496020046</v>
      </c>
    </row>
    <row r="553" spans="1:43" s="63" customFormat="1" outlineLevel="1">
      <c r="A553" s="199"/>
      <c r="B553" s="199"/>
      <c r="C553" s="142"/>
      <c r="E553" s="84" t="str">
        <f t="shared" si="357"/>
        <v>Devices - YoY Growth (%)</v>
      </c>
      <c r="U553" s="175">
        <f t="shared" ref="U553:AB553" si="362">U546/T546-1</f>
        <v>1.4792899408284654E-3</v>
      </c>
      <c r="V553" s="175">
        <f t="shared" si="362"/>
        <v>-4.1358936484490405E-2</v>
      </c>
      <c r="W553" s="175">
        <f t="shared" si="362"/>
        <v>-4.6224961479198745E-3</v>
      </c>
      <c r="X553" s="175">
        <f t="shared" si="362"/>
        <v>-2.4767801857585092E-2</v>
      </c>
      <c r="Y553" s="175">
        <f t="shared" si="362"/>
        <v>5.555555555555558E-2</v>
      </c>
      <c r="Z553" s="175">
        <f t="shared" si="362"/>
        <v>7.0676691729323338E-2</v>
      </c>
      <c r="AA553" s="175">
        <f t="shared" si="362"/>
        <v>0</v>
      </c>
      <c r="AB553" s="175">
        <f t="shared" si="362"/>
        <v>-2.1067415730337102E-2</v>
      </c>
      <c r="AC553" s="175">
        <f t="shared" si="361"/>
        <v>0.15064562410329985</v>
      </c>
      <c r="AD553" s="175">
        <f t="shared" si="361"/>
        <v>2.3690773067331694E-2</v>
      </c>
      <c r="AF553" s="175">
        <f t="shared" si="359"/>
        <v>4.8627045340683628E-2</v>
      </c>
    </row>
    <row r="554" spans="1:43" s="63" customFormat="1" outlineLevel="1">
      <c r="A554" s="199"/>
      <c r="B554" s="199"/>
      <c r="C554" s="142"/>
      <c r="E554" s="84" t="str">
        <f t="shared" si="357"/>
        <v>IT services - YoY Growth (%)</v>
      </c>
      <c r="U554" s="175">
        <f t="shared" ref="U554:AB554" si="363">U547/T547-1</f>
        <v>1.7660044150110465E-2</v>
      </c>
      <c r="V554" s="175">
        <f t="shared" si="363"/>
        <v>-2.7114967462039008E-2</v>
      </c>
      <c r="W554" s="175">
        <f t="shared" si="363"/>
        <v>-3.455964325529548E-2</v>
      </c>
      <c r="X554" s="175">
        <f t="shared" si="363"/>
        <v>3.2332563510392598E-2</v>
      </c>
      <c r="Y554" s="175">
        <f t="shared" si="363"/>
        <v>4.1387024608501077E-2</v>
      </c>
      <c r="Z554" s="175">
        <f t="shared" si="363"/>
        <v>6.6595059076262064E-2</v>
      </c>
      <c r="AA554" s="175">
        <f t="shared" si="363"/>
        <v>4.733131923464251E-2</v>
      </c>
      <c r="AB554" s="175">
        <f t="shared" si="363"/>
        <v>2.9807692307692202E-2</v>
      </c>
      <c r="AC554" s="175">
        <f t="shared" si="361"/>
        <v>0.11204481792717091</v>
      </c>
      <c r="AD554" s="175">
        <f t="shared" si="361"/>
        <v>8.6481947942905091E-2</v>
      </c>
      <c r="AF554" s="175">
        <f t="shared" si="359"/>
        <v>7.5557531377530518E-2</v>
      </c>
    </row>
    <row r="555" spans="1:43" s="63" customFormat="1" outlineLevel="1">
      <c r="A555" s="199"/>
      <c r="B555" s="199"/>
      <c r="C555" s="142"/>
      <c r="E555" s="84" t="str">
        <f t="shared" si="357"/>
        <v>Communication services - YoY Growth (%)</v>
      </c>
      <c r="U555" s="175">
        <f t="shared" ref="U555:AB556" si="364">U548/T548-1</f>
        <v>-1.0359536867763586E-2</v>
      </c>
      <c r="V555" s="175">
        <f t="shared" si="364"/>
        <v>-5.1108374384236432E-2</v>
      </c>
      <c r="W555" s="175">
        <f t="shared" si="364"/>
        <v>-9.6690460739779382E-2</v>
      </c>
      <c r="X555" s="175">
        <f t="shared" si="364"/>
        <v>-1.2931034482758674E-2</v>
      </c>
      <c r="Y555" s="175">
        <f t="shared" si="364"/>
        <v>1.3100436681222627E-2</v>
      </c>
      <c r="Z555" s="175">
        <f t="shared" si="364"/>
        <v>-8.6206896551723755E-3</v>
      </c>
      <c r="AA555" s="175">
        <f t="shared" si="364"/>
        <v>-5.0724637681159868E-3</v>
      </c>
      <c r="AB555" s="175">
        <f t="shared" si="364"/>
        <v>1.6751638747268816E-2</v>
      </c>
      <c r="AC555" s="175">
        <f t="shared" si="361"/>
        <v>3.9398280802292351E-2</v>
      </c>
      <c r="AD555" s="175">
        <f t="shared" si="361"/>
        <v>2.1364576154376369E-2</v>
      </c>
      <c r="AF555" s="175">
        <f t="shared" si="359"/>
        <v>2.5791797793768056E-2</v>
      </c>
    </row>
    <row r="556" spans="1:43" s="63" customFormat="1" outlineLevel="1">
      <c r="A556" s="199"/>
      <c r="B556" s="199"/>
      <c r="C556" s="142"/>
      <c r="E556" s="63" t="str">
        <f t="shared" si="357"/>
        <v>Worldwide IT Spending ($US bln) - YoY Growth (%)</v>
      </c>
      <c r="N556" s="175">
        <f t="shared" ref="N556:R556" si="365">N549/M549-1</f>
        <v>7.8549848942598199E-2</v>
      </c>
      <c r="O556" s="175">
        <f t="shared" si="365"/>
        <v>0.11239495798319332</v>
      </c>
      <c r="P556" s="175">
        <f t="shared" si="365"/>
        <v>6.7988668555240883E-2</v>
      </c>
      <c r="Q556" s="175">
        <f t="shared" si="365"/>
        <v>-4.862953138815207E-2</v>
      </c>
      <c r="R556" s="175">
        <f t="shared" si="365"/>
        <v>5.3903345724906959E-2</v>
      </c>
      <c r="S556" s="175">
        <f t="shared" ref="S556" si="366">S549/R549-1</f>
        <v>5.0264550264550234E-2</v>
      </c>
      <c r="T556" s="175">
        <f t="shared" ref="T556" si="367">T549/S549-1</f>
        <v>2.099076406381184E-2</v>
      </c>
      <c r="U556" s="175">
        <f t="shared" si="364"/>
        <v>4.1118421052630527E-3</v>
      </c>
      <c r="V556" s="175">
        <f t="shared" ref="V556:AB556" si="368">V549/U549-1</f>
        <v>-2.7300027300027341E-2</v>
      </c>
      <c r="W556" s="175">
        <f t="shared" si="368"/>
        <v>-4.9957900645523412E-2</v>
      </c>
      <c r="X556" s="175">
        <f t="shared" si="368"/>
        <v>2.6587887740030514E-3</v>
      </c>
      <c r="Y556" s="175">
        <f t="shared" si="368"/>
        <v>4.2427813789039481E-2</v>
      </c>
      <c r="Z556" s="175">
        <f t="shared" si="368"/>
        <v>4.9745618993781715E-2</v>
      </c>
      <c r="AA556" s="175">
        <f t="shared" si="368"/>
        <v>2.7732902530963832E-2</v>
      </c>
      <c r="AB556" s="175">
        <f t="shared" si="368"/>
        <v>1.4409221902017322E-2</v>
      </c>
      <c r="AC556" s="175">
        <f t="shared" si="361"/>
        <v>9.5299586776859568E-2</v>
      </c>
      <c r="AD556" s="175">
        <f t="shared" si="361"/>
        <v>5.4939872671539769E-2</v>
      </c>
      <c r="AF556" s="175">
        <f t="shared" si="359"/>
        <v>5.4365709714552679E-2</v>
      </c>
    </row>
    <row r="557" spans="1:43" outlineLevel="1"/>
    <row r="558" spans="1:43" outlineLevel="1">
      <c r="E558" s="70" t="s">
        <v>437</v>
      </c>
      <c r="H558" s="284"/>
      <c r="I558" s="284"/>
      <c r="J558" s="284"/>
      <c r="K558" s="284"/>
      <c r="L558" s="284"/>
      <c r="M558" s="284"/>
      <c r="N558" s="284"/>
      <c r="O558" s="284"/>
      <c r="P558" s="284"/>
      <c r="Q558" s="284"/>
      <c r="R558" s="284"/>
      <c r="S558" s="284"/>
      <c r="T558" s="284"/>
      <c r="U558" s="284"/>
      <c r="V558" s="284"/>
      <c r="W558" s="284">
        <v>39.200000000000003</v>
      </c>
      <c r="X558" s="284">
        <v>39.6</v>
      </c>
      <c r="Y558" s="284">
        <v>42.2</v>
      </c>
      <c r="Z558" s="284">
        <v>41.7</v>
      </c>
      <c r="AA558" s="284">
        <v>43.7</v>
      </c>
      <c r="AB558" s="284">
        <v>46.9</v>
      </c>
      <c r="AC558" s="299">
        <v>50.2</v>
      </c>
      <c r="AD558" s="299">
        <v>53.8</v>
      </c>
    </row>
    <row r="559" spans="1:43" outlineLevel="1">
      <c r="E559" s="70" t="s">
        <v>436</v>
      </c>
      <c r="H559" s="284"/>
      <c r="I559" s="284"/>
      <c r="J559" s="284"/>
      <c r="K559" s="284"/>
      <c r="L559" s="284"/>
      <c r="M559" s="284"/>
      <c r="N559" s="284"/>
      <c r="O559" s="284"/>
      <c r="P559" s="284"/>
      <c r="Q559" s="284"/>
      <c r="R559" s="284"/>
      <c r="S559" s="284"/>
      <c r="T559" s="284"/>
      <c r="U559" s="284"/>
      <c r="V559" s="284"/>
      <c r="W559" s="284">
        <v>3.8</v>
      </c>
      <c r="X559" s="284">
        <v>9</v>
      </c>
      <c r="Y559" s="284">
        <v>11.9</v>
      </c>
      <c r="Z559" s="284">
        <v>26.4</v>
      </c>
      <c r="AA559" s="284">
        <v>32.200000000000003</v>
      </c>
      <c r="AB559" s="284">
        <v>39.700000000000003</v>
      </c>
      <c r="AC559" s="299">
        <v>48.3</v>
      </c>
      <c r="AD559" s="300">
        <v>58</v>
      </c>
    </row>
    <row r="560" spans="1:43" outlineLevel="1">
      <c r="E560" s="70" t="s">
        <v>438</v>
      </c>
      <c r="H560" s="284"/>
      <c r="I560" s="284"/>
      <c r="J560" s="284"/>
      <c r="K560" s="284"/>
      <c r="L560" s="284"/>
      <c r="M560" s="284"/>
      <c r="N560" s="284"/>
      <c r="O560" s="284"/>
      <c r="P560" s="284"/>
      <c r="Q560" s="284"/>
      <c r="R560" s="284"/>
      <c r="S560" s="284"/>
      <c r="T560" s="284"/>
      <c r="U560" s="284"/>
      <c r="V560" s="284"/>
      <c r="W560" s="284">
        <v>31.4</v>
      </c>
      <c r="X560" s="284">
        <v>48.2</v>
      </c>
      <c r="Y560" s="284">
        <v>58.8</v>
      </c>
      <c r="Z560" s="284">
        <v>85.7</v>
      </c>
      <c r="AA560" s="284">
        <v>99.5</v>
      </c>
      <c r="AB560" s="284">
        <v>116</v>
      </c>
      <c r="AC560" s="299">
        <v>133</v>
      </c>
      <c r="AD560" s="299">
        <v>151.1</v>
      </c>
    </row>
    <row r="561" spans="1:41" outlineLevel="1">
      <c r="E561" s="70" t="s">
        <v>439</v>
      </c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>
        <v>5</v>
      </c>
      <c r="X561" s="284">
        <v>7.1</v>
      </c>
      <c r="Y561" s="284">
        <v>8.6999999999999993</v>
      </c>
      <c r="Z561" s="284">
        <v>10.5</v>
      </c>
      <c r="AA561" s="284">
        <v>12</v>
      </c>
      <c r="AB561" s="284">
        <v>13.8</v>
      </c>
      <c r="AC561" s="299">
        <v>15.7</v>
      </c>
      <c r="AD561" s="299">
        <v>17.600000000000001</v>
      </c>
    </row>
    <row r="562" spans="1:41" outlineLevel="1">
      <c r="E562" s="70" t="s">
        <v>440</v>
      </c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>
        <v>16.2</v>
      </c>
      <c r="X562" s="284">
        <v>25.4</v>
      </c>
      <c r="Y562" s="284">
        <v>23.6</v>
      </c>
      <c r="Z562" s="284">
        <v>32.4</v>
      </c>
      <c r="AA562" s="284">
        <v>40.299999999999997</v>
      </c>
      <c r="AB562" s="284">
        <v>50</v>
      </c>
      <c r="AC562" s="299">
        <v>61.3</v>
      </c>
      <c r="AD562" s="299">
        <v>74.099999999999994</v>
      </c>
    </row>
    <row r="563" spans="1:41" s="3" customFormat="1" outlineLevel="1">
      <c r="A563" s="110"/>
      <c r="B563" s="110"/>
      <c r="C563" s="143"/>
      <c r="E563" s="150" t="s">
        <v>442</v>
      </c>
      <c r="F563" s="2"/>
      <c r="G563" s="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>
        <f t="shared" ref="W563:AC563" si="369">SUM(W558:W562)</f>
        <v>95.600000000000009</v>
      </c>
      <c r="X563" s="102">
        <f t="shared" si="369"/>
        <v>129.30000000000001</v>
      </c>
      <c r="Y563" s="102">
        <f t="shared" si="369"/>
        <v>145.20000000000002</v>
      </c>
      <c r="Z563" s="102">
        <f t="shared" si="369"/>
        <v>196.70000000000002</v>
      </c>
      <c r="AA563" s="102">
        <f t="shared" si="369"/>
        <v>227.7</v>
      </c>
      <c r="AB563" s="102">
        <f t="shared" si="369"/>
        <v>266.39999999999998</v>
      </c>
      <c r="AC563" s="102">
        <f t="shared" si="369"/>
        <v>308.5</v>
      </c>
      <c r="AD563" s="102">
        <f>SUM(AD558:AD562)</f>
        <v>354.6</v>
      </c>
      <c r="AE563" s="102"/>
      <c r="AF563" s="103"/>
      <c r="AG563" s="103"/>
      <c r="AH563" s="103"/>
      <c r="AI563" s="103"/>
      <c r="AJ563" s="103"/>
      <c r="AK563" s="103"/>
      <c r="AL563" s="103"/>
      <c r="AM563" s="103"/>
      <c r="AN563" s="103"/>
      <c r="AO563"/>
    </row>
    <row r="564" spans="1:41" outlineLevel="1"/>
    <row r="565" spans="1:41" outlineLevel="1">
      <c r="E565" s="70" t="str">
        <f t="shared" ref="E565:E570" si="370">E558&amp;" - YoY Growth (%)"</f>
        <v>Cloud Business Process Services (BPaaS) - YoY Growth (%)</v>
      </c>
      <c r="X565" s="175">
        <f t="shared" ref="X565:AD565" si="371">X558/W558-1</f>
        <v>1.0204081632652962E-2</v>
      </c>
      <c r="Y565" s="175">
        <f t="shared" si="371"/>
        <v>6.5656565656565746E-2</v>
      </c>
      <c r="Z565" s="175">
        <f t="shared" si="371"/>
        <v>-1.1848341232227444E-2</v>
      </c>
      <c r="AA565" s="175">
        <f t="shared" si="371"/>
        <v>4.7961630695443569E-2</v>
      </c>
      <c r="AB565" s="175">
        <f t="shared" si="371"/>
        <v>7.3226544622425616E-2</v>
      </c>
      <c r="AC565" s="175">
        <f t="shared" si="371"/>
        <v>7.0362473347548082E-2</v>
      </c>
      <c r="AD565" s="175">
        <f t="shared" si="371"/>
        <v>7.1713147410358502E-2</v>
      </c>
    </row>
    <row r="566" spans="1:41" outlineLevel="1">
      <c r="E566" s="70" t="str">
        <f t="shared" si="370"/>
        <v>Cloud Application Infrastructure Services (PaaS) - YoY Growth (%)</v>
      </c>
      <c r="X566" s="175">
        <f t="shared" ref="X566:AD566" si="372">X559/W559-1</f>
        <v>1.3684210526315792</v>
      </c>
      <c r="Y566" s="175">
        <f t="shared" si="372"/>
        <v>0.32222222222222219</v>
      </c>
      <c r="Z566" s="175">
        <f t="shared" si="372"/>
        <v>1.2184873949579829</v>
      </c>
      <c r="AA566" s="175">
        <f t="shared" si="372"/>
        <v>0.21969696969696995</v>
      </c>
      <c r="AB566" s="175">
        <f t="shared" si="372"/>
        <v>0.23291925465838514</v>
      </c>
      <c r="AC566" s="175">
        <f t="shared" si="372"/>
        <v>0.21662468513853894</v>
      </c>
      <c r="AD566" s="175">
        <f t="shared" si="372"/>
        <v>0.20082815734989645</v>
      </c>
    </row>
    <row r="567" spans="1:41" outlineLevel="1">
      <c r="E567" s="70" t="str">
        <f t="shared" si="370"/>
        <v>Cloud Application Services (SaaS) - YoY Growth (%)</v>
      </c>
      <c r="X567" s="175">
        <f t="shared" ref="X567:AD567" si="373">X560/W560-1</f>
        <v>0.53503184713375807</v>
      </c>
      <c r="Y567" s="175">
        <f t="shared" si="373"/>
        <v>0.21991701244813266</v>
      </c>
      <c r="Z567" s="175">
        <f t="shared" si="373"/>
        <v>0.45748299319727903</v>
      </c>
      <c r="AA567" s="175">
        <f t="shared" si="373"/>
        <v>0.16102683780630112</v>
      </c>
      <c r="AB567" s="175">
        <f t="shared" si="373"/>
        <v>0.16582914572864316</v>
      </c>
      <c r="AC567" s="175">
        <f t="shared" si="373"/>
        <v>0.14655172413793105</v>
      </c>
      <c r="AD567" s="175">
        <f t="shared" si="373"/>
        <v>0.13609022556390982</v>
      </c>
    </row>
    <row r="568" spans="1:41" outlineLevel="1">
      <c r="E568" s="70" t="str">
        <f t="shared" si="370"/>
        <v>Cloud Management and Security Services - YoY Growth (%)</v>
      </c>
      <c r="X568" s="175">
        <f t="shared" ref="X568:AD568" si="374">X561/W561-1</f>
        <v>0.41999999999999993</v>
      </c>
      <c r="Y568" s="175">
        <f t="shared" si="374"/>
        <v>0.22535211267605626</v>
      </c>
      <c r="Z568" s="175">
        <f t="shared" si="374"/>
        <v>0.20689655172413812</v>
      </c>
      <c r="AA568" s="175">
        <f t="shared" si="374"/>
        <v>0.14285714285714279</v>
      </c>
      <c r="AB568" s="175">
        <f t="shared" si="374"/>
        <v>0.15000000000000013</v>
      </c>
      <c r="AC568" s="175">
        <f t="shared" si="374"/>
        <v>0.1376811594202898</v>
      </c>
      <c r="AD568" s="175">
        <f t="shared" si="374"/>
        <v>0.12101910828025497</v>
      </c>
    </row>
    <row r="569" spans="1:41" outlineLevel="1">
      <c r="E569" s="70" t="str">
        <f t="shared" si="370"/>
        <v>Cloud System Infrastructure Services (IaaS) - YoY Growth (%)</v>
      </c>
      <c r="X569" s="175">
        <f t="shared" ref="X569:AD569" si="375">X562/W562-1</f>
        <v>0.56790123456790131</v>
      </c>
      <c r="Y569" s="175">
        <f t="shared" si="375"/>
        <v>-7.0866141732283339E-2</v>
      </c>
      <c r="Z569" s="175">
        <f t="shared" si="375"/>
        <v>0.37288135593220328</v>
      </c>
      <c r="AA569" s="175">
        <f t="shared" si="375"/>
        <v>0.24382716049382713</v>
      </c>
      <c r="AB569" s="175">
        <f t="shared" si="375"/>
        <v>0.24069478908188602</v>
      </c>
      <c r="AC569" s="175">
        <f t="shared" si="375"/>
        <v>0.22599999999999998</v>
      </c>
      <c r="AD569" s="175">
        <f t="shared" si="375"/>
        <v>0.20880913539967372</v>
      </c>
    </row>
    <row r="570" spans="1:41" outlineLevel="1">
      <c r="E570" t="str">
        <f t="shared" si="370"/>
        <v>Worldwide Public Cloud Revenue ($US bln) - YoY Growth (%)</v>
      </c>
      <c r="X570" s="175">
        <f t="shared" ref="X570:AD570" si="376">X563/W563-1</f>
        <v>0.35251046025104604</v>
      </c>
      <c r="Y570" s="175">
        <f t="shared" si="376"/>
        <v>0.12296983758700697</v>
      </c>
      <c r="Z570" s="175">
        <f t="shared" si="376"/>
        <v>0.35468319559228645</v>
      </c>
      <c r="AA570" s="175">
        <f t="shared" si="376"/>
        <v>0.15760040671072684</v>
      </c>
      <c r="AB570" s="175">
        <f t="shared" si="376"/>
        <v>0.1699604743083003</v>
      </c>
      <c r="AC570" s="175">
        <f t="shared" si="376"/>
        <v>0.15803303303303307</v>
      </c>
      <c r="AD570" s="175">
        <f t="shared" si="376"/>
        <v>0.14943273905996768</v>
      </c>
    </row>
    <row r="572" spans="1:41">
      <c r="D572" s="104"/>
      <c r="E572" s="105" t="s">
        <v>224</v>
      </c>
      <c r="F572" s="104"/>
      <c r="G572" s="105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  <c r="Z572" s="104"/>
      <c r="AA572" s="104"/>
      <c r="AB572" s="104"/>
      <c r="AC572" s="104"/>
      <c r="AD572" s="104"/>
      <c r="AE572" s="104"/>
      <c r="AF572" s="104"/>
      <c r="AG572" s="104"/>
      <c r="AH572" s="104"/>
      <c r="AI572" s="104"/>
      <c r="AJ572" s="104"/>
      <c r="AK572" s="104"/>
      <c r="AL572" s="104"/>
      <c r="AM572" s="104"/>
      <c r="AN572" s="104"/>
    </row>
    <row r="573" spans="1:41" s="36" customFormat="1" ht="5.0999999999999996" hidden="1" customHeight="1" outlineLevel="1">
      <c r="A573" s="301"/>
      <c r="B573" s="301"/>
      <c r="E573" s="143"/>
      <c r="G573" s="143"/>
    </row>
    <row r="574" spans="1:41" hidden="1" outlineLevel="1">
      <c r="E574" t="s">
        <v>518</v>
      </c>
      <c r="H574" s="260"/>
      <c r="I574" s="260"/>
      <c r="J574" s="260"/>
      <c r="K574" s="260"/>
      <c r="L574" s="260"/>
      <c r="M574" s="260"/>
      <c r="N574" s="260"/>
      <c r="O574" s="260"/>
      <c r="P574" s="260"/>
      <c r="Q574" s="260"/>
      <c r="R574" s="260"/>
      <c r="S574" s="260">
        <v>412.09899999999999</v>
      </c>
      <c r="T574" s="260">
        <v>418.62900000000002</v>
      </c>
      <c r="U574" s="260">
        <v>420.72800000000001</v>
      </c>
      <c r="V574" s="260">
        <v>424.64600000000002</v>
      </c>
      <c r="W574" s="260">
        <v>423.73</v>
      </c>
      <c r="X574" s="260">
        <v>423.834</v>
      </c>
      <c r="Y574" s="260">
        <v>429.21899999999999</v>
      </c>
      <c r="Z574" s="260">
        <v>433.55099999999999</v>
      </c>
      <c r="AA574" s="260">
        <v>440.84199999999998</v>
      </c>
      <c r="AB574" s="260">
        <v>449.57799999999997</v>
      </c>
      <c r="AC574" s="260">
        <v>457.20299999999997</v>
      </c>
    </row>
    <row r="575" spans="1:41" s="63" customFormat="1" hidden="1" outlineLevel="1">
      <c r="A575" s="199"/>
      <c r="B575" s="199"/>
      <c r="C575" s="142"/>
      <c r="E575" s="84" t="s">
        <v>469</v>
      </c>
      <c r="S575" s="175"/>
      <c r="T575" s="175">
        <f t="shared" ref="T575:AC575" si="377">T574/S574-1</f>
        <v>1.5845706978177665E-2</v>
      </c>
      <c r="U575" s="175">
        <f t="shared" si="377"/>
        <v>5.0139861309177469E-3</v>
      </c>
      <c r="V575" s="175">
        <f t="shared" si="377"/>
        <v>9.3124298834401653E-3</v>
      </c>
      <c r="W575" s="175">
        <f t="shared" si="377"/>
        <v>-2.1570908474353168E-3</v>
      </c>
      <c r="X575" s="175">
        <f t="shared" si="377"/>
        <v>2.4543931276999054E-4</v>
      </c>
      <c r="Y575" s="175">
        <f t="shared" si="377"/>
        <v>1.270544600008483E-2</v>
      </c>
      <c r="Z575" s="175">
        <f t="shared" si="377"/>
        <v>1.0092749854969219E-2</v>
      </c>
      <c r="AA575" s="175">
        <f t="shared" si="377"/>
        <v>1.6816937338398397E-2</v>
      </c>
      <c r="AB575" s="175">
        <f t="shared" si="377"/>
        <v>1.9816623642937792E-2</v>
      </c>
      <c r="AC575" s="175">
        <f t="shared" si="377"/>
        <v>1.696034948329328E-2</v>
      </c>
    </row>
    <row r="576" spans="1:41" hidden="1" outlineLevel="1"/>
    <row r="577" spans="1:41" hidden="1" outlineLevel="2">
      <c r="E577" s="70" t="s">
        <v>516</v>
      </c>
      <c r="H577" s="225"/>
      <c r="I577" s="225"/>
      <c r="J577" s="225"/>
      <c r="K577" s="225"/>
      <c r="L577" s="225"/>
      <c r="M577" s="225">
        <v>100492</v>
      </c>
      <c r="N577" s="225">
        <v>101925</v>
      </c>
      <c r="O577" s="225">
        <v>105527</v>
      </c>
      <c r="P577" s="225">
        <v>106716</v>
      </c>
      <c r="Q577" s="225">
        <v>104849</v>
      </c>
      <c r="R577" s="225">
        <v>106105</v>
      </c>
      <c r="S577" s="225">
        <v>107437</v>
      </c>
      <c r="T577" s="225">
        <v>111881</v>
      </c>
      <c r="U577" s="225">
        <v>112835</v>
      </c>
      <c r="V577" s="225">
        <v>114113</v>
      </c>
      <c r="W577" s="225">
        <v>115944</v>
      </c>
      <c r="X577" s="225">
        <v>117133</v>
      </c>
      <c r="Y577" s="225">
        <v>116596</v>
      </c>
      <c r="Z577" s="225">
        <v>116524</v>
      </c>
    </row>
    <row r="578" spans="1:41" hidden="1" outlineLevel="2">
      <c r="E578" s="70" t="s">
        <v>515</v>
      </c>
      <c r="H578" s="225"/>
      <c r="I578" s="225"/>
      <c r="J578" s="225"/>
      <c r="K578" s="225"/>
      <c r="L578" s="225"/>
      <c r="M578" s="225">
        <v>7835</v>
      </c>
      <c r="N578" s="225">
        <v>8402</v>
      </c>
      <c r="O578" s="225">
        <v>8604</v>
      </c>
      <c r="P578" s="225">
        <v>8447</v>
      </c>
      <c r="Q578" s="225">
        <v>8387</v>
      </c>
      <c r="R578" s="225">
        <v>8253</v>
      </c>
      <c r="S578" s="225">
        <v>8401</v>
      </c>
      <c r="T578" s="225">
        <v>8762</v>
      </c>
      <c r="U578" s="225">
        <v>9022</v>
      </c>
      <c r="V578" s="225">
        <v>9217</v>
      </c>
      <c r="W578" s="225">
        <v>9485</v>
      </c>
      <c r="X578" s="225">
        <v>9678</v>
      </c>
      <c r="Y578" s="225">
        <v>9613</v>
      </c>
      <c r="Z578" s="225">
        <v>9538</v>
      </c>
    </row>
    <row r="579" spans="1:41" hidden="1" outlineLevel="2">
      <c r="E579" s="70" t="s">
        <v>514</v>
      </c>
      <c r="H579" s="225"/>
      <c r="I579" s="225"/>
      <c r="J579" s="225"/>
      <c r="K579" s="225"/>
      <c r="L579" s="225"/>
      <c r="M579" s="225">
        <v>3179</v>
      </c>
      <c r="N579" s="225">
        <v>3308</v>
      </c>
      <c r="O579" s="225">
        <v>3549</v>
      </c>
      <c r="P579" s="225">
        <v>3291</v>
      </c>
      <c r="Q579" s="225">
        <v>3336</v>
      </c>
      <c r="R579" s="225">
        <v>3134</v>
      </c>
      <c r="S579" s="225">
        <v>3289</v>
      </c>
      <c r="T579" s="225">
        <v>3445</v>
      </c>
      <c r="U579" s="225">
        <v>3406</v>
      </c>
      <c r="V579" s="225">
        <v>3592</v>
      </c>
      <c r="W579" s="225">
        <v>3794</v>
      </c>
      <c r="X579" s="225">
        <v>4037</v>
      </c>
      <c r="Y579" s="225">
        <v>3779</v>
      </c>
      <c r="Z579" s="225">
        <v>3718</v>
      </c>
    </row>
    <row r="580" spans="1:41" hidden="1" outlineLevel="2">
      <c r="E580" s="70" t="s">
        <v>513</v>
      </c>
      <c r="H580" s="225"/>
      <c r="I580" s="225"/>
      <c r="J580" s="225"/>
      <c r="K580" s="225"/>
      <c r="L580" s="225"/>
      <c r="M580" s="225">
        <v>10675</v>
      </c>
      <c r="N580" s="225">
        <v>11228</v>
      </c>
      <c r="O580" s="225">
        <v>12359</v>
      </c>
      <c r="P580" s="225">
        <v>13396</v>
      </c>
      <c r="Q580" s="225">
        <v>15878</v>
      </c>
      <c r="R580" s="225">
        <v>19222</v>
      </c>
      <c r="S580" s="225">
        <v>18377</v>
      </c>
      <c r="T580" s="225">
        <v>16738</v>
      </c>
      <c r="U580" s="225">
        <v>17790</v>
      </c>
      <c r="V580" s="225">
        <v>19198</v>
      </c>
      <c r="W580" s="225">
        <v>19857</v>
      </c>
      <c r="X580" s="225">
        <v>21296</v>
      </c>
      <c r="Y580" s="225">
        <v>23347</v>
      </c>
      <c r="Z580" s="225">
        <v>20046</v>
      </c>
    </row>
    <row r="581" spans="1:41" s="3" customFormat="1" hidden="1" outlineLevel="1" collapsed="1">
      <c r="A581" s="110"/>
      <c r="B581" s="110"/>
      <c r="C581" s="143"/>
      <c r="E581" s="150" t="s">
        <v>522</v>
      </c>
      <c r="F581" s="2"/>
      <c r="G581" s="2" t="s">
        <v>525</v>
      </c>
      <c r="H581" s="102">
        <f t="shared" ref="H581:Y581" si="378">SUM(H577:H580)</f>
        <v>0</v>
      </c>
      <c r="I581" s="102">
        <f t="shared" si="378"/>
        <v>0</v>
      </c>
      <c r="J581" s="102">
        <f t="shared" si="378"/>
        <v>0</v>
      </c>
      <c r="K581" s="102">
        <f t="shared" si="378"/>
        <v>0</v>
      </c>
      <c r="L581" s="102">
        <f t="shared" si="378"/>
        <v>0</v>
      </c>
      <c r="M581" s="102">
        <f t="shared" si="378"/>
        <v>122181</v>
      </c>
      <c r="N581" s="102">
        <f t="shared" si="378"/>
        <v>124863</v>
      </c>
      <c r="O581" s="102">
        <f t="shared" si="378"/>
        <v>130039</v>
      </c>
      <c r="P581" s="102">
        <f t="shared" si="378"/>
        <v>131850</v>
      </c>
      <c r="Q581" s="102">
        <f t="shared" si="378"/>
        <v>132450</v>
      </c>
      <c r="R581" s="102">
        <f t="shared" si="378"/>
        <v>136714</v>
      </c>
      <c r="S581" s="102">
        <f t="shared" si="378"/>
        <v>137504</v>
      </c>
      <c r="T581" s="102">
        <f t="shared" si="378"/>
        <v>140826</v>
      </c>
      <c r="U581" s="102">
        <f t="shared" si="378"/>
        <v>143053</v>
      </c>
      <c r="V581" s="102">
        <f t="shared" si="378"/>
        <v>146120</v>
      </c>
      <c r="W581" s="102">
        <f t="shared" si="378"/>
        <v>149080</v>
      </c>
      <c r="X581" s="102">
        <f t="shared" si="378"/>
        <v>152144</v>
      </c>
      <c r="Y581" s="102">
        <f t="shared" si="378"/>
        <v>153335</v>
      </c>
      <c r="Z581" s="102">
        <f>SUM(Z577:Z580)</f>
        <v>149826</v>
      </c>
      <c r="AA581" s="102"/>
      <c r="AB581" s="102"/>
      <c r="AC581" s="102"/>
      <c r="AD581" s="102"/>
      <c r="AE581" s="102"/>
      <c r="AF581" s="103"/>
      <c r="AG581" s="103"/>
      <c r="AH581" s="103"/>
      <c r="AI581" s="103"/>
      <c r="AJ581" s="103"/>
      <c r="AK581" s="103"/>
      <c r="AL581" s="103"/>
      <c r="AM581" s="103"/>
      <c r="AN581" s="103"/>
      <c r="AO581"/>
    </row>
    <row r="582" spans="1:41" s="63" customFormat="1" hidden="1" outlineLevel="2">
      <c r="A582" s="199"/>
      <c r="B582" s="199"/>
      <c r="C582" s="142"/>
      <c r="E582" s="84" t="s">
        <v>517</v>
      </c>
      <c r="H582" s="175"/>
      <c r="I582" s="175"/>
      <c r="J582" s="175"/>
      <c r="K582" s="175"/>
      <c r="L582" s="175"/>
      <c r="M582" s="175"/>
      <c r="N582" s="175">
        <f t="shared" ref="N582:Z582" si="379">N581/M581-1</f>
        <v>2.1951039850713228E-2</v>
      </c>
      <c r="O582" s="175">
        <f t="shared" si="379"/>
        <v>4.1453432962526904E-2</v>
      </c>
      <c r="P582" s="175">
        <f t="shared" si="379"/>
        <v>1.3926591253393239E-2</v>
      </c>
      <c r="Q582" s="175">
        <f t="shared" si="379"/>
        <v>4.550625711035261E-3</v>
      </c>
      <c r="R582" s="175">
        <f t="shared" si="379"/>
        <v>3.2193280483201248E-2</v>
      </c>
      <c r="S582" s="175">
        <f t="shared" si="379"/>
        <v>5.7784864754157894E-3</v>
      </c>
      <c r="T582" s="175">
        <f t="shared" si="379"/>
        <v>2.4159297184081829E-2</v>
      </c>
      <c r="U582" s="175">
        <f t="shared" si="379"/>
        <v>1.5813841194097789E-2</v>
      </c>
      <c r="V582" s="175">
        <f t="shared" si="379"/>
        <v>2.1439606299763048E-2</v>
      </c>
      <c r="W582" s="175">
        <f t="shared" si="379"/>
        <v>2.0257322748425954E-2</v>
      </c>
      <c r="X582" s="175">
        <f t="shared" si="379"/>
        <v>2.055272337000269E-2</v>
      </c>
      <c r="Y582" s="175">
        <f t="shared" si="379"/>
        <v>7.8281102113786361E-3</v>
      </c>
      <c r="Z582" s="175">
        <f t="shared" si="379"/>
        <v>-2.2884533863762324E-2</v>
      </c>
    </row>
    <row r="583" spans="1:41" s="63" customFormat="1" hidden="1" outlineLevel="2">
      <c r="A583" s="199"/>
      <c r="B583" s="199"/>
      <c r="C583" s="142"/>
      <c r="E583" s="80" t="str">
        <f>E577&amp;" (%)"</f>
        <v>&lt;20 Employees (%)</v>
      </c>
      <c r="H583" s="175"/>
      <c r="I583" s="175"/>
      <c r="J583" s="175"/>
      <c r="K583" s="175"/>
      <c r="L583" s="175"/>
      <c r="M583" s="175">
        <f t="shared" ref="M583:Z583" si="380">M577/M$581</f>
        <v>0.82248467437653972</v>
      </c>
      <c r="N583" s="175">
        <f t="shared" si="380"/>
        <v>0.81629465894620501</v>
      </c>
      <c r="O583" s="175">
        <f t="shared" si="380"/>
        <v>0.8115027030352433</v>
      </c>
      <c r="P583" s="175">
        <f t="shared" si="380"/>
        <v>0.80937428896473262</v>
      </c>
      <c r="Q583" s="175">
        <f t="shared" si="380"/>
        <v>0.79161192902982258</v>
      </c>
      <c r="R583" s="175">
        <f t="shared" si="380"/>
        <v>0.77610924996708452</v>
      </c>
      <c r="S583" s="175">
        <f t="shared" si="380"/>
        <v>0.78133727018850363</v>
      </c>
      <c r="T583" s="175">
        <f t="shared" si="380"/>
        <v>0.79446267024555128</v>
      </c>
      <c r="U583" s="175">
        <f t="shared" si="380"/>
        <v>0.7887636050974115</v>
      </c>
      <c r="V583" s="175">
        <f t="shared" si="380"/>
        <v>0.78095401040240897</v>
      </c>
      <c r="W583" s="175">
        <f t="shared" si="380"/>
        <v>0.77773007781057146</v>
      </c>
      <c r="X583" s="175">
        <f t="shared" si="380"/>
        <v>0.76988247975602064</v>
      </c>
      <c r="Y583" s="175">
        <f t="shared" si="380"/>
        <v>0.76040043043010397</v>
      </c>
      <c r="Z583" s="175">
        <f t="shared" si="380"/>
        <v>0.77772883211191646</v>
      </c>
    </row>
    <row r="584" spans="1:41" s="63" customFormat="1" hidden="1" outlineLevel="2">
      <c r="A584" s="199"/>
      <c r="B584" s="199"/>
      <c r="C584" s="142"/>
      <c r="E584" s="80" t="str">
        <f>E578&amp;" (%)"</f>
        <v>20-99 Employees (%)</v>
      </c>
      <c r="H584" s="175"/>
      <c r="I584" s="175"/>
      <c r="J584" s="175"/>
      <c r="K584" s="175"/>
      <c r="L584" s="175"/>
      <c r="M584" s="175">
        <f t="shared" ref="M584:Z584" si="381">M578/M$581</f>
        <v>6.4126173463959213E-2</v>
      </c>
      <c r="N584" s="175">
        <f t="shared" si="381"/>
        <v>6.7289749565523818E-2</v>
      </c>
      <c r="O584" s="175">
        <f t="shared" si="381"/>
        <v>6.6164765954828939E-2</v>
      </c>
      <c r="P584" s="175">
        <f t="shared" si="381"/>
        <v>6.40652256351915E-2</v>
      </c>
      <c r="Q584" s="175">
        <f t="shared" si="381"/>
        <v>6.3322008305020758E-2</v>
      </c>
      <c r="R584" s="175">
        <f t="shared" si="381"/>
        <v>6.0366897318489696E-2</v>
      </c>
      <c r="S584" s="175">
        <f t="shared" si="381"/>
        <v>6.1096404468233653E-2</v>
      </c>
      <c r="T584" s="175">
        <f t="shared" si="381"/>
        <v>6.2218624401743999E-2</v>
      </c>
      <c r="U584" s="175">
        <f t="shared" si="381"/>
        <v>6.306753441032345E-2</v>
      </c>
      <c r="V584" s="175">
        <f t="shared" si="381"/>
        <v>6.3078291814946619E-2</v>
      </c>
      <c r="W584" s="175">
        <f t="shared" si="381"/>
        <v>6.3623557821303994E-2</v>
      </c>
      <c r="X584" s="175">
        <f t="shared" si="381"/>
        <v>6.3610789778104956E-2</v>
      </c>
      <c r="Y584" s="175">
        <f t="shared" si="381"/>
        <v>6.26927968174259E-2</v>
      </c>
      <c r="Z584" s="175">
        <f t="shared" si="381"/>
        <v>6.366051286158611E-2</v>
      </c>
    </row>
    <row r="585" spans="1:41" s="63" customFormat="1" hidden="1" outlineLevel="2">
      <c r="A585" s="199"/>
      <c r="B585" s="199"/>
      <c r="C585" s="142"/>
      <c r="E585" s="80" t="str">
        <f>E579&amp;" (%)"</f>
        <v>100-499 Employees (%)</v>
      </c>
      <c r="H585" s="175"/>
      <c r="I585" s="175"/>
      <c r="J585" s="175"/>
      <c r="K585" s="175"/>
      <c r="L585" s="175"/>
      <c r="M585" s="175">
        <f t="shared" ref="M585:Z585" si="382">M579/M$581</f>
        <v>2.601877542334733E-2</v>
      </c>
      <c r="N585" s="175">
        <f t="shared" si="382"/>
        <v>2.6493036367859175E-2</v>
      </c>
      <c r="O585" s="175">
        <f t="shared" si="382"/>
        <v>2.729181245626312E-2</v>
      </c>
      <c r="P585" s="175">
        <f t="shared" si="382"/>
        <v>2.4960182025028442E-2</v>
      </c>
      <c r="Q585" s="175">
        <f t="shared" si="382"/>
        <v>2.5186862967157417E-2</v>
      </c>
      <c r="R585" s="175">
        <f t="shared" si="382"/>
        <v>2.2923767865763566E-2</v>
      </c>
      <c r="S585" s="175">
        <f t="shared" si="382"/>
        <v>2.3919304165696997E-2</v>
      </c>
      <c r="T585" s="175">
        <f t="shared" si="382"/>
        <v>2.4462812264780653E-2</v>
      </c>
      <c r="U585" s="175">
        <f t="shared" si="382"/>
        <v>2.3809357371044299E-2</v>
      </c>
      <c r="V585" s="175">
        <f t="shared" si="382"/>
        <v>2.45825349028196E-2</v>
      </c>
      <c r="W585" s="175">
        <f t="shared" si="382"/>
        <v>2.5449423128521598E-2</v>
      </c>
      <c r="X585" s="175">
        <f t="shared" si="382"/>
        <v>2.6534072983489327E-2</v>
      </c>
      <c r="Y585" s="175">
        <f t="shared" si="382"/>
        <v>2.4645384289301204E-2</v>
      </c>
      <c r="Z585" s="175">
        <f t="shared" si="382"/>
        <v>2.4815452591673007E-2</v>
      </c>
    </row>
    <row r="586" spans="1:41" s="63" customFormat="1" hidden="1" outlineLevel="2">
      <c r="A586" s="199"/>
      <c r="B586" s="199"/>
      <c r="C586" s="142"/>
      <c r="E586" s="80" t="str">
        <f>E580&amp;" (%)"</f>
        <v>500+ Employees (%)</v>
      </c>
      <c r="H586" s="175"/>
      <c r="I586" s="175"/>
      <c r="J586" s="175"/>
      <c r="K586" s="175"/>
      <c r="L586" s="175"/>
      <c r="M586" s="175">
        <f t="shared" ref="M586:Z586" si="383">M580/M$581</f>
        <v>8.7370376736153735E-2</v>
      </c>
      <c r="N586" s="175">
        <f t="shared" si="383"/>
        <v>8.9922555120411973E-2</v>
      </c>
      <c r="O586" s="175">
        <f t="shared" si="383"/>
        <v>9.5040718553664666E-2</v>
      </c>
      <c r="P586" s="175">
        <f t="shared" si="383"/>
        <v>0.1016003033750474</v>
      </c>
      <c r="Q586" s="175">
        <f t="shared" si="383"/>
        <v>0.11987919969799925</v>
      </c>
      <c r="R586" s="175">
        <f t="shared" si="383"/>
        <v>0.14060008484866218</v>
      </c>
      <c r="S586" s="175">
        <f t="shared" si="383"/>
        <v>0.13364702117756574</v>
      </c>
      <c r="T586" s="175">
        <f t="shared" si="383"/>
        <v>0.1188558930879241</v>
      </c>
      <c r="U586" s="175">
        <f t="shared" si="383"/>
        <v>0.12435950312122081</v>
      </c>
      <c r="V586" s="175">
        <f t="shared" si="383"/>
        <v>0.1313851628798248</v>
      </c>
      <c r="W586" s="175">
        <f t="shared" si="383"/>
        <v>0.13319694123960291</v>
      </c>
      <c r="X586" s="175">
        <f t="shared" si="383"/>
        <v>0.1399726574823851</v>
      </c>
      <c r="Y586" s="175">
        <f t="shared" si="383"/>
        <v>0.15226138846316889</v>
      </c>
      <c r="Z586" s="175">
        <f t="shared" si="383"/>
        <v>0.1337952024348244</v>
      </c>
    </row>
    <row r="587" spans="1:41" hidden="1" outlineLevel="1" collapsed="1">
      <c r="R587" s="175"/>
      <c r="S587" s="175"/>
      <c r="T587" s="175"/>
      <c r="U587" s="175"/>
      <c r="V587" s="175"/>
      <c r="W587" s="175"/>
      <c r="X587" s="175"/>
      <c r="Y587" s="175"/>
      <c r="Z587" s="175"/>
    </row>
    <row r="588" spans="1:41" hidden="1" outlineLevel="2">
      <c r="E588" s="70" t="s">
        <v>516</v>
      </c>
      <c r="H588" s="225"/>
      <c r="I588" s="225"/>
      <c r="J588" s="225"/>
      <c r="K588" s="225"/>
      <c r="L588" s="225"/>
      <c r="M588" s="225"/>
      <c r="N588" s="225"/>
      <c r="O588" s="225"/>
      <c r="P588" s="225">
        <v>18940</v>
      </c>
      <c r="Q588" s="225">
        <v>18789</v>
      </c>
      <c r="R588" s="225">
        <v>18781</v>
      </c>
      <c r="S588" s="225">
        <v>18536</v>
      </c>
      <c r="T588" s="225">
        <v>19335</v>
      </c>
      <c r="U588" s="225">
        <v>19334</v>
      </c>
      <c r="V588" s="225">
        <v>19763</v>
      </c>
      <c r="W588" s="225">
        <v>20722</v>
      </c>
      <c r="X588" s="225">
        <v>22230</v>
      </c>
      <c r="Y588" s="225">
        <v>23759</v>
      </c>
      <c r="Z588" s="225">
        <v>24710</v>
      </c>
    </row>
    <row r="589" spans="1:41" hidden="1" outlineLevel="2">
      <c r="E589" s="70" t="s">
        <v>515</v>
      </c>
      <c r="H589" s="225"/>
      <c r="I589" s="225"/>
      <c r="J589" s="225"/>
      <c r="K589" s="225"/>
      <c r="L589" s="225"/>
      <c r="M589" s="225"/>
      <c r="N589" s="225"/>
      <c r="O589" s="225"/>
      <c r="P589" s="225">
        <v>3784</v>
      </c>
      <c r="Q589" s="225">
        <v>3645</v>
      </c>
      <c r="R589" s="225">
        <v>3480</v>
      </c>
      <c r="S589" s="225">
        <v>3437</v>
      </c>
      <c r="T589" s="225">
        <v>3917</v>
      </c>
      <c r="U589" s="225">
        <v>3958</v>
      </c>
      <c r="V589" s="225">
        <v>4019</v>
      </c>
      <c r="W589" s="225">
        <v>3934</v>
      </c>
      <c r="X589" s="225">
        <v>3996</v>
      </c>
      <c r="Y589" s="225">
        <v>5333</v>
      </c>
      <c r="Z589" s="225">
        <v>5115</v>
      </c>
    </row>
    <row r="590" spans="1:41" hidden="1" outlineLevel="2">
      <c r="E590" s="70" t="s">
        <v>514</v>
      </c>
      <c r="H590" s="225"/>
      <c r="I590" s="225"/>
      <c r="J590" s="225"/>
      <c r="K590" s="225"/>
      <c r="L590" s="225"/>
      <c r="M590" s="225"/>
      <c r="N590" s="225"/>
      <c r="O590" s="225"/>
      <c r="P590" s="225">
        <v>2493</v>
      </c>
      <c r="Q590" s="225">
        <v>2301</v>
      </c>
      <c r="R590" s="225">
        <v>2286</v>
      </c>
      <c r="S590" s="225">
        <v>2122</v>
      </c>
      <c r="T590" s="225">
        <v>2335</v>
      </c>
      <c r="U590" s="225">
        <v>2304</v>
      </c>
      <c r="V590" s="225">
        <v>2482</v>
      </c>
      <c r="W590" s="225">
        <v>2548</v>
      </c>
      <c r="X590" s="225">
        <v>2693</v>
      </c>
      <c r="Y590" s="225">
        <v>4525</v>
      </c>
      <c r="Z590" s="225">
        <v>4345</v>
      </c>
    </row>
    <row r="591" spans="1:41" hidden="1" outlineLevel="2">
      <c r="E591" s="70" t="s">
        <v>513</v>
      </c>
      <c r="H591" s="225"/>
      <c r="I591" s="225"/>
      <c r="J591" s="225"/>
      <c r="K591" s="225"/>
      <c r="L591" s="225"/>
      <c r="M591" s="225"/>
      <c r="N591" s="225"/>
      <c r="O591" s="225"/>
      <c r="P591" s="225">
        <v>47932</v>
      </c>
      <c r="Q591" s="225">
        <v>44691</v>
      </c>
      <c r="R591" s="225">
        <v>45218</v>
      </c>
      <c r="S591" s="225">
        <v>45479</v>
      </c>
      <c r="T591" s="225">
        <v>44422</v>
      </c>
      <c r="U591" s="225">
        <v>44098</v>
      </c>
      <c r="V591" s="225">
        <v>45712</v>
      </c>
      <c r="W591" s="225">
        <v>47201</v>
      </c>
      <c r="X591" s="225">
        <v>51948</v>
      </c>
      <c r="Y591" s="225">
        <v>52617</v>
      </c>
      <c r="Z591" s="225">
        <v>55033</v>
      </c>
    </row>
    <row r="592" spans="1:41" s="3" customFormat="1" hidden="1" outlineLevel="1" collapsed="1">
      <c r="A592" s="110"/>
      <c r="B592" s="110"/>
      <c r="C592" s="143"/>
      <c r="E592" s="150" t="s">
        <v>523</v>
      </c>
      <c r="F592" s="2"/>
      <c r="G592" s="2" t="s">
        <v>526</v>
      </c>
      <c r="H592" s="102">
        <f t="shared" ref="H592:Z592" si="384">SUM(H588:H591)</f>
        <v>0</v>
      </c>
      <c r="I592" s="102">
        <f t="shared" si="384"/>
        <v>0</v>
      </c>
      <c r="J592" s="102">
        <f t="shared" si="384"/>
        <v>0</v>
      </c>
      <c r="K592" s="102">
        <f t="shared" si="384"/>
        <v>0</v>
      </c>
      <c r="L592" s="102">
        <f t="shared" si="384"/>
        <v>0</v>
      </c>
      <c r="M592" s="102">
        <f t="shared" si="384"/>
        <v>0</v>
      </c>
      <c r="N592" s="102">
        <f t="shared" si="384"/>
        <v>0</v>
      </c>
      <c r="O592" s="102">
        <f t="shared" si="384"/>
        <v>0</v>
      </c>
      <c r="P592" s="102">
        <f t="shared" si="384"/>
        <v>73149</v>
      </c>
      <c r="Q592" s="102">
        <f t="shared" si="384"/>
        <v>69426</v>
      </c>
      <c r="R592" s="102">
        <f t="shared" si="384"/>
        <v>69765</v>
      </c>
      <c r="S592" s="102">
        <f t="shared" si="384"/>
        <v>69574</v>
      </c>
      <c r="T592" s="102">
        <f t="shared" si="384"/>
        <v>70009</v>
      </c>
      <c r="U592" s="102">
        <f t="shared" si="384"/>
        <v>69694</v>
      </c>
      <c r="V592" s="102">
        <f t="shared" si="384"/>
        <v>71976</v>
      </c>
      <c r="W592" s="102">
        <f t="shared" si="384"/>
        <v>74405</v>
      </c>
      <c r="X592" s="102">
        <f t="shared" si="384"/>
        <v>80867</v>
      </c>
      <c r="Y592" s="102">
        <f t="shared" si="384"/>
        <v>86234</v>
      </c>
      <c r="Z592" s="102">
        <f t="shared" si="384"/>
        <v>89203</v>
      </c>
      <c r="AA592" s="102"/>
      <c r="AB592" s="102"/>
      <c r="AC592" s="102"/>
      <c r="AD592" s="102"/>
      <c r="AE592" s="102"/>
      <c r="AF592" s="103"/>
      <c r="AG592" s="103"/>
      <c r="AH592" s="103"/>
      <c r="AI592" s="103"/>
      <c r="AJ592" s="103"/>
      <c r="AK592" s="103"/>
      <c r="AL592" s="103"/>
      <c r="AM592" s="103"/>
      <c r="AN592" s="103"/>
      <c r="AO592"/>
    </row>
    <row r="593" spans="1:41" s="63" customFormat="1" hidden="1" outlineLevel="2">
      <c r="A593" s="199"/>
      <c r="B593" s="199"/>
      <c r="C593" s="142"/>
      <c r="E593" s="84" t="s">
        <v>517</v>
      </c>
      <c r="H593" s="175"/>
      <c r="I593" s="175"/>
      <c r="J593" s="175"/>
      <c r="K593" s="175"/>
      <c r="L593" s="175"/>
      <c r="M593" s="175"/>
      <c r="N593" s="175"/>
      <c r="O593" s="175"/>
      <c r="P593" s="175"/>
      <c r="Q593" s="175">
        <f t="shared" ref="Q593:Z593" si="385">Q592/P592-1</f>
        <v>-5.0896116146495474E-2</v>
      </c>
      <c r="R593" s="175">
        <f t="shared" si="385"/>
        <v>4.8828968974159448E-3</v>
      </c>
      <c r="S593" s="175">
        <f t="shared" si="385"/>
        <v>-2.7377624883537788E-3</v>
      </c>
      <c r="T593" s="175">
        <f t="shared" si="385"/>
        <v>6.2523356426251731E-3</v>
      </c>
      <c r="U593" s="175">
        <f t="shared" si="385"/>
        <v>-4.4994215029495743E-3</v>
      </c>
      <c r="V593" s="175">
        <f t="shared" si="385"/>
        <v>3.274313427267761E-2</v>
      </c>
      <c r="W593" s="175">
        <f t="shared" si="385"/>
        <v>3.3747360231188184E-2</v>
      </c>
      <c r="X593" s="175">
        <f t="shared" si="385"/>
        <v>8.684900208319335E-2</v>
      </c>
      <c r="Y593" s="175">
        <f t="shared" si="385"/>
        <v>6.6368234261194203E-2</v>
      </c>
      <c r="Z593" s="175">
        <f t="shared" si="385"/>
        <v>3.4429575341512697E-2</v>
      </c>
    </row>
    <row r="594" spans="1:41" s="63" customFormat="1" hidden="1" outlineLevel="2">
      <c r="A594" s="199"/>
      <c r="B594" s="199"/>
      <c r="C594" s="142"/>
      <c r="E594" s="80" t="str">
        <f>E588&amp;" (%)"</f>
        <v>&lt;20 Employees (%)</v>
      </c>
      <c r="H594" s="175"/>
      <c r="I594" s="175"/>
      <c r="J594" s="175"/>
      <c r="K594" s="175"/>
      <c r="L594" s="175"/>
      <c r="M594" s="175"/>
      <c r="N594" s="175"/>
      <c r="O594" s="175"/>
      <c r="P594" s="175">
        <f t="shared" ref="P594:Q597" si="386">P588/P$592</f>
        <v>0.25892356696605556</v>
      </c>
      <c r="Q594" s="175">
        <f t="shared" si="386"/>
        <v>0.27063348025235501</v>
      </c>
      <c r="R594" s="175">
        <f t="shared" ref="R594:Y597" si="387">R588/R$592</f>
        <v>0.2692037554647746</v>
      </c>
      <c r="S594" s="175">
        <f t="shared" si="387"/>
        <v>0.26642136430275676</v>
      </c>
      <c r="T594" s="175">
        <f t="shared" si="387"/>
        <v>0.27617877701438387</v>
      </c>
      <c r="U594" s="175">
        <f t="shared" si="387"/>
        <v>0.27741268975808536</v>
      </c>
      <c r="V594" s="175">
        <f t="shared" si="387"/>
        <v>0.27457763699010779</v>
      </c>
      <c r="W594" s="175">
        <f t="shared" si="387"/>
        <v>0.27850278879107587</v>
      </c>
      <c r="X594" s="175">
        <f t="shared" si="387"/>
        <v>0.27489581658773049</v>
      </c>
      <c r="Y594" s="175">
        <f t="shared" si="387"/>
        <v>0.27551777721084492</v>
      </c>
      <c r="Z594" s="175">
        <f>Z588/Z$592</f>
        <v>0.2770086207862964</v>
      </c>
    </row>
    <row r="595" spans="1:41" s="63" customFormat="1" hidden="1" outlineLevel="2">
      <c r="A595" s="199"/>
      <c r="B595" s="199"/>
      <c r="C595" s="142"/>
      <c r="E595" s="80" t="str">
        <f>E589&amp;" (%)"</f>
        <v>20-99 Employees (%)</v>
      </c>
      <c r="H595" s="175"/>
      <c r="I595" s="175"/>
      <c r="J595" s="175"/>
      <c r="K595" s="175"/>
      <c r="L595" s="175"/>
      <c r="M595" s="175"/>
      <c r="N595" s="175"/>
      <c r="O595" s="175"/>
      <c r="P595" s="175">
        <f t="shared" si="386"/>
        <v>5.1730030485720925E-2</v>
      </c>
      <c r="Q595" s="175">
        <f t="shared" si="386"/>
        <v>5.2501944516463575E-2</v>
      </c>
      <c r="R595" s="175">
        <f t="shared" si="387"/>
        <v>4.9881745861105137E-2</v>
      </c>
      <c r="S595" s="175">
        <f t="shared" si="387"/>
        <v>4.9400638169431112E-2</v>
      </c>
      <c r="T595" s="175">
        <f t="shared" si="387"/>
        <v>5.5949949292233854E-2</v>
      </c>
      <c r="U595" s="175">
        <f t="shared" si="387"/>
        <v>5.6791115447527761E-2</v>
      </c>
      <c r="V595" s="175">
        <f t="shared" si="387"/>
        <v>5.5838057130154495E-2</v>
      </c>
      <c r="W595" s="175">
        <f t="shared" si="387"/>
        <v>5.2872790807069414E-2</v>
      </c>
      <c r="X595" s="175">
        <f t="shared" si="387"/>
        <v>4.9414470674069767E-2</v>
      </c>
      <c r="Y595" s="175">
        <f t="shared" si="387"/>
        <v>6.1843356448732519E-2</v>
      </c>
      <c r="Z595" s="175">
        <f>Z589/Z$592</f>
        <v>5.734112081432239E-2</v>
      </c>
    </row>
    <row r="596" spans="1:41" s="63" customFormat="1" hidden="1" outlineLevel="2">
      <c r="A596" s="199"/>
      <c r="B596" s="199"/>
      <c r="C596" s="142"/>
      <c r="E596" s="80" t="str">
        <f>E590&amp;" (%)"</f>
        <v>100-499 Employees (%)</v>
      </c>
      <c r="H596" s="175"/>
      <c r="I596" s="175"/>
      <c r="J596" s="175"/>
      <c r="K596" s="175"/>
      <c r="L596" s="175"/>
      <c r="M596" s="175"/>
      <c r="N596" s="175"/>
      <c r="O596" s="175"/>
      <c r="P596" s="175">
        <f t="shared" si="386"/>
        <v>3.4081122093261695E-2</v>
      </c>
      <c r="Q596" s="175">
        <f t="shared" si="386"/>
        <v>3.314320283467289E-2</v>
      </c>
      <c r="R596" s="175">
        <f t="shared" si="387"/>
        <v>3.2767146850139754E-2</v>
      </c>
      <c r="S596" s="175">
        <f t="shared" si="387"/>
        <v>3.0499899387702301E-2</v>
      </c>
      <c r="T596" s="175">
        <f t="shared" si="387"/>
        <v>3.3352854632975763E-2</v>
      </c>
      <c r="U596" s="175">
        <f t="shared" si="387"/>
        <v>3.3058799896691249E-2</v>
      </c>
      <c r="V596" s="175">
        <f t="shared" si="387"/>
        <v>3.448371679448705E-2</v>
      </c>
      <c r="W596" s="175">
        <f t="shared" si="387"/>
        <v>3.424501041596667E-2</v>
      </c>
      <c r="X596" s="175">
        <f t="shared" si="387"/>
        <v>3.3301593975292768E-2</v>
      </c>
      <c r="Y596" s="175">
        <f t="shared" si="387"/>
        <v>5.2473502330867172E-2</v>
      </c>
      <c r="Z596" s="175">
        <f>Z590/Z$592</f>
        <v>4.870912413259644E-2</v>
      </c>
    </row>
    <row r="597" spans="1:41" s="63" customFormat="1" hidden="1" outlineLevel="2">
      <c r="A597" s="199"/>
      <c r="B597" s="199"/>
      <c r="C597" s="142"/>
      <c r="E597" s="80" t="str">
        <f>E591&amp;" (%)"</f>
        <v>500+ Employees (%)</v>
      </c>
      <c r="H597" s="175"/>
      <c r="I597" s="175"/>
      <c r="J597" s="175"/>
      <c r="K597" s="175"/>
      <c r="L597" s="175"/>
      <c r="M597" s="175"/>
      <c r="N597" s="175"/>
      <c r="O597" s="175"/>
      <c r="P597" s="175">
        <f t="shared" si="386"/>
        <v>0.6552652804549618</v>
      </c>
      <c r="Q597" s="175">
        <f t="shared" si="386"/>
        <v>0.64372137239650851</v>
      </c>
      <c r="R597" s="175">
        <f t="shared" si="387"/>
        <v>0.64814735182398053</v>
      </c>
      <c r="S597" s="175">
        <f t="shared" si="387"/>
        <v>0.6536780981401098</v>
      </c>
      <c r="T597" s="175">
        <f t="shared" si="387"/>
        <v>0.63451841906040651</v>
      </c>
      <c r="U597" s="175">
        <f t="shared" si="387"/>
        <v>0.63273739489769565</v>
      </c>
      <c r="V597" s="175">
        <f t="shared" si="387"/>
        <v>0.63510058908525069</v>
      </c>
      <c r="W597" s="175">
        <f t="shared" si="387"/>
        <v>0.63437940998588804</v>
      </c>
      <c r="X597" s="175">
        <f t="shared" si="387"/>
        <v>0.64238811876290702</v>
      </c>
      <c r="Y597" s="175">
        <f t="shared" si="387"/>
        <v>0.61016536400955534</v>
      </c>
      <c r="Z597" s="175">
        <f>Z591/Z$592</f>
        <v>0.61694113426678476</v>
      </c>
    </row>
    <row r="598" spans="1:41" hidden="1" outlineLevel="1" collapsed="1">
      <c r="R598" s="175"/>
      <c r="S598" s="175"/>
      <c r="T598" s="175"/>
      <c r="U598" s="175"/>
      <c r="V598" s="175"/>
      <c r="W598" s="175"/>
      <c r="X598" s="175"/>
      <c r="Y598" s="175"/>
      <c r="Z598" s="175"/>
    </row>
    <row r="599" spans="1:41" hidden="1" outlineLevel="2">
      <c r="E599" s="70" t="s">
        <v>516</v>
      </c>
      <c r="H599" s="225"/>
      <c r="I599" s="225"/>
      <c r="J599" s="225"/>
      <c r="K599" s="225"/>
      <c r="L599" s="225"/>
      <c r="M599" s="225">
        <v>4784</v>
      </c>
      <c r="N599" s="225">
        <v>4598</v>
      </c>
      <c r="O599" s="225">
        <v>4573</v>
      </c>
      <c r="P599" s="225">
        <v>4015</v>
      </c>
      <c r="Q599" s="225">
        <v>3833</v>
      </c>
      <c r="R599" s="225">
        <v>3816</v>
      </c>
      <c r="S599" s="225">
        <v>3771</v>
      </c>
      <c r="T599" s="225">
        <v>4154</v>
      </c>
      <c r="U599" s="225">
        <v>4388</v>
      </c>
      <c r="V599" s="225">
        <v>4696</v>
      </c>
      <c r="W599" s="225">
        <v>5088</v>
      </c>
      <c r="X599" s="225">
        <v>5629</v>
      </c>
      <c r="Y599" s="225">
        <v>7780</v>
      </c>
      <c r="Z599" s="225">
        <v>8520</v>
      </c>
    </row>
    <row r="600" spans="1:41" hidden="1" outlineLevel="2">
      <c r="E600" s="70" t="s">
        <v>515</v>
      </c>
      <c r="H600" s="225"/>
      <c r="I600" s="225"/>
      <c r="J600" s="225"/>
      <c r="K600" s="225"/>
      <c r="L600" s="225"/>
      <c r="M600" s="225">
        <v>1394</v>
      </c>
      <c r="N600" s="225">
        <v>1353</v>
      </c>
      <c r="O600" s="225">
        <v>1296</v>
      </c>
      <c r="P600" s="225">
        <v>1393</v>
      </c>
      <c r="Q600" s="225">
        <v>1284</v>
      </c>
      <c r="R600" s="225">
        <v>1198</v>
      </c>
      <c r="S600" s="225">
        <v>1135</v>
      </c>
      <c r="T600" s="225">
        <v>1327</v>
      </c>
      <c r="U600" s="225">
        <v>1376</v>
      </c>
      <c r="V600" s="225">
        <v>1316</v>
      </c>
      <c r="W600" s="225">
        <v>1336</v>
      </c>
      <c r="X600" s="225">
        <v>1224</v>
      </c>
      <c r="Y600" s="225">
        <v>1668</v>
      </c>
      <c r="Z600" s="225">
        <v>1652</v>
      </c>
    </row>
    <row r="601" spans="1:41" hidden="1" outlineLevel="2">
      <c r="E601" s="70" t="s">
        <v>514</v>
      </c>
      <c r="H601" s="225"/>
      <c r="I601" s="225"/>
      <c r="J601" s="225"/>
      <c r="K601" s="225"/>
      <c r="L601" s="225"/>
      <c r="M601" s="225">
        <v>576</v>
      </c>
      <c r="N601" s="225">
        <v>581</v>
      </c>
      <c r="O601" s="225">
        <v>545</v>
      </c>
      <c r="P601" s="225">
        <v>518</v>
      </c>
      <c r="Q601" s="225">
        <v>470</v>
      </c>
      <c r="R601" s="225">
        <v>406</v>
      </c>
      <c r="S601" s="225">
        <v>399</v>
      </c>
      <c r="T601" s="225">
        <v>502</v>
      </c>
      <c r="U601" s="225">
        <v>570</v>
      </c>
      <c r="V601" s="225">
        <v>555</v>
      </c>
      <c r="W601" s="225">
        <v>551</v>
      </c>
      <c r="X601" s="225">
        <v>534</v>
      </c>
      <c r="Y601" s="225">
        <v>826</v>
      </c>
      <c r="Z601" s="225">
        <v>856</v>
      </c>
    </row>
    <row r="602" spans="1:41" hidden="1" outlineLevel="2">
      <c r="E602" s="70" t="s">
        <v>513</v>
      </c>
      <c r="H602" s="225"/>
      <c r="I602" s="225"/>
      <c r="J602" s="225"/>
      <c r="K602" s="225"/>
      <c r="L602" s="225"/>
      <c r="M602" s="225">
        <v>2039</v>
      </c>
      <c r="N602" s="225">
        <v>2209</v>
      </c>
      <c r="O602" s="225">
        <v>2012</v>
      </c>
      <c r="P602" s="225">
        <v>2171</v>
      </c>
      <c r="Q602" s="225">
        <v>2060</v>
      </c>
      <c r="R602" s="225">
        <v>2042</v>
      </c>
      <c r="S602" s="225">
        <v>2140</v>
      </c>
      <c r="T602" s="225">
        <v>2319</v>
      </c>
      <c r="U602" s="225">
        <v>2578</v>
      </c>
      <c r="V602" s="225">
        <v>2618</v>
      </c>
      <c r="W602" s="225">
        <v>2624</v>
      </c>
      <c r="X602" s="225">
        <v>2843</v>
      </c>
      <c r="Y602" s="225">
        <v>3106</v>
      </c>
      <c r="Z602" s="225">
        <v>3160</v>
      </c>
    </row>
    <row r="603" spans="1:41" s="3" customFormat="1" hidden="1" outlineLevel="1" collapsed="1">
      <c r="A603" s="110"/>
      <c r="B603" s="110"/>
      <c r="C603" s="143"/>
      <c r="E603" s="150" t="s">
        <v>524</v>
      </c>
      <c r="F603" s="2"/>
      <c r="G603" s="2" t="s">
        <v>527</v>
      </c>
      <c r="H603" s="102">
        <f t="shared" ref="H603:Z603" si="388">SUM(H599:H602)</f>
        <v>0</v>
      </c>
      <c r="I603" s="102">
        <f t="shared" si="388"/>
        <v>0</v>
      </c>
      <c r="J603" s="102">
        <f t="shared" si="388"/>
        <v>0</v>
      </c>
      <c r="K603" s="102">
        <f t="shared" si="388"/>
        <v>0</v>
      </c>
      <c r="L603" s="102">
        <f t="shared" si="388"/>
        <v>0</v>
      </c>
      <c r="M603" s="102">
        <f t="shared" si="388"/>
        <v>8793</v>
      </c>
      <c r="N603" s="102">
        <f t="shared" si="388"/>
        <v>8741</v>
      </c>
      <c r="O603" s="102">
        <f t="shared" si="388"/>
        <v>8426</v>
      </c>
      <c r="P603" s="102">
        <f t="shared" si="388"/>
        <v>8097</v>
      </c>
      <c r="Q603" s="102">
        <f t="shared" si="388"/>
        <v>7647</v>
      </c>
      <c r="R603" s="102">
        <f t="shared" si="388"/>
        <v>7462</v>
      </c>
      <c r="S603" s="102">
        <f t="shared" si="388"/>
        <v>7445</v>
      </c>
      <c r="T603" s="102">
        <f t="shared" si="388"/>
        <v>8302</v>
      </c>
      <c r="U603" s="102">
        <f t="shared" si="388"/>
        <v>8912</v>
      </c>
      <c r="V603" s="102">
        <f t="shared" si="388"/>
        <v>9185</v>
      </c>
      <c r="W603" s="102">
        <f t="shared" si="388"/>
        <v>9599</v>
      </c>
      <c r="X603" s="102">
        <f t="shared" si="388"/>
        <v>10230</v>
      </c>
      <c r="Y603" s="102">
        <f t="shared" si="388"/>
        <v>13380</v>
      </c>
      <c r="Z603" s="102">
        <f t="shared" si="388"/>
        <v>14188</v>
      </c>
      <c r="AA603" s="102"/>
      <c r="AB603" s="102"/>
      <c r="AC603" s="102"/>
      <c r="AD603" s="102"/>
      <c r="AE603" s="102"/>
      <c r="AF603" s="103"/>
      <c r="AG603" s="103"/>
      <c r="AH603" s="103"/>
      <c r="AI603" s="103"/>
      <c r="AJ603" s="103"/>
      <c r="AK603" s="103"/>
      <c r="AL603" s="103"/>
      <c r="AM603" s="103"/>
      <c r="AN603" s="103"/>
      <c r="AO603"/>
    </row>
    <row r="604" spans="1:41" s="63" customFormat="1" hidden="1" outlineLevel="2">
      <c r="A604" s="199"/>
      <c r="B604" s="199"/>
      <c r="C604" s="142"/>
      <c r="E604" s="84" t="s">
        <v>517</v>
      </c>
      <c r="H604" s="175"/>
      <c r="I604" s="175"/>
      <c r="J604" s="175"/>
      <c r="K604" s="175"/>
      <c r="L604" s="175"/>
      <c r="M604" s="175"/>
      <c r="N604" s="175">
        <f>N603/M603-1</f>
        <v>-5.9137950642557113E-3</v>
      </c>
      <c r="O604" s="175">
        <f>O603/N603-1</f>
        <v>-3.6037066697174214E-2</v>
      </c>
      <c r="P604" s="175">
        <f>P603/O603-1</f>
        <v>-3.9045810586280538E-2</v>
      </c>
      <c r="Q604" s="175">
        <f>Q603/P603-1</f>
        <v>-5.5576139310855921E-2</v>
      </c>
      <c r="R604" s="175">
        <f>R603/Q603-1</f>
        <v>-2.4192493788413705E-2</v>
      </c>
      <c r="S604" s="175">
        <f t="shared" ref="S604:Z604" si="389">S603/R603-1</f>
        <v>-2.2782095952827985E-3</v>
      </c>
      <c r="T604" s="175">
        <f t="shared" si="389"/>
        <v>0.11511081262592349</v>
      </c>
      <c r="U604" s="175">
        <f t="shared" si="389"/>
        <v>7.3476270778125796E-2</v>
      </c>
      <c r="V604" s="175">
        <f t="shared" si="389"/>
        <v>3.0632854578096946E-2</v>
      </c>
      <c r="W604" s="175">
        <f t="shared" si="389"/>
        <v>4.507348938486655E-2</v>
      </c>
      <c r="X604" s="175">
        <f t="shared" si="389"/>
        <v>6.5736014168142454E-2</v>
      </c>
      <c r="Y604" s="175">
        <f t="shared" si="389"/>
        <v>0.3079178885630498</v>
      </c>
      <c r="Z604" s="175">
        <f t="shared" si="389"/>
        <v>6.0388639760837082E-2</v>
      </c>
    </row>
    <row r="605" spans="1:41" s="63" customFormat="1" hidden="1" outlineLevel="2">
      <c r="A605" s="199"/>
      <c r="B605" s="199"/>
      <c r="C605" s="142"/>
      <c r="E605" s="80" t="str">
        <f>E599&amp;" (%)"</f>
        <v>&lt;20 Employees (%)</v>
      </c>
      <c r="H605" s="175"/>
      <c r="I605" s="175"/>
      <c r="J605" s="175"/>
      <c r="K605" s="175"/>
      <c r="L605" s="175"/>
      <c r="M605" s="175">
        <f t="shared" ref="M605:R608" si="390">M599/M$603</f>
        <v>0.54406914591152056</v>
      </c>
      <c r="N605" s="175">
        <f t="shared" si="390"/>
        <v>0.52602677039240364</v>
      </c>
      <c r="O605" s="175">
        <f t="shared" si="390"/>
        <v>0.54272489912176591</v>
      </c>
      <c r="P605" s="175">
        <f t="shared" si="390"/>
        <v>0.49586266518463629</v>
      </c>
      <c r="Q605" s="175">
        <f t="shared" si="390"/>
        <v>0.50124231724859425</v>
      </c>
      <c r="R605" s="175">
        <f t="shared" si="390"/>
        <v>0.51139104797641388</v>
      </c>
      <c r="S605" s="175">
        <f t="shared" ref="S605:Y608" si="391">S599/S$603</f>
        <v>0.50651443922095363</v>
      </c>
      <c r="T605" s="175">
        <f t="shared" si="391"/>
        <v>0.50036135870874487</v>
      </c>
      <c r="U605" s="175">
        <f t="shared" si="391"/>
        <v>0.49236983842010773</v>
      </c>
      <c r="V605" s="175">
        <f t="shared" si="391"/>
        <v>0.51126837234621669</v>
      </c>
      <c r="W605" s="175">
        <f t="shared" si="391"/>
        <v>0.5300552140848005</v>
      </c>
      <c r="X605" s="175">
        <f t="shared" si="391"/>
        <v>0.55024437927663739</v>
      </c>
      <c r="Y605" s="175">
        <f t="shared" si="391"/>
        <v>0.58146487294469362</v>
      </c>
      <c r="Z605" s="175">
        <f>Z599/Z$603</f>
        <v>0.60050747110234004</v>
      </c>
    </row>
    <row r="606" spans="1:41" s="63" customFormat="1" hidden="1" outlineLevel="2">
      <c r="A606" s="199"/>
      <c r="B606" s="199"/>
      <c r="C606" s="142"/>
      <c r="E606" s="80" t="str">
        <f>E600&amp;" (%)"</f>
        <v>20-99 Employees (%)</v>
      </c>
      <c r="H606" s="175"/>
      <c r="I606" s="175"/>
      <c r="J606" s="175"/>
      <c r="K606" s="175"/>
      <c r="L606" s="175"/>
      <c r="M606" s="175">
        <f t="shared" si="390"/>
        <v>0.15853519845331512</v>
      </c>
      <c r="N606" s="175">
        <f t="shared" si="390"/>
        <v>0.15478778171833887</v>
      </c>
      <c r="O606" s="175">
        <f t="shared" si="390"/>
        <v>0.15380963683835747</v>
      </c>
      <c r="P606" s="175">
        <f t="shared" si="390"/>
        <v>0.1720390268000494</v>
      </c>
      <c r="Q606" s="175">
        <f t="shared" si="390"/>
        <v>0.16790898391526088</v>
      </c>
      <c r="R606" s="175">
        <f t="shared" si="390"/>
        <v>0.16054677030286787</v>
      </c>
      <c r="S606" s="175">
        <f t="shared" si="391"/>
        <v>0.15245130960376091</v>
      </c>
      <c r="T606" s="175">
        <f t="shared" si="391"/>
        <v>0.15984100216815225</v>
      </c>
      <c r="U606" s="175">
        <f t="shared" si="391"/>
        <v>0.15439856373429084</v>
      </c>
      <c r="V606" s="175">
        <f t="shared" si="391"/>
        <v>0.14327708219923788</v>
      </c>
      <c r="W606" s="175">
        <f t="shared" si="391"/>
        <v>0.13918116470465675</v>
      </c>
      <c r="X606" s="175">
        <f t="shared" si="391"/>
        <v>0.11964809384164223</v>
      </c>
      <c r="Y606" s="175">
        <f t="shared" si="391"/>
        <v>0.12466367713004484</v>
      </c>
      <c r="Z606" s="175">
        <f>Z600/Z$603</f>
        <v>0.1164364251480124</v>
      </c>
    </row>
    <row r="607" spans="1:41" s="63" customFormat="1" hidden="1" outlineLevel="2">
      <c r="A607" s="199"/>
      <c r="B607" s="199"/>
      <c r="C607" s="142"/>
      <c r="E607" s="80" t="str">
        <f>E601&amp;" (%)"</f>
        <v>100-499 Employees (%)</v>
      </c>
      <c r="H607" s="175"/>
      <c r="I607" s="175"/>
      <c r="J607" s="175"/>
      <c r="K607" s="175"/>
      <c r="L607" s="175"/>
      <c r="M607" s="175">
        <f t="shared" si="390"/>
        <v>6.5506653019447289E-2</v>
      </c>
      <c r="N607" s="175">
        <f t="shared" si="390"/>
        <v>6.6468367463676931E-2</v>
      </c>
      <c r="O607" s="175">
        <f t="shared" si="390"/>
        <v>6.4680750059340139E-2</v>
      </c>
      <c r="P607" s="175">
        <f t="shared" si="390"/>
        <v>6.3974311473385198E-2</v>
      </c>
      <c r="Q607" s="175">
        <f t="shared" si="390"/>
        <v>6.1462011246240358E-2</v>
      </c>
      <c r="R607" s="175">
        <f t="shared" si="390"/>
        <v>5.4409005628517824E-2</v>
      </c>
      <c r="S607" s="175">
        <f t="shared" si="391"/>
        <v>5.3593015446608459E-2</v>
      </c>
      <c r="T607" s="175">
        <f t="shared" si="391"/>
        <v>6.0467357263310047E-2</v>
      </c>
      <c r="U607" s="175">
        <f t="shared" si="391"/>
        <v>6.3958707360861761E-2</v>
      </c>
      <c r="V607" s="175">
        <f t="shared" si="391"/>
        <v>6.0424605334784977E-2</v>
      </c>
      <c r="W607" s="175">
        <f t="shared" si="391"/>
        <v>5.7401812688821753E-2</v>
      </c>
      <c r="X607" s="175">
        <f t="shared" si="391"/>
        <v>5.2199413489736071E-2</v>
      </c>
      <c r="Y607" s="175">
        <f t="shared" si="391"/>
        <v>6.1733931240657701E-2</v>
      </c>
      <c r="Z607" s="175">
        <f>Z601/Z$603</f>
        <v>6.0332675500422893E-2</v>
      </c>
    </row>
    <row r="608" spans="1:41" s="63" customFormat="1" hidden="1" outlineLevel="2">
      <c r="A608" s="199"/>
      <c r="B608" s="199"/>
      <c r="C608" s="142"/>
      <c r="E608" s="80" t="str">
        <f>E602&amp;" (%)"</f>
        <v>500+ Employees (%)</v>
      </c>
      <c r="H608" s="175"/>
      <c r="I608" s="175"/>
      <c r="J608" s="175"/>
      <c r="K608" s="175"/>
      <c r="L608" s="175"/>
      <c r="M608" s="175">
        <f t="shared" si="390"/>
        <v>0.23188900261571704</v>
      </c>
      <c r="N608" s="175">
        <f t="shared" si="390"/>
        <v>0.25271708042558061</v>
      </c>
      <c r="O608" s="175">
        <f t="shared" si="390"/>
        <v>0.23878471398053644</v>
      </c>
      <c r="P608" s="175">
        <f t="shared" si="390"/>
        <v>0.26812399654192909</v>
      </c>
      <c r="Q608" s="175">
        <f t="shared" si="390"/>
        <v>0.26938668758990453</v>
      </c>
      <c r="R608" s="175">
        <f t="shared" si="390"/>
        <v>0.27365317609220047</v>
      </c>
      <c r="S608" s="175">
        <f t="shared" si="391"/>
        <v>0.28744123572867697</v>
      </c>
      <c r="T608" s="175">
        <f t="shared" si="391"/>
        <v>0.27933028185979281</v>
      </c>
      <c r="U608" s="175">
        <f t="shared" si="391"/>
        <v>0.2892728904847397</v>
      </c>
      <c r="V608" s="175">
        <f t="shared" si="391"/>
        <v>0.28502994011976046</v>
      </c>
      <c r="W608" s="175">
        <f t="shared" si="391"/>
        <v>0.27336180852172104</v>
      </c>
      <c r="X608" s="175">
        <f t="shared" si="391"/>
        <v>0.27790811339198435</v>
      </c>
      <c r="Y608" s="175">
        <f t="shared" si="391"/>
        <v>0.23213751868460389</v>
      </c>
      <c r="Z608" s="175">
        <f>Z602/Z$603</f>
        <v>0.2227234282492247</v>
      </c>
    </row>
    <row r="609" spans="1:43" hidden="1" outlineLevel="1" collapsed="1">
      <c r="R609" s="175"/>
      <c r="S609" s="175"/>
      <c r="T609" s="175"/>
      <c r="U609" s="175"/>
      <c r="V609" s="175"/>
      <c r="W609" s="175"/>
      <c r="X609" s="175"/>
      <c r="Y609" s="175"/>
      <c r="Z609" s="175"/>
    </row>
    <row r="610" spans="1:43" s="3" customFormat="1" hidden="1" outlineLevel="1">
      <c r="A610" s="110"/>
      <c r="B610" s="110"/>
      <c r="C610" s="143"/>
      <c r="E610" s="150" t="s">
        <v>542</v>
      </c>
      <c r="F610" s="2"/>
      <c r="G610" s="2"/>
      <c r="H610" s="102"/>
      <c r="I610" s="102"/>
      <c r="J610" s="102"/>
      <c r="K610" s="102"/>
      <c r="L610" s="102"/>
      <c r="M610" s="102"/>
      <c r="N610" s="102"/>
      <c r="O610" s="102"/>
      <c r="P610" s="102">
        <f t="shared" ref="P610:Z610" si="392">P603+P592+P581</f>
        <v>213096</v>
      </c>
      <c r="Q610" s="102">
        <f t="shared" si="392"/>
        <v>209523</v>
      </c>
      <c r="R610" s="102">
        <f t="shared" si="392"/>
        <v>213941</v>
      </c>
      <c r="S610" s="102">
        <f t="shared" si="392"/>
        <v>214523</v>
      </c>
      <c r="T610" s="102">
        <f t="shared" si="392"/>
        <v>219137</v>
      </c>
      <c r="U610" s="102">
        <f t="shared" si="392"/>
        <v>221659</v>
      </c>
      <c r="V610" s="102">
        <f t="shared" si="392"/>
        <v>227281</v>
      </c>
      <c r="W610" s="102">
        <f t="shared" si="392"/>
        <v>233084</v>
      </c>
      <c r="X610" s="102">
        <f t="shared" si="392"/>
        <v>243241</v>
      </c>
      <c r="Y610" s="102">
        <f t="shared" si="392"/>
        <v>252949</v>
      </c>
      <c r="Z610" s="102">
        <f t="shared" si="392"/>
        <v>253217</v>
      </c>
      <c r="AA610" s="102"/>
      <c r="AB610" s="102"/>
      <c r="AC610" s="102"/>
      <c r="AD610" s="102"/>
      <c r="AE610" s="102"/>
      <c r="AF610" s="103"/>
      <c r="AG610" s="103"/>
      <c r="AH610" s="103"/>
      <c r="AI610" s="103"/>
      <c r="AJ610" s="103"/>
      <c r="AK610" s="103"/>
      <c r="AL610" s="103"/>
      <c r="AM610" s="103"/>
      <c r="AN610" s="103"/>
      <c r="AO610"/>
    </row>
    <row r="611" spans="1:43" s="63" customFormat="1" hidden="1" outlineLevel="2">
      <c r="A611" s="199"/>
      <c r="B611" s="199"/>
      <c r="C611" s="142"/>
      <c r="E611" s="84" t="s">
        <v>517</v>
      </c>
      <c r="H611" s="175"/>
      <c r="I611" s="175"/>
      <c r="J611" s="175"/>
      <c r="K611" s="175"/>
      <c r="L611" s="175"/>
      <c r="M611" s="175"/>
      <c r="N611" s="175"/>
      <c r="O611" s="175"/>
      <c r="P611" s="175"/>
      <c r="Q611" s="175">
        <f t="shared" ref="Q611:Y611" si="393">Q610/P610-1</f>
        <v>-1.6767090888613612E-2</v>
      </c>
      <c r="R611" s="175">
        <f t="shared" si="393"/>
        <v>2.1085990559508883E-2</v>
      </c>
      <c r="S611" s="175">
        <f t="shared" si="393"/>
        <v>2.7203761784790892E-3</v>
      </c>
      <c r="T611" s="175">
        <f t="shared" si="393"/>
        <v>2.150818327172388E-2</v>
      </c>
      <c r="U611" s="175">
        <f t="shared" si="393"/>
        <v>1.15087821773594E-2</v>
      </c>
      <c r="V611" s="175">
        <f t="shared" si="393"/>
        <v>2.5363283241375267E-2</v>
      </c>
      <c r="W611" s="175">
        <f t="shared" si="393"/>
        <v>2.5532270625349129E-2</v>
      </c>
      <c r="X611" s="175">
        <f t="shared" si="393"/>
        <v>4.3576564671963691E-2</v>
      </c>
      <c r="Y611" s="175">
        <f t="shared" si="393"/>
        <v>3.9911034735098161E-2</v>
      </c>
      <c r="Z611" s="175">
        <f>Z610/Y610-1</f>
        <v>1.0595021130741511E-3</v>
      </c>
    </row>
    <row r="612" spans="1:43" s="63" customFormat="1" hidden="1" outlineLevel="2">
      <c r="A612" s="199"/>
      <c r="B612" s="199"/>
      <c r="C612" s="142"/>
      <c r="E612" s="80" t="str">
        <f>E606&amp;" (%)"</f>
        <v>20-99 Employees (%) (%)</v>
      </c>
      <c r="H612" s="175"/>
      <c r="I612" s="175"/>
      <c r="J612" s="175"/>
      <c r="K612" s="175"/>
      <c r="L612" s="175"/>
      <c r="M612" s="175"/>
      <c r="N612" s="175"/>
      <c r="O612" s="175"/>
      <c r="P612" s="175"/>
      <c r="Q612" s="175">
        <f>(Q577+Q588+Q599)/Q$610</f>
        <v>0.6083866687666748</v>
      </c>
      <c r="R612" s="175">
        <f t="shared" ref="R612:Y612" si="394">(R577+R588+R599)/R$610</f>
        <v>0.60157707031377805</v>
      </c>
      <c r="S612" s="175">
        <f t="shared" si="394"/>
        <v>0.60480228227276334</v>
      </c>
      <c r="T612" s="175">
        <f t="shared" si="394"/>
        <v>0.61774141290608153</v>
      </c>
      <c r="U612" s="175">
        <f t="shared" si="394"/>
        <v>0.61606792415376777</v>
      </c>
      <c r="V612" s="175">
        <f t="shared" si="394"/>
        <v>0.60969460711630097</v>
      </c>
      <c r="W612" s="175">
        <f t="shared" si="394"/>
        <v>0.60816701275076801</v>
      </c>
      <c r="X612" s="175">
        <f t="shared" si="394"/>
        <v>0.59608371943874594</v>
      </c>
      <c r="Y612" s="175">
        <f t="shared" si="394"/>
        <v>0.58563188626956419</v>
      </c>
      <c r="Z612" s="175">
        <f>(Z577+Z588+Z599)/Z$610</f>
        <v>0.5914057902905413</v>
      </c>
    </row>
    <row r="613" spans="1:43" s="63" customFormat="1" hidden="1" outlineLevel="2">
      <c r="A613" s="199"/>
      <c r="B613" s="199"/>
      <c r="C613" s="142"/>
      <c r="E613" s="80" t="str">
        <f>E607&amp;" (%)"</f>
        <v>100-499 Employees (%) (%)</v>
      </c>
      <c r="H613" s="175"/>
      <c r="I613" s="175"/>
      <c r="J613" s="175"/>
      <c r="K613" s="175"/>
      <c r="L613" s="175"/>
      <c r="M613" s="175"/>
      <c r="N613" s="175"/>
      <c r="O613" s="175"/>
      <c r="P613" s="175"/>
      <c r="Q613" s="175">
        <f>(Q578+Q589+Q600)/Q$610</f>
        <v>6.3553881912725568E-2</v>
      </c>
      <c r="R613" s="175">
        <f t="shared" ref="R613:Z613" si="395">(R578+R589+R600)/R$610</f>
        <v>6.0441897532497277E-2</v>
      </c>
      <c r="S613" s="175">
        <f t="shared" si="395"/>
        <v>6.0473702120518544E-2</v>
      </c>
      <c r="T613" s="175">
        <f t="shared" si="395"/>
        <v>6.3914354946905366E-2</v>
      </c>
      <c r="U613" s="175">
        <f t="shared" si="395"/>
        <v>6.4766149806685047E-2</v>
      </c>
      <c r="V613" s="175">
        <f t="shared" si="395"/>
        <v>6.4026469436512509E-2</v>
      </c>
      <c r="W613" s="175">
        <f t="shared" si="395"/>
        <v>6.3303358445882169E-2</v>
      </c>
      <c r="X613" s="175">
        <f t="shared" si="395"/>
        <v>6.1247898175060947E-2</v>
      </c>
      <c r="Y613" s="175">
        <f t="shared" si="395"/>
        <v>6.5681224278411859E-2</v>
      </c>
      <c r="Z613" s="175">
        <f t="shared" si="395"/>
        <v>6.4391411319145234E-2</v>
      </c>
    </row>
    <row r="614" spans="1:43" s="63" customFormat="1" hidden="1" outlineLevel="2">
      <c r="A614" s="199"/>
      <c r="B614" s="199"/>
      <c r="C614" s="142"/>
      <c r="E614" s="80" t="str">
        <f>E608&amp;" (%)"</f>
        <v>500+ Employees (%) (%)</v>
      </c>
      <c r="H614" s="175"/>
      <c r="I614" s="175"/>
      <c r="J614" s="175"/>
      <c r="K614" s="175"/>
      <c r="L614" s="175"/>
      <c r="M614" s="175"/>
      <c r="N614" s="175"/>
      <c r="O614" s="175"/>
      <c r="P614" s="175"/>
      <c r="Q614" s="175">
        <f>(Q579+Q590+Q601)/Q$610</f>
        <v>2.9147158068565264E-2</v>
      </c>
      <c r="R614" s="175">
        <f t="shared" ref="R614:Z614" si="396">(R579+R590+R601)/R$610</f>
        <v>2.7231806900033188E-2</v>
      </c>
      <c r="S614" s="175">
        <f t="shared" si="396"/>
        <v>2.7083343044801724E-2</v>
      </c>
      <c r="T614" s="175">
        <f t="shared" si="396"/>
        <v>2.8666998270488325E-2</v>
      </c>
      <c r="U614" s="175">
        <f t="shared" si="396"/>
        <v>2.8331806964752165E-2</v>
      </c>
      <c r="V614" s="175">
        <f t="shared" si="396"/>
        <v>2.9166538338004498E-2</v>
      </c>
      <c r="W614" s="175">
        <f t="shared" si="396"/>
        <v>2.9573029465771998E-2</v>
      </c>
      <c r="X614" s="175">
        <f t="shared" si="396"/>
        <v>2.9863386517897886E-2</v>
      </c>
      <c r="Y614" s="175">
        <f t="shared" si="396"/>
        <v>3.6094232434206105E-2</v>
      </c>
      <c r="Z614" s="175">
        <f t="shared" si="396"/>
        <v>3.5222753606590392E-2</v>
      </c>
    </row>
    <row r="615" spans="1:43" s="63" customFormat="1" hidden="1" outlineLevel="2">
      <c r="A615" s="199"/>
      <c r="B615" s="199"/>
      <c r="C615" s="142"/>
      <c r="E615" s="80" t="str">
        <f>E609&amp;" (%)"</f>
        <v xml:space="preserve"> (%)</v>
      </c>
      <c r="H615" s="175"/>
      <c r="I615" s="175"/>
      <c r="J615" s="175"/>
      <c r="K615" s="175"/>
      <c r="L615" s="175"/>
      <c r="M615" s="175"/>
      <c r="N615" s="175"/>
      <c r="O615" s="175"/>
      <c r="P615" s="175"/>
      <c r="Q615" s="175">
        <f>(Q580+Q591+Q602)/Q$610</f>
        <v>0.29891229125203439</v>
      </c>
      <c r="R615" s="175">
        <f t="shared" ref="R615:Z615" si="397">(R580+R591+R602)/R$610</f>
        <v>0.31074922525369142</v>
      </c>
      <c r="S615" s="175">
        <f t="shared" si="397"/>
        <v>0.30764067256191646</v>
      </c>
      <c r="T615" s="175">
        <f t="shared" si="397"/>
        <v>0.28967723387652472</v>
      </c>
      <c r="U615" s="175">
        <f t="shared" si="397"/>
        <v>0.29083411907479506</v>
      </c>
      <c r="V615" s="175">
        <f t="shared" si="397"/>
        <v>0.29711238510918203</v>
      </c>
      <c r="W615" s="175">
        <f t="shared" si="397"/>
        <v>0.29895659933757784</v>
      </c>
      <c r="X615" s="175">
        <f t="shared" si="397"/>
        <v>0.31280499586829524</v>
      </c>
      <c r="Y615" s="175">
        <f t="shared" si="397"/>
        <v>0.3125926570178178</v>
      </c>
      <c r="Z615" s="175">
        <f t="shared" si="397"/>
        <v>0.30898004478372304</v>
      </c>
    </row>
    <row r="616" spans="1:43" hidden="1" outlineLevel="1" collapsed="1">
      <c r="R616" s="175"/>
      <c r="S616" s="175"/>
      <c r="T616" s="175"/>
      <c r="U616" s="175"/>
      <c r="V616" s="175"/>
      <c r="W616" s="175"/>
      <c r="X616" s="175"/>
      <c r="Y616" s="175"/>
      <c r="Z616" s="175"/>
    </row>
    <row r="617" spans="1:43" hidden="1" outlineLevel="1">
      <c r="E617" s="70" t="s">
        <v>519</v>
      </c>
      <c r="H617" s="225">
        <v>115.9</v>
      </c>
      <c r="I617" s="225">
        <v>116.1</v>
      </c>
      <c r="J617" s="225">
        <v>136.9</v>
      </c>
      <c r="K617" s="225">
        <v>145.6</v>
      </c>
      <c r="L617" s="225">
        <v>160.6</v>
      </c>
      <c r="M617" s="225">
        <v>172.6</v>
      </c>
      <c r="N617" s="225">
        <v>162.19999999999999</v>
      </c>
      <c r="O617" s="225">
        <v>191.8</v>
      </c>
      <c r="P617" s="225">
        <v>189.2</v>
      </c>
      <c r="Q617" s="225">
        <v>178.3</v>
      </c>
      <c r="R617" s="225">
        <v>187.1</v>
      </c>
      <c r="S617" s="225">
        <v>195.3</v>
      </c>
      <c r="T617" s="225">
        <v>202.2</v>
      </c>
      <c r="U617" s="225">
        <v>210.8</v>
      </c>
      <c r="V617" s="225">
        <v>217.8</v>
      </c>
      <c r="W617" s="225">
        <v>223.7</v>
      </c>
      <c r="X617" s="225">
        <v>234.5</v>
      </c>
      <c r="Y617" s="225">
        <v>252.4</v>
      </c>
      <c r="Z617" s="225">
        <v>274.2</v>
      </c>
      <c r="AA617" s="225">
        <v>293.10000000000002</v>
      </c>
      <c r="AB617" s="225">
        <v>320</v>
      </c>
    </row>
    <row r="618" spans="1:43" hidden="1" outlineLevel="1">
      <c r="E618" s="70" t="s">
        <v>520</v>
      </c>
      <c r="H618" s="225">
        <v>24.3</v>
      </c>
      <c r="I618" s="225">
        <v>39.5</v>
      </c>
      <c r="J618" s="225">
        <v>61.2</v>
      </c>
      <c r="K618" s="225">
        <v>63.1</v>
      </c>
      <c r="L618" s="225">
        <v>74.099999999999994</v>
      </c>
      <c r="M618" s="225">
        <v>71.900000000000006</v>
      </c>
      <c r="N618" s="225">
        <v>81.900000000000006</v>
      </c>
      <c r="O618" s="225">
        <v>65.2</v>
      </c>
      <c r="P618" s="225">
        <v>82.9</v>
      </c>
      <c r="Q618" s="225">
        <v>86.3</v>
      </c>
      <c r="R618" s="225">
        <v>101</v>
      </c>
      <c r="S618" s="225">
        <v>114.8</v>
      </c>
      <c r="T618" s="225">
        <v>105.3</v>
      </c>
      <c r="U618" s="225">
        <v>131.69999999999999</v>
      </c>
      <c r="V618" s="225">
        <v>149.4</v>
      </c>
      <c r="W618" s="225">
        <v>169.8</v>
      </c>
      <c r="X618" s="225">
        <v>195.2</v>
      </c>
      <c r="Y618" s="225">
        <v>212.6</v>
      </c>
      <c r="Z618" s="225">
        <v>243</v>
      </c>
      <c r="AA618" s="225">
        <v>285.3</v>
      </c>
      <c r="AB618" s="225">
        <v>318.3</v>
      </c>
    </row>
    <row r="619" spans="1:43" hidden="1" outlineLevel="1">
      <c r="E619" s="70" t="s">
        <v>521</v>
      </c>
      <c r="H619" s="225">
        <v>114.1</v>
      </c>
      <c r="I619" s="225">
        <v>118.2</v>
      </c>
      <c r="J619" s="225">
        <v>110.2</v>
      </c>
      <c r="K619" s="225">
        <v>115.8</v>
      </c>
      <c r="L619" s="225">
        <v>122.9</v>
      </c>
      <c r="M619" s="225">
        <v>134.9</v>
      </c>
      <c r="N619" s="225">
        <v>149</v>
      </c>
      <c r="O619" s="225">
        <v>167.1</v>
      </c>
      <c r="P619" s="225">
        <v>181.4</v>
      </c>
      <c r="Q619" s="225">
        <v>188.9</v>
      </c>
      <c r="R619" s="225">
        <v>202.9</v>
      </c>
      <c r="S619" s="225">
        <v>224.8</v>
      </c>
      <c r="T619" s="225">
        <v>252.7</v>
      </c>
      <c r="U619" s="225">
        <v>255.2</v>
      </c>
      <c r="V619" s="225">
        <v>266.10000000000002</v>
      </c>
      <c r="W619" s="225">
        <v>284.89999999999998</v>
      </c>
      <c r="X619" s="225">
        <v>304.89999999999998</v>
      </c>
      <c r="Y619" s="225">
        <v>322.8</v>
      </c>
      <c r="Z619" s="225">
        <v>353.4</v>
      </c>
      <c r="AA619" s="225">
        <v>370.5</v>
      </c>
      <c r="AB619" s="225">
        <v>366.6</v>
      </c>
    </row>
    <row r="620" spans="1:43" s="3" customFormat="1" hidden="1" outlineLevel="1">
      <c r="A620" s="110"/>
      <c r="B620" s="110"/>
      <c r="C620" s="143"/>
      <c r="E620" s="150" t="s">
        <v>543</v>
      </c>
      <c r="F620" s="2"/>
      <c r="G620" s="2"/>
      <c r="H620" s="102">
        <f t="shared" ref="H620:AA620" si="398">SUM(H617:H619)</f>
        <v>254.3</v>
      </c>
      <c r="I620" s="102">
        <f t="shared" si="398"/>
        <v>273.8</v>
      </c>
      <c r="J620" s="102">
        <f t="shared" si="398"/>
        <v>308.3</v>
      </c>
      <c r="K620" s="102">
        <f t="shared" si="398"/>
        <v>324.5</v>
      </c>
      <c r="L620" s="102">
        <f t="shared" si="398"/>
        <v>357.6</v>
      </c>
      <c r="M620" s="102">
        <f t="shared" si="398"/>
        <v>379.4</v>
      </c>
      <c r="N620" s="102">
        <f t="shared" si="398"/>
        <v>393.1</v>
      </c>
      <c r="O620" s="102">
        <f t="shared" si="398"/>
        <v>424.1</v>
      </c>
      <c r="P620" s="102">
        <f t="shared" si="398"/>
        <v>453.5</v>
      </c>
      <c r="Q620" s="102">
        <f t="shared" si="398"/>
        <v>453.5</v>
      </c>
      <c r="R620" s="102">
        <f t="shared" si="398"/>
        <v>491</v>
      </c>
      <c r="S620" s="102">
        <f t="shared" si="398"/>
        <v>534.90000000000009</v>
      </c>
      <c r="T620" s="102">
        <f t="shared" si="398"/>
        <v>560.20000000000005</v>
      </c>
      <c r="U620" s="102">
        <f t="shared" si="398"/>
        <v>597.70000000000005</v>
      </c>
      <c r="V620" s="102">
        <f t="shared" si="398"/>
        <v>633.30000000000007</v>
      </c>
      <c r="W620" s="102">
        <f t="shared" si="398"/>
        <v>678.4</v>
      </c>
      <c r="X620" s="102">
        <f t="shared" si="398"/>
        <v>734.59999999999991</v>
      </c>
      <c r="Y620" s="102">
        <f t="shared" si="398"/>
        <v>787.8</v>
      </c>
      <c r="Z620" s="102">
        <f t="shared" si="398"/>
        <v>870.6</v>
      </c>
      <c r="AA620" s="102">
        <f t="shared" si="398"/>
        <v>948.90000000000009</v>
      </c>
      <c r="AB620" s="102">
        <f>SUM(AB617:AB619)</f>
        <v>1004.9</v>
      </c>
      <c r="AC620" s="102"/>
      <c r="AD620" s="102"/>
      <c r="AE620" s="102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/>
    </row>
    <row r="621" spans="1:43" hidden="1" outlineLevel="1"/>
    <row r="622" spans="1:43" s="63" customFormat="1" hidden="1" outlineLevel="1">
      <c r="A622" s="199"/>
      <c r="B622" s="199"/>
      <c r="C622" s="142"/>
      <c r="E622" s="84" t="str">
        <f>E617&amp;" - Growth (%)"</f>
        <v>Publishing industries, except internet (includes software) - Growth (%)</v>
      </c>
      <c r="H622" s="214" t="str">
        <f t="shared" ref="H622:AA622" si="399">IFERROR(H617/G617-1,"na")</f>
        <v>na</v>
      </c>
      <c r="I622" s="214">
        <f t="shared" si="399"/>
        <v>1.7256255392579245E-3</v>
      </c>
      <c r="J622" s="214">
        <f t="shared" si="399"/>
        <v>0.17915590008613269</v>
      </c>
      <c r="K622" s="214">
        <f t="shared" si="399"/>
        <v>6.3550036523009501E-2</v>
      </c>
      <c r="L622" s="214">
        <f t="shared" si="399"/>
        <v>0.1030219780219781</v>
      </c>
      <c r="M622" s="214">
        <f t="shared" si="399"/>
        <v>7.4719800747198084E-2</v>
      </c>
      <c r="N622" s="214">
        <f t="shared" si="399"/>
        <v>-6.0254924681344191E-2</v>
      </c>
      <c r="O622" s="214">
        <f t="shared" si="399"/>
        <v>0.18249075215783006</v>
      </c>
      <c r="P622" s="214">
        <f t="shared" si="399"/>
        <v>-1.355578727841511E-2</v>
      </c>
      <c r="Q622" s="214">
        <f t="shared" si="399"/>
        <v>-5.7610993657505216E-2</v>
      </c>
      <c r="R622" s="214">
        <f t="shared" si="399"/>
        <v>4.9355019629837349E-2</v>
      </c>
      <c r="S622" s="214">
        <f t="shared" si="399"/>
        <v>4.3826830571886743E-2</v>
      </c>
      <c r="T622" s="214">
        <f t="shared" si="399"/>
        <v>3.533026113671256E-2</v>
      </c>
      <c r="U622" s="214">
        <f t="shared" si="399"/>
        <v>4.2532146389713255E-2</v>
      </c>
      <c r="V622" s="214">
        <f t="shared" si="399"/>
        <v>3.3206831119544589E-2</v>
      </c>
      <c r="W622" s="214">
        <f t="shared" si="399"/>
        <v>2.708907254361792E-2</v>
      </c>
      <c r="X622" s="214">
        <f t="shared" si="399"/>
        <v>4.8278945015646002E-2</v>
      </c>
      <c r="Y622" s="214">
        <f t="shared" si="399"/>
        <v>7.6332622601279265E-2</v>
      </c>
      <c r="Z622" s="214">
        <f t="shared" si="399"/>
        <v>8.6370839936608546E-2</v>
      </c>
      <c r="AA622" s="214">
        <f t="shared" si="399"/>
        <v>6.8927789934354555E-2</v>
      </c>
      <c r="AB622" s="214">
        <f>IFERROR(AB617/AA617-1,"na")</f>
        <v>9.1777550324121382E-2</v>
      </c>
      <c r="AQ622" s="214"/>
    </row>
    <row r="623" spans="1:43" s="63" customFormat="1" hidden="1" outlineLevel="1">
      <c r="A623" s="199"/>
      <c r="B623" s="199"/>
      <c r="C623" s="142"/>
      <c r="E623" s="84" t="str">
        <f>E618&amp;" - Growth (%)"</f>
        <v>Data processing, internet publishing, and other information services - Growth (%)</v>
      </c>
      <c r="H623" s="214" t="str">
        <f t="shared" ref="H623:AA623" si="400">IFERROR(H618/G618-1,"na")</f>
        <v>na</v>
      </c>
      <c r="I623" s="214">
        <f t="shared" si="400"/>
        <v>0.62551440329218111</v>
      </c>
      <c r="J623" s="214">
        <f t="shared" si="400"/>
        <v>0.54936708860759498</v>
      </c>
      <c r="K623" s="214">
        <f t="shared" si="400"/>
        <v>3.1045751633986818E-2</v>
      </c>
      <c r="L623" s="214">
        <f t="shared" si="400"/>
        <v>0.17432646592709977</v>
      </c>
      <c r="M623" s="214">
        <f t="shared" si="400"/>
        <v>-2.9689608636976894E-2</v>
      </c>
      <c r="N623" s="214">
        <f t="shared" si="400"/>
        <v>0.13908205841446453</v>
      </c>
      <c r="O623" s="214">
        <f t="shared" si="400"/>
        <v>-0.20390720390720396</v>
      </c>
      <c r="P623" s="214">
        <f t="shared" si="400"/>
        <v>0.27147239263803691</v>
      </c>
      <c r="Q623" s="214">
        <f t="shared" si="400"/>
        <v>4.1013268998793651E-2</v>
      </c>
      <c r="R623" s="214">
        <f t="shared" si="400"/>
        <v>0.17033603707995359</v>
      </c>
      <c r="S623" s="214">
        <f t="shared" si="400"/>
        <v>0.13663366336633653</v>
      </c>
      <c r="T623" s="214">
        <f t="shared" si="400"/>
        <v>-8.275261324041816E-2</v>
      </c>
      <c r="U623" s="214">
        <f t="shared" si="400"/>
        <v>0.25071225071225056</v>
      </c>
      <c r="V623" s="214">
        <f t="shared" si="400"/>
        <v>0.13439635535307537</v>
      </c>
      <c r="W623" s="214">
        <f t="shared" si="400"/>
        <v>0.13654618473895597</v>
      </c>
      <c r="X623" s="214">
        <f t="shared" si="400"/>
        <v>0.14958775029446403</v>
      </c>
      <c r="Y623" s="214">
        <f t="shared" si="400"/>
        <v>8.9139344262295195E-2</v>
      </c>
      <c r="Z623" s="214">
        <f t="shared" si="400"/>
        <v>0.14299153339604898</v>
      </c>
      <c r="AA623" s="214">
        <f t="shared" si="400"/>
        <v>0.17407407407407405</v>
      </c>
      <c r="AB623" s="214">
        <f>IFERROR(AB618/AA618-1,"na")</f>
        <v>0.11566771819137744</v>
      </c>
      <c r="AQ623" s="214"/>
    </row>
    <row r="624" spans="1:43" s="63" customFormat="1" hidden="1" outlineLevel="1">
      <c r="A624" s="199"/>
      <c r="B624" s="199"/>
      <c r="C624" s="142"/>
      <c r="E624" s="84" t="str">
        <f>E619&amp;" - Growth (%)"</f>
        <v>Computer systems design and related services - Growth (%)</v>
      </c>
      <c r="H624" s="214" t="str">
        <f t="shared" ref="H624:AA624" si="401">IFERROR(H619/G619-1,"na")</f>
        <v>na</v>
      </c>
      <c r="I624" s="214">
        <f t="shared" si="401"/>
        <v>3.5933391761612699E-2</v>
      </c>
      <c r="J624" s="214">
        <f t="shared" si="401"/>
        <v>-6.768189509306255E-2</v>
      </c>
      <c r="K624" s="214">
        <f t="shared" si="401"/>
        <v>5.0816696914700588E-2</v>
      </c>
      <c r="L624" s="214">
        <f t="shared" si="401"/>
        <v>6.1312607944732367E-2</v>
      </c>
      <c r="M624" s="214">
        <f t="shared" si="401"/>
        <v>9.76403580146461E-2</v>
      </c>
      <c r="N624" s="214">
        <f t="shared" si="401"/>
        <v>0.10452186805040764</v>
      </c>
      <c r="O624" s="214">
        <f t="shared" si="401"/>
        <v>0.12147651006711402</v>
      </c>
      <c r="P624" s="214">
        <f t="shared" si="401"/>
        <v>8.5577498503889959E-2</v>
      </c>
      <c r="Q624" s="214">
        <f t="shared" si="401"/>
        <v>4.1345093715545733E-2</v>
      </c>
      <c r="R624" s="214">
        <f t="shared" si="401"/>
        <v>7.4113287453679177E-2</v>
      </c>
      <c r="S624" s="214">
        <f t="shared" si="401"/>
        <v>0.10793494332183351</v>
      </c>
      <c r="T624" s="214">
        <f t="shared" si="401"/>
        <v>0.12411032028469737</v>
      </c>
      <c r="U624" s="214">
        <f t="shared" si="401"/>
        <v>9.893153937475363E-3</v>
      </c>
      <c r="V624" s="214">
        <f t="shared" si="401"/>
        <v>4.2711598746081547E-2</v>
      </c>
      <c r="W624" s="214">
        <f t="shared" si="401"/>
        <v>7.065013152950006E-2</v>
      </c>
      <c r="X624" s="214">
        <f t="shared" si="401"/>
        <v>7.0200070200070241E-2</v>
      </c>
      <c r="Y624" s="214">
        <f t="shared" si="401"/>
        <v>5.8707773040341138E-2</v>
      </c>
      <c r="Z624" s="214">
        <f t="shared" si="401"/>
        <v>9.4795539033457166E-2</v>
      </c>
      <c r="AA624" s="214">
        <f t="shared" si="401"/>
        <v>4.8387096774193505E-2</v>
      </c>
      <c r="AB624" s="214">
        <f>IFERROR(AB619/AA619-1,"na")</f>
        <v>-1.0526315789473606E-2</v>
      </c>
      <c r="AQ624" s="214"/>
    </row>
    <row r="625" spans="1:43" s="63" customFormat="1" hidden="1" outlineLevel="1">
      <c r="A625" s="199"/>
      <c r="B625" s="199"/>
      <c r="C625" s="142"/>
      <c r="E625" s="63" t="str">
        <f>E620&amp;" - Growth (%)"</f>
        <v>IT Services Value-Add Est. - U.S. ($bln) - Growth (%)</v>
      </c>
      <c r="H625" s="214" t="str">
        <f t="shared" ref="H625:AA625" si="402">IFERROR(H620/G620-1,"na")</f>
        <v>na</v>
      </c>
      <c r="I625" s="214">
        <f t="shared" si="402"/>
        <v>7.6681085332284793E-2</v>
      </c>
      <c r="J625" s="214">
        <f t="shared" si="402"/>
        <v>0.12600438276113946</v>
      </c>
      <c r="K625" s="214">
        <f t="shared" si="402"/>
        <v>5.2546221213104038E-2</v>
      </c>
      <c r="L625" s="214">
        <f t="shared" si="402"/>
        <v>0.10200308166409866</v>
      </c>
      <c r="M625" s="214">
        <f t="shared" si="402"/>
        <v>6.0961968680089296E-2</v>
      </c>
      <c r="N625" s="214">
        <f t="shared" si="402"/>
        <v>3.6109646810754015E-2</v>
      </c>
      <c r="O625" s="214">
        <f t="shared" si="402"/>
        <v>7.8860340880183122E-2</v>
      </c>
      <c r="P625" s="214">
        <f t="shared" si="402"/>
        <v>6.9323272813015757E-2</v>
      </c>
      <c r="Q625" s="214">
        <f t="shared" si="402"/>
        <v>0</v>
      </c>
      <c r="R625" s="214">
        <f t="shared" si="402"/>
        <v>8.2690187431091466E-2</v>
      </c>
      <c r="S625" s="214">
        <f t="shared" si="402"/>
        <v>8.9409368635438025E-2</v>
      </c>
      <c r="T625" s="214">
        <f t="shared" si="402"/>
        <v>4.7298560478594043E-2</v>
      </c>
      <c r="U625" s="214">
        <f t="shared" si="402"/>
        <v>6.6940378436272763E-2</v>
      </c>
      <c r="V625" s="214">
        <f t="shared" si="402"/>
        <v>5.9561653003178838E-2</v>
      </c>
      <c r="W625" s="214">
        <f t="shared" si="402"/>
        <v>7.1214274435496439E-2</v>
      </c>
      <c r="X625" s="214">
        <f t="shared" si="402"/>
        <v>8.2841981132075304E-2</v>
      </c>
      <c r="Y625" s="214">
        <f t="shared" si="402"/>
        <v>7.2420364824394401E-2</v>
      </c>
      <c r="Z625" s="214">
        <f t="shared" si="402"/>
        <v>0.10510281797410514</v>
      </c>
      <c r="AA625" s="214">
        <f t="shared" si="402"/>
        <v>8.9937973811164751E-2</v>
      </c>
      <c r="AB625" s="214">
        <f>IFERROR(AB620/AA620-1,"na")</f>
        <v>5.9015702392243519E-2</v>
      </c>
      <c r="AQ625" s="214"/>
    </row>
    <row r="626" spans="1:43" collapsed="1">
      <c r="AQ626" s="214"/>
    </row>
    <row r="627" spans="1:43">
      <c r="D627" s="104"/>
      <c r="E627" s="105" t="s">
        <v>550</v>
      </c>
      <c r="F627" s="104"/>
      <c r="G627" s="105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  <c r="AA627" s="104"/>
      <c r="AB627" s="104"/>
      <c r="AC627" s="104"/>
      <c r="AD627" s="104"/>
      <c r="AE627" s="104"/>
      <c r="AF627" s="104"/>
      <c r="AG627" s="104"/>
      <c r="AH627" s="104"/>
      <c r="AI627" s="104"/>
      <c r="AJ627" s="104"/>
      <c r="AK627" s="104"/>
      <c r="AL627" s="104"/>
      <c r="AM627" s="104"/>
      <c r="AN627" s="104"/>
    </row>
    <row r="628" spans="1:43" s="36" customFormat="1" ht="5.0999999999999996" hidden="1" customHeight="1" outlineLevel="1">
      <c r="A628" s="301"/>
      <c r="B628" s="301"/>
      <c r="E628" s="143"/>
      <c r="G628" s="143"/>
    </row>
    <row r="629" spans="1:43" hidden="1" outlineLevel="1">
      <c r="E629" s="70" t="s">
        <v>528</v>
      </c>
      <c r="H629" s="225"/>
      <c r="I629" s="225"/>
      <c r="J629" s="225"/>
      <c r="K629" s="225"/>
      <c r="L629" s="225"/>
      <c r="M629" s="225"/>
      <c r="N629" s="225"/>
      <c r="O629" s="225"/>
      <c r="P629" s="225"/>
      <c r="Q629" s="225"/>
      <c r="R629" s="225"/>
      <c r="S629" s="225"/>
      <c r="T629" s="225">
        <v>13630</v>
      </c>
      <c r="U629" s="225">
        <v>13589</v>
      </c>
      <c r="V629" s="225">
        <v>13600</v>
      </c>
      <c r="W629" s="225">
        <v>13415</v>
      </c>
      <c r="X629" s="225">
        <v>13100</v>
      </c>
      <c r="Y629" s="225">
        <v>13000</v>
      </c>
      <c r="Z629" s="225">
        <v>12700</v>
      </c>
    </row>
    <row r="630" spans="1:43" hidden="1" outlineLevel="1">
      <c r="E630" s="70" t="s">
        <v>529</v>
      </c>
      <c r="H630" s="225"/>
      <c r="I630" s="225"/>
      <c r="J630" s="225"/>
      <c r="K630" s="225"/>
      <c r="L630" s="225"/>
      <c r="M630" s="225"/>
      <c r="N630" s="225"/>
      <c r="O630" s="225"/>
      <c r="P630" s="225"/>
      <c r="Q630" s="225"/>
      <c r="R630" s="225"/>
      <c r="S630" s="225"/>
      <c r="T630" s="225">
        <v>258537</v>
      </c>
      <c r="U630" s="225">
        <v>270186</v>
      </c>
      <c r="V630" s="225">
        <v>294901</v>
      </c>
      <c r="W630" s="225">
        <v>311651</v>
      </c>
      <c r="X630" s="225">
        <v>332502</v>
      </c>
      <c r="Y630" s="225">
        <v>355770</v>
      </c>
      <c r="Z630" s="225">
        <v>382793</v>
      </c>
    </row>
    <row r="631" spans="1:43" hidden="1" outlineLevel="1">
      <c r="E631" s="70" t="s">
        <v>530</v>
      </c>
      <c r="H631" s="225"/>
      <c r="I631" s="225"/>
      <c r="J631" s="225"/>
      <c r="K631" s="225"/>
      <c r="L631" s="225"/>
      <c r="M631" s="225"/>
      <c r="N631" s="225"/>
      <c r="O631" s="225"/>
      <c r="P631" s="225"/>
      <c r="Q631" s="225"/>
      <c r="R631" s="225"/>
      <c r="S631" s="225"/>
      <c r="T631" s="225">
        <v>271176</v>
      </c>
      <c r="U631" s="225">
        <v>293049</v>
      </c>
      <c r="V631" s="225">
        <v>307953</v>
      </c>
      <c r="W631" s="225">
        <v>325620</v>
      </c>
      <c r="X631" s="225">
        <v>345779</v>
      </c>
      <c r="Y631" s="225">
        <v>365036</v>
      </c>
      <c r="Z631" s="225">
        <v>383918</v>
      </c>
    </row>
    <row r="632" spans="1:43" hidden="1" outlineLevel="1">
      <c r="E632" s="70" t="s">
        <v>531</v>
      </c>
      <c r="H632" s="225"/>
      <c r="I632" s="225"/>
      <c r="J632" s="225"/>
      <c r="K632" s="225"/>
      <c r="L632" s="225"/>
      <c r="M632" s="225"/>
      <c r="N632" s="225"/>
      <c r="O632" s="225"/>
      <c r="P632" s="225"/>
      <c r="Q632" s="225"/>
      <c r="R632" s="225"/>
      <c r="S632" s="225"/>
      <c r="T632" s="225">
        <v>20959</v>
      </c>
      <c r="U632" s="225">
        <v>23151</v>
      </c>
      <c r="V632" s="225">
        <v>25800</v>
      </c>
      <c r="W632" s="225">
        <v>26500</v>
      </c>
      <c r="X632" s="225">
        <v>27318</v>
      </c>
      <c r="Y632" s="225">
        <v>28500</v>
      </c>
      <c r="Z632" s="225">
        <v>29592</v>
      </c>
    </row>
    <row r="633" spans="1:43" hidden="1" outlineLevel="1">
      <c r="E633" s="70" t="s">
        <v>532</v>
      </c>
      <c r="H633" s="225"/>
      <c r="I633" s="225"/>
      <c r="J633" s="225"/>
      <c r="K633" s="225"/>
      <c r="L633" s="225"/>
      <c r="M633" s="225"/>
      <c r="N633" s="225"/>
      <c r="O633" s="225"/>
      <c r="P633" s="225"/>
      <c r="Q633" s="225"/>
      <c r="R633" s="225"/>
      <c r="S633" s="225"/>
      <c r="T633" s="225">
        <v>105137</v>
      </c>
      <c r="U633" s="225">
        <v>100505</v>
      </c>
      <c r="V633" s="225">
        <v>110000</v>
      </c>
      <c r="W633" s="225">
        <v>108000</v>
      </c>
      <c r="X633" s="225">
        <v>108178</v>
      </c>
      <c r="Y633" s="225">
        <v>110000</v>
      </c>
      <c r="Z633" s="225">
        <v>111672</v>
      </c>
    </row>
    <row r="634" spans="1:43" hidden="1" outlineLevel="1">
      <c r="E634" s="70" t="s">
        <v>533</v>
      </c>
      <c r="H634" s="225"/>
      <c r="I634" s="225"/>
      <c r="J634" s="225"/>
      <c r="K634" s="225"/>
      <c r="L634" s="225"/>
      <c r="M634" s="225"/>
      <c r="N634" s="225"/>
      <c r="O634" s="225"/>
      <c r="P634" s="225"/>
      <c r="Q634" s="225"/>
      <c r="R634" s="225"/>
      <c r="S634" s="225"/>
      <c r="T634" s="225">
        <v>144077</v>
      </c>
      <c r="U634" s="225">
        <v>146810</v>
      </c>
      <c r="V634" s="225">
        <v>152389</v>
      </c>
      <c r="W634" s="225">
        <v>152784</v>
      </c>
      <c r="X634" s="225">
        <v>153083</v>
      </c>
      <c r="Y634" s="225">
        <v>156000</v>
      </c>
      <c r="Z634" s="225">
        <v>160588</v>
      </c>
    </row>
    <row r="635" spans="1:43" s="3" customFormat="1" hidden="1" outlineLevel="1">
      <c r="A635" s="110"/>
      <c r="B635" s="110"/>
      <c r="C635" s="143"/>
      <c r="E635" s="150" t="s">
        <v>544</v>
      </c>
      <c r="F635" s="2"/>
      <c r="G635" s="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>
        <f t="shared" ref="T635:Z635" si="403">SUM(T629:T634)</f>
        <v>813516</v>
      </c>
      <c r="U635" s="102">
        <f t="shared" si="403"/>
        <v>847290</v>
      </c>
      <c r="V635" s="102">
        <f t="shared" si="403"/>
        <v>904643</v>
      </c>
      <c r="W635" s="102">
        <f t="shared" si="403"/>
        <v>937970</v>
      </c>
      <c r="X635" s="102">
        <f t="shared" si="403"/>
        <v>979960</v>
      </c>
      <c r="Y635" s="102">
        <f t="shared" si="403"/>
        <v>1028306</v>
      </c>
      <c r="Z635" s="102">
        <f t="shared" si="403"/>
        <v>1081263</v>
      </c>
      <c r="AA635" s="102"/>
      <c r="AB635" s="102"/>
      <c r="AC635" s="102"/>
      <c r="AD635" s="102"/>
      <c r="AE635" s="102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/>
    </row>
    <row r="636" spans="1:43" s="63" customFormat="1" hidden="1" outlineLevel="1">
      <c r="A636" s="199"/>
      <c r="B636" s="199"/>
      <c r="C636" s="142"/>
      <c r="E636" s="84" t="s">
        <v>540</v>
      </c>
      <c r="U636" s="175">
        <f t="shared" ref="U636:Z636" si="404">U635/T635-1</f>
        <v>4.1516085731565289E-2</v>
      </c>
      <c r="V636" s="175">
        <f t="shared" si="404"/>
        <v>6.7689929067969556E-2</v>
      </c>
      <c r="W636" s="175">
        <f t="shared" si="404"/>
        <v>3.6839946807746271E-2</v>
      </c>
      <c r="X636" s="175">
        <f t="shared" si="404"/>
        <v>4.4766890199046783E-2</v>
      </c>
      <c r="Y636" s="175">
        <f t="shared" si="404"/>
        <v>4.9334666721090548E-2</v>
      </c>
      <c r="Z636" s="175">
        <f t="shared" si="404"/>
        <v>5.1499261892860693E-2</v>
      </c>
    </row>
    <row r="637" spans="1:43" hidden="1" outlineLevel="1"/>
    <row r="638" spans="1:43" hidden="1" outlineLevel="1">
      <c r="E638" s="70" t="s">
        <v>534</v>
      </c>
      <c r="H638" s="323"/>
      <c r="I638" s="323"/>
      <c r="J638" s="323"/>
      <c r="K638" s="323"/>
      <c r="L638" s="323"/>
      <c r="M638" s="323"/>
      <c r="N638" s="323"/>
      <c r="O638" s="323"/>
      <c r="P638" s="323"/>
      <c r="Q638" s="323"/>
      <c r="R638" s="323"/>
      <c r="S638" s="323"/>
      <c r="T638" s="323">
        <v>0.43237502397002642</v>
      </c>
      <c r="U638" s="323">
        <v>0.42968995267263865</v>
      </c>
      <c r="V638" s="323">
        <v>0.42746144059037655</v>
      </c>
      <c r="W638" s="323">
        <v>0.41962429502009657</v>
      </c>
      <c r="X638" s="323">
        <v>0.4127158251357198</v>
      </c>
      <c r="Y638" s="323">
        <v>0.41672323218964002</v>
      </c>
      <c r="Z638" s="323">
        <v>0.42331791617765518</v>
      </c>
    </row>
    <row r="639" spans="1:43" hidden="1" outlineLevel="1">
      <c r="E639" s="70" t="s">
        <v>535</v>
      </c>
      <c r="H639" s="323"/>
      <c r="I639" s="323"/>
      <c r="J639" s="323"/>
      <c r="K639" s="323"/>
      <c r="L639" s="323"/>
      <c r="M639" s="323"/>
      <c r="N639" s="323"/>
      <c r="O639" s="323"/>
      <c r="P639" s="323"/>
      <c r="Q639" s="323"/>
      <c r="R639" s="323"/>
      <c r="S639" s="323"/>
      <c r="T639" s="323">
        <v>7.5323656818058901E-2</v>
      </c>
      <c r="U639" s="323">
        <v>6.8566567836403955E-2</v>
      </c>
      <c r="V639" s="323">
        <v>6.7735606921068545E-2</v>
      </c>
      <c r="W639" s="323">
        <v>6.6749762758200201E-2</v>
      </c>
      <c r="X639" s="323">
        <v>5.9033872720389027E-2</v>
      </c>
      <c r="Y639" s="323">
        <v>5.79447730591654E-2</v>
      </c>
      <c r="Z639" s="323">
        <v>6.517634564040535E-2</v>
      </c>
    </row>
    <row r="640" spans="1:43" hidden="1" outlineLevel="1">
      <c r="E640" s="70" t="s">
        <v>536</v>
      </c>
      <c r="H640" s="323"/>
      <c r="I640" s="323"/>
      <c r="J640" s="323"/>
      <c r="K640" s="323"/>
      <c r="L640" s="323"/>
      <c r="M640" s="323"/>
      <c r="N640" s="323"/>
      <c r="O640" s="323"/>
      <c r="P640" s="323"/>
      <c r="Q640" s="323"/>
      <c r="R640" s="323"/>
      <c r="S640" s="323"/>
      <c r="T640" s="323">
        <v>0.41855353797589723</v>
      </c>
      <c r="U640" s="323">
        <v>0.50447662547651928</v>
      </c>
      <c r="V640" s="323">
        <v>0.50349806498254013</v>
      </c>
      <c r="W640" s="323">
        <v>0.51813277610158104</v>
      </c>
      <c r="X640" s="323">
        <v>0.5314104657332952</v>
      </c>
      <c r="Y640" s="323">
        <v>0.53300962942937224</v>
      </c>
      <c r="Z640" s="323">
        <v>0.52683389702597794</v>
      </c>
    </row>
    <row r="641" spans="1:44" hidden="1" outlineLevel="1">
      <c r="T641" s="65"/>
    </row>
    <row r="642" spans="1:44" hidden="1" outlineLevel="1">
      <c r="E642" t="s">
        <v>537</v>
      </c>
      <c r="H642" s="225"/>
      <c r="I642" s="225"/>
      <c r="J642" s="225"/>
      <c r="K642" s="225"/>
      <c r="L642" s="225"/>
      <c r="M642" s="225"/>
      <c r="N642" s="225"/>
      <c r="O642" s="225"/>
      <c r="P642" s="225"/>
      <c r="Q642" s="225"/>
      <c r="R642" s="225"/>
      <c r="S642" s="225"/>
      <c r="T642" s="285">
        <v>1.1190212199781659</v>
      </c>
      <c r="U642" s="285">
        <v>0.97911402140235992</v>
      </c>
      <c r="V642" s="285">
        <v>1.1593147142487716</v>
      </c>
      <c r="W642" s="285">
        <v>1.118256075407462</v>
      </c>
      <c r="X642" s="285">
        <v>1.1048894163606919</v>
      </c>
      <c r="Y642" s="285">
        <v>1.1160812006002068</v>
      </c>
      <c r="Z642" s="285">
        <v>1.0993624895678125</v>
      </c>
    </row>
    <row r="643" spans="1:44" hidden="1" outlineLevel="1">
      <c r="E643" t="s">
        <v>538</v>
      </c>
      <c r="H643" s="225"/>
      <c r="I643" s="225"/>
      <c r="J643" s="225"/>
      <c r="K643" s="225"/>
      <c r="L643" s="225"/>
      <c r="M643" s="225"/>
      <c r="N643" s="225"/>
      <c r="O643" s="225"/>
      <c r="P643" s="225"/>
      <c r="Q643" s="225"/>
      <c r="R643" s="225"/>
      <c r="S643" s="225"/>
      <c r="T643" s="225">
        <v>10.338985263638886</v>
      </c>
      <c r="U643" s="225">
        <v>5.6090354965937612</v>
      </c>
      <c r="V643" s="225">
        <v>6.0399608013937289</v>
      </c>
      <c r="W643" s="225">
        <v>5.775993517734153</v>
      </c>
      <c r="X643" s="225">
        <v>6.6733159812597611</v>
      </c>
      <c r="Y643" s="225">
        <v>5.6035130147012024</v>
      </c>
      <c r="Z643" s="225">
        <v>5.2868431971634422</v>
      </c>
    </row>
    <row r="644" spans="1:44" hidden="1" outlineLevel="1">
      <c r="E644" t="s">
        <v>539</v>
      </c>
      <c r="H644" s="225"/>
      <c r="I644" s="225"/>
      <c r="J644" s="225"/>
      <c r="K644" s="225"/>
      <c r="L644" s="225"/>
      <c r="M644" s="225"/>
      <c r="N644" s="225"/>
      <c r="O644" s="225"/>
      <c r="P644" s="225"/>
      <c r="Q644" s="225"/>
      <c r="R644" s="225"/>
      <c r="S644" s="225"/>
      <c r="T644" s="225">
        <v>7.9526519823788551</v>
      </c>
      <c r="U644" s="225">
        <v>4.5829360047539058</v>
      </c>
      <c r="V644" s="225">
        <v>7.2632901999183286</v>
      </c>
      <c r="W644" s="225">
        <v>6.8055877348027645</v>
      </c>
      <c r="X644" s="225">
        <v>7.047426746626571</v>
      </c>
      <c r="Y644" s="225">
        <v>4.7371176999691658</v>
      </c>
      <c r="Z644" s="225">
        <v>4.6970592262563065</v>
      </c>
    </row>
    <row r="645" spans="1:44" hidden="1" outlineLevel="1"/>
    <row r="646" spans="1:44" hidden="1" outlineLevel="1"/>
    <row r="647" spans="1:44" hidden="1" outlineLevel="1">
      <c r="E647" t="s">
        <v>468</v>
      </c>
      <c r="H647" s="284"/>
      <c r="I647" s="284"/>
      <c r="J647" s="284"/>
      <c r="K647" s="284"/>
      <c r="L647" s="284"/>
      <c r="M647" s="284"/>
      <c r="N647" s="284"/>
      <c r="O647" s="284"/>
      <c r="P647" s="284"/>
      <c r="Q647" s="284"/>
      <c r="R647" s="284">
        <v>305.60000000000002</v>
      </c>
      <c r="S647" s="284">
        <v>306.8</v>
      </c>
      <c r="T647" s="284">
        <v>318.8</v>
      </c>
      <c r="U647" s="284">
        <v>322.39999999999998</v>
      </c>
      <c r="V647" s="284">
        <v>330.4</v>
      </c>
      <c r="W647" s="284">
        <v>338.1</v>
      </c>
      <c r="X647" s="284">
        <v>348.9</v>
      </c>
      <c r="Y647" s="284">
        <v>369.8</v>
      </c>
      <c r="Z647" s="284">
        <v>387.4</v>
      </c>
      <c r="AA647" s="284">
        <v>409.4</v>
      </c>
      <c r="AB647" s="284">
        <v>410.2</v>
      </c>
      <c r="AC647" s="299">
        <v>417.3</v>
      </c>
      <c r="AQ647" s="14"/>
      <c r="AR647" s="14"/>
    </row>
    <row r="648" spans="1:44" s="63" customFormat="1" hidden="1" outlineLevel="1">
      <c r="A648" s="199"/>
      <c r="B648" s="199"/>
      <c r="C648" s="142"/>
      <c r="E648" s="84" t="s">
        <v>469</v>
      </c>
      <c r="S648" s="175">
        <f t="shared" ref="S648:AB648" si="405">S647/R647-1</f>
        <v>3.9267015706805353E-3</v>
      </c>
      <c r="T648" s="175">
        <f t="shared" si="405"/>
        <v>3.9113428943937434E-2</v>
      </c>
      <c r="U648" s="175">
        <f t="shared" si="405"/>
        <v>1.1292346298619638E-2</v>
      </c>
      <c r="V648" s="175">
        <f t="shared" si="405"/>
        <v>2.4813895781637729E-2</v>
      </c>
      <c r="W648" s="175">
        <f t="shared" si="405"/>
        <v>2.3305084745762761E-2</v>
      </c>
      <c r="X648" s="175">
        <f t="shared" si="405"/>
        <v>3.1943212067435445E-2</v>
      </c>
      <c r="Y648" s="175">
        <f t="shared" si="405"/>
        <v>5.9902550874176175E-2</v>
      </c>
      <c r="Z648" s="175">
        <f t="shared" si="405"/>
        <v>4.7593293672255177E-2</v>
      </c>
      <c r="AA648" s="175">
        <f t="shared" si="405"/>
        <v>5.6788848735157549E-2</v>
      </c>
      <c r="AB648" s="175">
        <f t="shared" si="405"/>
        <v>1.9540791402052893E-3</v>
      </c>
      <c r="AC648" s="175">
        <f>AC647/AB647-1</f>
        <v>1.7308629936616304E-2</v>
      </c>
    </row>
    <row r="649" spans="1:44" hidden="1" outlineLevel="1"/>
    <row r="650" spans="1:44" hidden="1" outlineLevel="1">
      <c r="E650" t="s">
        <v>541</v>
      </c>
      <c r="H650" s="324"/>
      <c r="I650" s="324"/>
      <c r="J650" s="324"/>
      <c r="K650" s="324"/>
      <c r="L650" s="324"/>
      <c r="M650" s="324"/>
      <c r="N650" s="324"/>
      <c r="O650" s="324"/>
      <c r="P650" s="324"/>
      <c r="Q650" s="324"/>
      <c r="R650" s="324"/>
      <c r="S650" s="324">
        <v>512</v>
      </c>
      <c r="T650" s="324">
        <v>521.97289999999998</v>
      </c>
      <c r="U650" s="324">
        <v>523.73149999999998</v>
      </c>
      <c r="V650" s="324">
        <v>552.29499999999996</v>
      </c>
      <c r="W650" s="324">
        <v>600.60149999999999</v>
      </c>
      <c r="X650" s="324">
        <v>597.64730000000009</v>
      </c>
      <c r="Y650" s="324">
        <v>622.07380000000001</v>
      </c>
      <c r="Z650" s="324">
        <v>661.34780000000001</v>
      </c>
      <c r="AR650" s="20"/>
    </row>
    <row r="651" spans="1:44" s="63" customFormat="1" hidden="1" outlineLevel="1">
      <c r="A651" s="199"/>
      <c r="B651" s="199"/>
      <c r="C651" s="142"/>
      <c r="E651" s="84" t="s">
        <v>540</v>
      </c>
      <c r="T651" s="175">
        <f t="shared" ref="T651:Y651" si="406">T650/S650-1</f>
        <v>1.9478320312499964E-2</v>
      </c>
      <c r="U651" s="175">
        <f t="shared" si="406"/>
        <v>3.3691404285547399E-3</v>
      </c>
      <c r="V651" s="175">
        <f t="shared" si="406"/>
        <v>5.4538441930645609E-2</v>
      </c>
      <c r="W651" s="175">
        <f t="shared" si="406"/>
        <v>8.7465032274418597E-2</v>
      </c>
      <c r="X651" s="175">
        <f t="shared" si="406"/>
        <v>-4.9187356341932054E-3</v>
      </c>
      <c r="Y651" s="175">
        <f t="shared" si="406"/>
        <v>4.0871095711467076E-2</v>
      </c>
      <c r="Z651" s="175">
        <f>Z650/Y650-1</f>
        <v>6.3133988282419118E-2</v>
      </c>
    </row>
    <row r="652" spans="1:44" hidden="1" outlineLevel="1"/>
    <row r="653" spans="1:44" s="3" customFormat="1" hidden="1" outlineLevel="1">
      <c r="A653" s="110"/>
      <c r="B653" s="110"/>
      <c r="C653" s="143"/>
      <c r="E653" s="150" t="s">
        <v>545</v>
      </c>
      <c r="F653" s="2"/>
      <c r="G653" s="2"/>
      <c r="H653" s="305"/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>
        <v>105943</v>
      </c>
      <c r="U653" s="305">
        <v>105539</v>
      </c>
      <c r="V653" s="305">
        <v>107489</v>
      </c>
      <c r="W653" s="305">
        <v>106605</v>
      </c>
      <c r="X653" s="305">
        <v>107639</v>
      </c>
      <c r="Y653" s="305">
        <v>109188</v>
      </c>
      <c r="Z653" s="305">
        <v>107410</v>
      </c>
      <c r="AA653" s="102"/>
      <c r="AB653" s="102"/>
      <c r="AC653" s="102"/>
      <c r="AD653" s="102"/>
      <c r="AE653" s="102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/>
    </row>
    <row r="654" spans="1:44" hidden="1" outlineLevel="1"/>
    <row r="655" spans="1:44" hidden="1" outlineLevel="1">
      <c r="E655" s="70" t="s">
        <v>536</v>
      </c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>
        <v>0.31874687331867135</v>
      </c>
      <c r="U655" s="323">
        <v>0.31840362330512889</v>
      </c>
      <c r="V655" s="323">
        <v>0.32512164035389668</v>
      </c>
      <c r="W655" s="323">
        <v>0.32942169691853102</v>
      </c>
      <c r="X655" s="323">
        <v>0.34093590613067754</v>
      </c>
      <c r="Y655" s="323">
        <v>0.35069787888778986</v>
      </c>
      <c r="Z655" s="323">
        <v>0.34432548179871519</v>
      </c>
    </row>
    <row r="656" spans="1:44" hidden="1" outlineLevel="1"/>
    <row r="657" spans="1:44" hidden="1" outlineLevel="1">
      <c r="E657" s="70" t="s">
        <v>546</v>
      </c>
      <c r="T657" s="88">
        <f t="shared" ref="T657:Y657" si="407">T653*T655</f>
        <v>33769</v>
      </c>
      <c r="U657" s="88">
        <f t="shared" si="407"/>
        <v>33604</v>
      </c>
      <c r="V657" s="88">
        <f t="shared" si="407"/>
        <v>34947</v>
      </c>
      <c r="W657" s="88">
        <f t="shared" si="407"/>
        <v>35118</v>
      </c>
      <c r="X657" s="88">
        <f t="shared" si="407"/>
        <v>36698</v>
      </c>
      <c r="Y657" s="88">
        <f t="shared" si="407"/>
        <v>38292</v>
      </c>
      <c r="Z657" s="88">
        <f>Z653*Z655</f>
        <v>36984</v>
      </c>
      <c r="AR657" s="20"/>
    </row>
    <row r="658" spans="1:44" hidden="1" outlineLevel="1">
      <c r="E658" s="70" t="s">
        <v>547</v>
      </c>
      <c r="T658">
        <f t="shared" ref="T658:Y658" si="408">T659-T657</f>
        <v>306731</v>
      </c>
      <c r="U658">
        <f t="shared" si="408"/>
        <v>393834</v>
      </c>
      <c r="V658">
        <f t="shared" si="408"/>
        <v>420539.00000000006</v>
      </c>
      <c r="W658">
        <f t="shared" si="408"/>
        <v>450874.99999999994</v>
      </c>
      <c r="X658">
        <f t="shared" si="408"/>
        <v>484062.99999999994</v>
      </c>
      <c r="Y658">
        <f t="shared" si="408"/>
        <v>509805</v>
      </c>
      <c r="Z658" s="7">
        <f>Z659-Z657</f>
        <v>532662</v>
      </c>
      <c r="AR658" s="20"/>
    </row>
    <row r="659" spans="1:44" s="3" customFormat="1" hidden="1" outlineLevel="1">
      <c r="A659" s="110"/>
      <c r="B659" s="110"/>
      <c r="C659" s="143"/>
      <c r="E659" s="150" t="s">
        <v>546</v>
      </c>
      <c r="F659" s="2"/>
      <c r="G659" s="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>
        <f t="shared" ref="T659:Y659" si="409">T635*T640</f>
        <v>340500</v>
      </c>
      <c r="U659" s="102">
        <f t="shared" si="409"/>
        <v>427438</v>
      </c>
      <c r="V659" s="102">
        <f t="shared" si="409"/>
        <v>455486.00000000006</v>
      </c>
      <c r="W659" s="102">
        <f t="shared" si="409"/>
        <v>485992.99999999994</v>
      </c>
      <c r="X659" s="102">
        <f t="shared" si="409"/>
        <v>520760.99999999994</v>
      </c>
      <c r="Y659" s="102">
        <f t="shared" si="409"/>
        <v>548097</v>
      </c>
      <c r="Z659" s="102">
        <f>Z635*Z640</f>
        <v>569646</v>
      </c>
      <c r="AA659" s="102"/>
      <c r="AB659" s="102"/>
      <c r="AC659" s="102"/>
      <c r="AD659" s="102"/>
      <c r="AE659" s="102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/>
      <c r="AR659" s="20"/>
    </row>
    <row r="660" spans="1:44" collapsed="1"/>
  </sheetData>
  <conditionalFormatting sqref="Y154:AL154">
    <cfRule type="cellIs" dxfId="21" priority="38" operator="equal">
      <formula>FALSE</formula>
    </cfRule>
  </conditionalFormatting>
  <conditionalFormatting sqref="AM154">
    <cfRule type="cellIs" dxfId="20" priority="18" operator="equal">
      <formula>FALSE</formula>
    </cfRule>
  </conditionalFormatting>
  <conditionalFormatting sqref="AN154">
    <cfRule type="cellIs" dxfId="19" priority="15" operator="equal">
      <formula>FALSE</formula>
    </cfRule>
  </conditionalFormatting>
  <pageMargins left="0.7" right="0.7" top="0.75" bottom="0.75" header="0.3" footer="0.3"/>
  <pageSetup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0C00-ED69-44D7-8583-EEE59DE7E8A5}">
  <sheetPr>
    <tabColor theme="6" tint="-0.499984740745262"/>
    <pageSetUpPr fitToPage="1"/>
  </sheetPr>
  <dimension ref="A1:AE475"/>
  <sheetViews>
    <sheetView showGridLines="0" zoomScale="85" zoomScaleNormal="85" workbookViewId="0">
      <pane xSplit="6" ySplit="3" topLeftCell="G4" activePane="bottomRight" state="frozen"/>
      <selection activeCell="L64" sqref="L64"/>
      <selection pane="topRight" activeCell="L64" sqref="L64"/>
      <selection pane="bottomLeft" activeCell="L64" sqref="L64"/>
      <selection pane="bottomRight" activeCell="C3" sqref="C3"/>
    </sheetView>
  </sheetViews>
  <sheetFormatPr defaultRowHeight="15" outlineLevelRow="1" outlineLevelCol="1"/>
  <cols>
    <col min="1" max="1" width="23.42578125" style="109" hidden="1" customWidth="1" outlineLevel="1"/>
    <col min="2" max="2" width="1.7109375" style="36" customWidth="1" collapsed="1"/>
    <col min="3" max="3" width="1.7109375" customWidth="1"/>
    <col min="4" max="4" width="15.7109375" customWidth="1"/>
    <col min="5" max="5" width="17.28515625" customWidth="1"/>
    <col min="7" max="13" width="9.140625" customWidth="1"/>
    <col min="14" max="20" width="8.7109375" customWidth="1"/>
    <col min="21" max="21" width="9.140625" customWidth="1"/>
  </cols>
  <sheetData>
    <row r="1" spans="1:31" ht="23.25">
      <c r="B1" s="140"/>
      <c r="C1" s="55"/>
      <c r="D1" s="178"/>
      <c r="L1" s="56"/>
      <c r="M1" s="56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1" ht="15.75">
      <c r="D2" s="58"/>
      <c r="E2" s="59"/>
      <c r="O2" s="7"/>
      <c r="P2" s="7"/>
      <c r="Q2" s="7"/>
      <c r="R2" s="7"/>
      <c r="S2" s="7"/>
      <c r="U2" s="7"/>
      <c r="V2" s="7"/>
      <c r="W2" s="7"/>
      <c r="X2" s="7"/>
      <c r="Y2" s="7"/>
      <c r="Z2" s="7"/>
      <c r="AA2" s="7"/>
      <c r="AB2" s="60"/>
      <c r="AC2" s="60"/>
      <c r="AD2" s="60"/>
    </row>
    <row r="3" spans="1:31">
      <c r="B3" s="141"/>
      <c r="C3" s="52"/>
      <c r="D3" s="52"/>
      <c r="E3" s="52"/>
      <c r="F3" s="52"/>
      <c r="G3" s="108" t="s">
        <v>235</v>
      </c>
      <c r="H3" s="52" t="str">
        <f>"Q"&amp;IF(MID(G3,2,1)*1=4,1,MID(G3,2,1)+1)&amp;"/"&amp;IF(MID(G3,2,1)*1=4,MID(G3,4,2)*1+1,MID(G3,4,2))</f>
        <v>Q2/18</v>
      </c>
      <c r="I3" s="52" t="str">
        <f t="shared" ref="I3:O3" si="0">"Q"&amp;IF(MID(H3,2,1)*1=4,1,MID(H3,2,1)+1)&amp;"/"&amp;IF(MID(H3,2,1)*1=4,MID(H3,4,2)*1+1,MID(H3,4,2))</f>
        <v>Q3/18</v>
      </c>
      <c r="J3" s="52" t="str">
        <f t="shared" si="0"/>
        <v>Q4/18</v>
      </c>
      <c r="K3" s="52" t="str">
        <f t="shared" si="0"/>
        <v>Q1/19</v>
      </c>
      <c r="L3" s="52" t="str">
        <f t="shared" si="0"/>
        <v>Q2/19</v>
      </c>
      <c r="M3" s="52" t="str">
        <f t="shared" si="0"/>
        <v>Q3/19</v>
      </c>
      <c r="N3" s="52" t="str">
        <f t="shared" si="0"/>
        <v>Q4/19</v>
      </c>
      <c r="O3" s="52" t="str">
        <f t="shared" si="0"/>
        <v>Q1/20</v>
      </c>
      <c r="P3" s="52" t="str">
        <f t="shared" ref="P3:AD3" si="1">"Q"&amp;IF(MID(O3,2,1)*1=4,1,MID(O3,2,1)+1)&amp;"/"&amp;IF(MID(O3,2,1)*1=4,MID(O3,4,2)*1+1,MID(O3,4,2))</f>
        <v>Q2/20</v>
      </c>
      <c r="Q3" s="52" t="str">
        <f t="shared" si="1"/>
        <v>Q3/20</v>
      </c>
      <c r="R3" s="52" t="str">
        <f t="shared" si="1"/>
        <v>Q4/20</v>
      </c>
      <c r="S3" s="52" t="str">
        <f t="shared" si="1"/>
        <v>Q1/21</v>
      </c>
      <c r="T3" s="52" t="str">
        <f t="shared" si="1"/>
        <v>Q2/21</v>
      </c>
      <c r="U3" s="52" t="str">
        <f t="shared" si="1"/>
        <v>Q3/21</v>
      </c>
      <c r="V3" s="52" t="str">
        <f t="shared" si="1"/>
        <v>Q4/21</v>
      </c>
      <c r="W3" s="52" t="str">
        <f t="shared" si="1"/>
        <v>Q1/22</v>
      </c>
      <c r="X3" s="52" t="str">
        <f t="shared" si="1"/>
        <v>Q2/22</v>
      </c>
      <c r="Y3" s="52" t="str">
        <f t="shared" si="1"/>
        <v>Q3/22</v>
      </c>
      <c r="Z3" s="52" t="str">
        <f t="shared" si="1"/>
        <v>Q4/22</v>
      </c>
      <c r="AA3" s="52" t="str">
        <f t="shared" si="1"/>
        <v>Q1/23</v>
      </c>
      <c r="AB3" s="52" t="str">
        <f t="shared" si="1"/>
        <v>Q2/23</v>
      </c>
      <c r="AC3" s="52" t="str">
        <f t="shared" si="1"/>
        <v>Q3/23</v>
      </c>
      <c r="AD3" s="52" t="str">
        <f t="shared" si="1"/>
        <v>Q4/23</v>
      </c>
    </row>
    <row r="4" spans="1:31">
      <c r="B4" s="141"/>
      <c r="C4" s="52"/>
      <c r="D4" s="52"/>
      <c r="E4" s="52"/>
      <c r="F4" s="52"/>
      <c r="G4" s="108">
        <f>RIGHT(G3,2)*1+2000</f>
        <v>2018</v>
      </c>
      <c r="H4" s="52">
        <f t="shared" ref="H4:AD4" si="2">RIGHT(H3,2)*1+2000</f>
        <v>2018</v>
      </c>
      <c r="I4" s="52">
        <f t="shared" si="2"/>
        <v>2018</v>
      </c>
      <c r="J4" s="52">
        <f t="shared" si="2"/>
        <v>2018</v>
      </c>
      <c r="K4" s="52">
        <f t="shared" si="2"/>
        <v>2019</v>
      </c>
      <c r="L4" s="52">
        <f t="shared" si="2"/>
        <v>2019</v>
      </c>
      <c r="M4" s="52">
        <f t="shared" si="2"/>
        <v>2019</v>
      </c>
      <c r="N4" s="52">
        <f t="shared" si="2"/>
        <v>2019</v>
      </c>
      <c r="O4" s="52">
        <f t="shared" si="2"/>
        <v>2020</v>
      </c>
      <c r="P4" s="52">
        <f t="shared" si="2"/>
        <v>2020</v>
      </c>
      <c r="Q4" s="52">
        <f t="shared" si="2"/>
        <v>2020</v>
      </c>
      <c r="R4" s="52">
        <f t="shared" si="2"/>
        <v>2020</v>
      </c>
      <c r="S4" s="52">
        <f t="shared" si="2"/>
        <v>2021</v>
      </c>
      <c r="T4" s="52">
        <f t="shared" si="2"/>
        <v>2021</v>
      </c>
      <c r="U4" s="52">
        <f t="shared" si="2"/>
        <v>2021</v>
      </c>
      <c r="V4" s="52">
        <f t="shared" si="2"/>
        <v>2021</v>
      </c>
      <c r="W4" s="52">
        <f t="shared" si="2"/>
        <v>2022</v>
      </c>
      <c r="X4" s="52">
        <f t="shared" si="2"/>
        <v>2022</v>
      </c>
      <c r="Y4" s="52">
        <f t="shared" si="2"/>
        <v>2022</v>
      </c>
      <c r="Z4" s="52">
        <f t="shared" si="2"/>
        <v>2022</v>
      </c>
      <c r="AA4" s="52">
        <f t="shared" si="2"/>
        <v>2023</v>
      </c>
      <c r="AB4" s="52">
        <f t="shared" si="2"/>
        <v>2023</v>
      </c>
      <c r="AC4" s="52">
        <f t="shared" si="2"/>
        <v>2023</v>
      </c>
      <c r="AD4" s="52">
        <f t="shared" si="2"/>
        <v>2023</v>
      </c>
    </row>
    <row r="5" spans="1:31">
      <c r="B5" s="141"/>
      <c r="C5" s="52"/>
      <c r="D5" s="52"/>
      <c r="E5" s="52"/>
      <c r="F5" s="52"/>
      <c r="G5" s="223">
        <v>43101</v>
      </c>
      <c r="H5" s="224">
        <f>EOMONTH(G5,2)+1</f>
        <v>43191</v>
      </c>
      <c r="I5" s="224">
        <f t="shared" ref="I5:O5" si="3">EOMONTH(H5,2)+1</f>
        <v>43282</v>
      </c>
      <c r="J5" s="224">
        <f t="shared" si="3"/>
        <v>43374</v>
      </c>
      <c r="K5" s="224">
        <f t="shared" si="3"/>
        <v>43466</v>
      </c>
      <c r="L5" s="224">
        <f t="shared" si="3"/>
        <v>43556</v>
      </c>
      <c r="M5" s="224">
        <f t="shared" si="3"/>
        <v>43647</v>
      </c>
      <c r="N5" s="224">
        <f t="shared" si="3"/>
        <v>43739</v>
      </c>
      <c r="O5" s="224">
        <f t="shared" si="3"/>
        <v>43831</v>
      </c>
      <c r="P5" s="224">
        <f t="shared" ref="P5:AD5" si="4">EOMONTH(O5,2)+1</f>
        <v>43922</v>
      </c>
      <c r="Q5" s="224">
        <f t="shared" si="4"/>
        <v>44013</v>
      </c>
      <c r="R5" s="224">
        <f t="shared" si="4"/>
        <v>44105</v>
      </c>
      <c r="S5" s="224">
        <f t="shared" si="4"/>
        <v>44197</v>
      </c>
      <c r="T5" s="224">
        <f t="shared" si="4"/>
        <v>44287</v>
      </c>
      <c r="U5" s="224">
        <f t="shared" si="4"/>
        <v>44378</v>
      </c>
      <c r="V5" s="224">
        <f t="shared" si="4"/>
        <v>44470</v>
      </c>
      <c r="W5" s="224">
        <f t="shared" si="4"/>
        <v>44562</v>
      </c>
      <c r="X5" s="224">
        <f t="shared" si="4"/>
        <v>44652</v>
      </c>
      <c r="Y5" s="224">
        <f t="shared" si="4"/>
        <v>44743</v>
      </c>
      <c r="Z5" s="224">
        <f t="shared" si="4"/>
        <v>44835</v>
      </c>
      <c r="AA5" s="224">
        <f t="shared" si="4"/>
        <v>44927</v>
      </c>
      <c r="AB5" s="224">
        <f t="shared" si="4"/>
        <v>45017</v>
      </c>
      <c r="AC5" s="224">
        <f t="shared" si="4"/>
        <v>45108</v>
      </c>
      <c r="AD5" s="224">
        <f t="shared" si="4"/>
        <v>45200</v>
      </c>
    </row>
    <row r="6" spans="1:31">
      <c r="B6" s="141"/>
      <c r="C6" s="52"/>
      <c r="D6" s="52"/>
      <c r="E6" s="52"/>
      <c r="F6" s="52"/>
      <c r="G6" s="221">
        <f t="shared" ref="G6:AD6" si="5">EOMONTH(G5,2)+1-G5</f>
        <v>90</v>
      </c>
      <c r="H6" s="222">
        <f t="shared" si="5"/>
        <v>91</v>
      </c>
      <c r="I6" s="222">
        <f t="shared" si="5"/>
        <v>92</v>
      </c>
      <c r="J6" s="222">
        <f t="shared" si="5"/>
        <v>92</v>
      </c>
      <c r="K6" s="222">
        <f t="shared" si="5"/>
        <v>90</v>
      </c>
      <c r="L6" s="222">
        <f t="shared" si="5"/>
        <v>91</v>
      </c>
      <c r="M6" s="222">
        <f t="shared" si="5"/>
        <v>92</v>
      </c>
      <c r="N6" s="222">
        <f t="shared" si="5"/>
        <v>92</v>
      </c>
      <c r="O6" s="222">
        <f t="shared" si="5"/>
        <v>91</v>
      </c>
      <c r="P6" s="222">
        <f t="shared" si="5"/>
        <v>91</v>
      </c>
      <c r="Q6" s="222">
        <f t="shared" si="5"/>
        <v>92</v>
      </c>
      <c r="R6" s="222">
        <f t="shared" si="5"/>
        <v>92</v>
      </c>
      <c r="S6" s="222">
        <f t="shared" si="5"/>
        <v>90</v>
      </c>
      <c r="T6" s="222">
        <f t="shared" si="5"/>
        <v>91</v>
      </c>
      <c r="U6" s="222">
        <f t="shared" si="5"/>
        <v>92</v>
      </c>
      <c r="V6" s="222">
        <f t="shared" si="5"/>
        <v>92</v>
      </c>
      <c r="W6" s="222">
        <f t="shared" si="5"/>
        <v>90</v>
      </c>
      <c r="X6" s="222">
        <f t="shared" si="5"/>
        <v>91</v>
      </c>
      <c r="Y6" s="222">
        <f t="shared" si="5"/>
        <v>92</v>
      </c>
      <c r="Z6" s="222">
        <f t="shared" si="5"/>
        <v>92</v>
      </c>
      <c r="AA6" s="222">
        <f t="shared" si="5"/>
        <v>90</v>
      </c>
      <c r="AB6" s="222">
        <f t="shared" si="5"/>
        <v>91</v>
      </c>
      <c r="AC6" s="222">
        <f t="shared" si="5"/>
        <v>92</v>
      </c>
      <c r="AD6" s="222">
        <f t="shared" si="5"/>
        <v>92</v>
      </c>
    </row>
    <row r="7" spans="1:31" ht="5.0999999999999996" customHeight="1">
      <c r="B7" s="14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7"/>
    </row>
    <row r="8" spans="1:31">
      <c r="B8" s="141" t="s">
        <v>188</v>
      </c>
      <c r="C8" s="52" t="s">
        <v>188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31">
      <c r="C9" s="104"/>
      <c r="D9" s="105" t="s">
        <v>211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</row>
    <row r="10" spans="1:31" s="5" customFormat="1" ht="5.0999999999999996" customHeight="1">
      <c r="A10" s="109"/>
      <c r="B10" s="146"/>
      <c r="D10" s="166"/>
      <c r="E10" s="167"/>
      <c r="F10" s="16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68"/>
      <c r="W10" s="168"/>
      <c r="X10" s="168"/>
      <c r="Y10" s="168"/>
      <c r="Z10" s="168"/>
      <c r="AA10" s="168"/>
      <c r="AB10" s="168"/>
      <c r="AC10" s="168"/>
      <c r="AD10" s="168"/>
      <c r="AE10" s="72"/>
    </row>
    <row r="11" spans="1:31" s="5" customFormat="1" ht="15" customHeight="1" outlineLevel="1">
      <c r="A11" s="109"/>
      <c r="B11" s="146"/>
      <c r="D11" s="302" t="s">
        <v>462</v>
      </c>
      <c r="E11" s="167"/>
      <c r="F11" s="167"/>
      <c r="G11" s="289"/>
      <c r="H11" s="289"/>
      <c r="I11" s="289"/>
      <c r="J11" s="289"/>
      <c r="K11" s="289"/>
      <c r="L11" s="289"/>
      <c r="M11" s="289"/>
      <c r="N11" s="289"/>
      <c r="O11" s="289">
        <v>13.526999999999997</v>
      </c>
      <c r="P11" s="289">
        <v>13.896000000000001</v>
      </c>
      <c r="Q11" s="289">
        <v>15.173</v>
      </c>
      <c r="R11" s="289"/>
      <c r="S11" s="289">
        <v>16.379000000000001</v>
      </c>
      <c r="T11" s="289">
        <v>16.870999999999999</v>
      </c>
      <c r="U11" s="289">
        <v>20.263999999999999</v>
      </c>
      <c r="V11" s="168"/>
      <c r="W11" s="168"/>
      <c r="X11" s="168"/>
      <c r="Y11" s="168"/>
      <c r="Z11" s="168"/>
      <c r="AA11" s="168"/>
      <c r="AB11" s="168"/>
      <c r="AC11" s="168"/>
      <c r="AD11" s="168"/>
      <c r="AE11" s="72"/>
    </row>
    <row r="12" spans="1:31" s="5" customFormat="1" ht="15" customHeight="1" outlineLevel="1">
      <c r="A12" s="109"/>
      <c r="B12" s="146"/>
      <c r="D12" s="302" t="s">
        <v>463</v>
      </c>
      <c r="E12" s="167"/>
      <c r="F12" s="167"/>
      <c r="G12" s="289"/>
      <c r="H12" s="289"/>
      <c r="I12" s="289"/>
      <c r="J12" s="289"/>
      <c r="K12" s="289"/>
      <c r="L12" s="289"/>
      <c r="M12" s="289"/>
      <c r="N12" s="289"/>
      <c r="O12" s="289">
        <v>37.613999999999997</v>
      </c>
      <c r="P12" s="289">
        <v>38.639000000000003</v>
      </c>
      <c r="Q12" s="289">
        <v>31.251999999999999</v>
      </c>
      <c r="R12" s="289"/>
      <c r="S12" s="289">
        <v>41.316000000000003</v>
      </c>
      <c r="T12" s="289">
        <v>47.149000000000001</v>
      </c>
      <c r="U12" s="289">
        <v>57.494</v>
      </c>
      <c r="V12" s="168"/>
      <c r="W12" s="168"/>
      <c r="X12" s="168"/>
      <c r="Y12" s="168"/>
      <c r="Z12" s="168"/>
      <c r="AA12" s="168"/>
      <c r="AB12" s="168"/>
      <c r="AC12" s="168"/>
      <c r="AD12" s="168"/>
      <c r="AE12" s="72"/>
    </row>
    <row r="13" spans="1:31" s="5" customFormat="1" outlineLevel="1">
      <c r="A13" s="109" t="s">
        <v>333</v>
      </c>
      <c r="B13" s="146"/>
      <c r="D13" s="303" t="s">
        <v>249</v>
      </c>
      <c r="E13" s="304"/>
      <c r="F13" s="304"/>
      <c r="G13" s="305">
        <v>6.4580000000000002</v>
      </c>
      <c r="H13" s="305">
        <f>17.569+0.072/2</f>
        <v>17.605</v>
      </c>
      <c r="I13" s="305">
        <f>24.562+0.15</f>
        <v>24.712</v>
      </c>
      <c r="J13" s="305">
        <f>71.753+1.197/2-SUM(G13:I13)</f>
        <v>23.576499999999996</v>
      </c>
      <c r="K13" s="305">
        <f>35.751+0.421/2</f>
        <v>35.961500000000001</v>
      </c>
      <c r="L13" s="305">
        <v>32.261000000000003</v>
      </c>
      <c r="M13" s="305">
        <v>30.707000000000001</v>
      </c>
      <c r="N13" s="305">
        <f>148.076-SUM(K13:M13)</f>
        <v>49.146500000000003</v>
      </c>
      <c r="O13" s="305">
        <v>51.142000000000003</v>
      </c>
      <c r="P13" s="305">
        <v>52.534999999999997</v>
      </c>
      <c r="Q13" s="305">
        <v>46.424999999999997</v>
      </c>
      <c r="R13" s="305">
        <f>198.567-SUM(O13:Q13)</f>
        <v>48.465000000000032</v>
      </c>
      <c r="S13" s="305">
        <v>57.695000000000007</v>
      </c>
      <c r="T13" s="305">
        <v>64.02</v>
      </c>
      <c r="U13" s="305">
        <f>SUM(U11:U12)</f>
        <v>77.757999999999996</v>
      </c>
      <c r="V13" s="306">
        <f t="shared" ref="V13:AD13" si="6">V15-V14</f>
        <v>99.255463749469072</v>
      </c>
      <c r="W13" s="306">
        <f t="shared" si="6"/>
        <v>99.051581101678948</v>
      </c>
      <c r="X13" s="306">
        <f t="shared" si="6"/>
        <v>102.60393248573621</v>
      </c>
      <c r="Y13" s="306">
        <f t="shared" si="6"/>
        <v>104.76779090538946</v>
      </c>
      <c r="Z13" s="306">
        <f t="shared" si="6"/>
        <v>129.18334663036831</v>
      </c>
      <c r="AA13" s="306">
        <f t="shared" si="6"/>
        <v>132.67969451605609</v>
      </c>
      <c r="AB13" s="306">
        <f t="shared" si="6"/>
        <v>139.49225863779486</v>
      </c>
      <c r="AC13" s="306">
        <f t="shared" si="6"/>
        <v>144.34279339685884</v>
      </c>
      <c r="AD13" s="306">
        <f t="shared" si="6"/>
        <v>172.8383290572865</v>
      </c>
      <c r="AE13" s="72"/>
    </row>
    <row r="14" spans="1:31" s="5" customFormat="1" outlineLevel="1">
      <c r="A14" s="109" t="s">
        <v>332</v>
      </c>
      <c r="B14" s="146"/>
      <c r="D14" s="227" t="s">
        <v>248</v>
      </c>
      <c r="E14" s="167"/>
      <c r="F14" s="167"/>
      <c r="G14" s="225">
        <v>113.327</v>
      </c>
      <c r="H14" s="225">
        <f>85.636+0.072/2</f>
        <v>85.671999999999997</v>
      </c>
      <c r="I14" s="225">
        <f>75.182+0.15</f>
        <v>75.332000000000008</v>
      </c>
      <c r="J14" s="225">
        <f>386.243+1.197/2-SUM(G14:I14)</f>
        <v>112.51049999999998</v>
      </c>
      <c r="K14" s="225">
        <f>134.429+0.421/2</f>
        <v>134.6395</v>
      </c>
      <c r="L14" s="225">
        <v>125.724</v>
      </c>
      <c r="M14" s="225">
        <v>113.797</v>
      </c>
      <c r="N14" s="225">
        <f>539.719-SUM(K14:M14)</f>
        <v>165.55850000000009</v>
      </c>
      <c r="O14" s="225">
        <v>190.38300000000001</v>
      </c>
      <c r="P14" s="225">
        <v>175.30699999999999</v>
      </c>
      <c r="Q14" s="225">
        <v>143.44999999999999</v>
      </c>
      <c r="R14" s="225">
        <f>750.232-SUM(O14:Q14)</f>
        <v>241.09199999999998</v>
      </c>
      <c r="S14" s="225">
        <v>252.50700000000001</v>
      </c>
      <c r="T14" s="225">
        <v>281.28699999999998</v>
      </c>
      <c r="U14" s="225">
        <v>289.59100000000001</v>
      </c>
      <c r="V14" s="236">
        <f t="shared" ref="V14:AD14" si="7">V15*V42</f>
        <v>397.02185499787646</v>
      </c>
      <c r="W14" s="236">
        <f t="shared" si="7"/>
        <v>393.7423547275697</v>
      </c>
      <c r="X14" s="236">
        <f t="shared" si="7"/>
        <v>405.33632734464118</v>
      </c>
      <c r="Y14" s="236">
        <f t="shared" si="7"/>
        <v>411.32970123938628</v>
      </c>
      <c r="Z14" s="236">
        <f t="shared" si="7"/>
        <v>504.06835253810391</v>
      </c>
      <c r="AA14" s="236">
        <f t="shared" si="7"/>
        <v>514.5383275134858</v>
      </c>
      <c r="AB14" s="236">
        <f t="shared" si="7"/>
        <v>537.65462795344263</v>
      </c>
      <c r="AC14" s="236">
        <f t="shared" si="7"/>
        <v>552.96538726429492</v>
      </c>
      <c r="AD14" s="236">
        <f t="shared" si="7"/>
        <v>658.11517602582171</v>
      </c>
      <c r="AE14" s="72"/>
    </row>
    <row r="15" spans="1:31" s="3" customFormat="1" outlineLevel="1">
      <c r="A15" s="110"/>
      <c r="B15" s="143"/>
      <c r="D15" s="2" t="s">
        <v>219</v>
      </c>
      <c r="E15" s="2"/>
      <c r="F15" s="2"/>
      <c r="G15" s="8">
        <f t="shared" ref="G15:S15" si="8">SUM(G13:G14)</f>
        <v>119.785</v>
      </c>
      <c r="H15" s="8">
        <f t="shared" si="8"/>
        <v>103.277</v>
      </c>
      <c r="I15" s="8">
        <f t="shared" si="8"/>
        <v>100.04400000000001</v>
      </c>
      <c r="J15" s="8">
        <f t="shared" si="8"/>
        <v>136.08699999999999</v>
      </c>
      <c r="K15" s="8">
        <f t="shared" si="8"/>
        <v>170.601</v>
      </c>
      <c r="L15" s="8">
        <f t="shared" si="8"/>
        <v>157.98500000000001</v>
      </c>
      <c r="M15" s="8">
        <f t="shared" si="8"/>
        <v>144.50399999999999</v>
      </c>
      <c r="N15" s="8">
        <f t="shared" si="8"/>
        <v>214.7050000000001</v>
      </c>
      <c r="O15" s="8">
        <f t="shared" si="8"/>
        <v>241.52500000000001</v>
      </c>
      <c r="P15" s="8">
        <f t="shared" si="8"/>
        <v>227.84199999999998</v>
      </c>
      <c r="Q15" s="8">
        <f t="shared" si="8"/>
        <v>189.875</v>
      </c>
      <c r="R15" s="8">
        <f t="shared" si="8"/>
        <v>289.55700000000002</v>
      </c>
      <c r="S15" s="8">
        <f t="shared" si="8"/>
        <v>310.202</v>
      </c>
      <c r="T15" s="8">
        <f>SUM(T13:T14)</f>
        <v>345.30699999999996</v>
      </c>
      <c r="U15" s="8">
        <f>SUM(U13:U14)</f>
        <v>367.34899999999999</v>
      </c>
      <c r="V15" s="209">
        <f t="shared" ref="V15:AD15" si="9">R15*(1+V34)</f>
        <v>496.27731874734553</v>
      </c>
      <c r="W15" s="209">
        <f t="shared" si="9"/>
        <v>492.79393582924865</v>
      </c>
      <c r="X15" s="209">
        <f t="shared" si="9"/>
        <v>507.94025983037739</v>
      </c>
      <c r="Y15" s="209">
        <f t="shared" si="9"/>
        <v>516.09749214477574</v>
      </c>
      <c r="Z15" s="209">
        <f t="shared" si="9"/>
        <v>633.25169916847221</v>
      </c>
      <c r="AA15" s="209">
        <f t="shared" si="9"/>
        <v>647.21802202954188</v>
      </c>
      <c r="AB15" s="209">
        <f t="shared" si="9"/>
        <v>677.14688659123749</v>
      </c>
      <c r="AC15" s="209">
        <f t="shared" si="9"/>
        <v>697.30818066115376</v>
      </c>
      <c r="AD15" s="209">
        <f t="shared" si="9"/>
        <v>830.95350508310821</v>
      </c>
      <c r="AE15" s="64"/>
    </row>
    <row r="16" spans="1:31" s="5" customFormat="1" outlineLevel="1">
      <c r="A16" s="109" t="s">
        <v>255</v>
      </c>
      <c r="B16" s="146"/>
      <c r="D16" s="227" t="s">
        <v>255</v>
      </c>
      <c r="E16" s="167"/>
      <c r="F16" s="167"/>
      <c r="G16" s="225">
        <f>102.699+0.812-0.99</f>
        <v>102.521</v>
      </c>
      <c r="H16" s="225">
        <f>80.948+1.132-1.867</f>
        <v>80.212999999999994</v>
      </c>
      <c r="I16" s="225">
        <f>79.812+1.306-2.002</f>
        <v>79.116</v>
      </c>
      <c r="J16" s="225">
        <f>369.224+5.1-6.956-SUM(G16:I16)</f>
        <v>105.51800000000003</v>
      </c>
      <c r="K16" s="225">
        <f>133.394+2.608-3.471</f>
        <v>132.53100000000001</v>
      </c>
      <c r="L16" s="225">
        <f>121.847+2.575-3.851</f>
        <v>120.571</v>
      </c>
      <c r="M16" s="225">
        <f>109.615+3.225-4.663</f>
        <v>108.17699999999999</v>
      </c>
      <c r="N16" s="225">
        <f>526.211-SUM(K16:M16)+13.057-17.887</f>
        <v>160.102</v>
      </c>
      <c r="O16" s="225">
        <f>186.69+5.401-6.779</f>
        <v>185.31200000000001</v>
      </c>
      <c r="P16" s="225">
        <f>172.993+5.623-7.019</f>
        <v>171.59699999999998</v>
      </c>
      <c r="Q16" s="225">
        <f>137.48+5.18-6.479</f>
        <v>136.18099999999998</v>
      </c>
      <c r="R16" s="225">
        <f>715.793+21.466-27.049-SUM(O16:Q16)</f>
        <v>217.12000000000006</v>
      </c>
      <c r="S16" s="225">
        <f>242.405+6.488-7.24</f>
        <v>241.65299999999999</v>
      </c>
      <c r="T16" s="225">
        <f>267.063+7.898-9.07</f>
        <v>265.89100000000002</v>
      </c>
      <c r="U16" s="225">
        <f>283.578+10.162-10.324</f>
        <v>283.41599999999994</v>
      </c>
      <c r="V16" s="236">
        <f t="shared" ref="V16:AD16" si="10">V15-V17</f>
        <v>382.46455452402978</v>
      </c>
      <c r="W16" s="236">
        <f t="shared" si="10"/>
        <v>379.36115140037487</v>
      </c>
      <c r="X16" s="236">
        <f t="shared" si="10"/>
        <v>390.58929994770563</v>
      </c>
      <c r="Y16" s="236">
        <f t="shared" si="10"/>
        <v>396.42325957528487</v>
      </c>
      <c r="Z16" s="236">
        <f t="shared" si="10"/>
        <v>485.87313416715676</v>
      </c>
      <c r="AA16" s="236">
        <f t="shared" si="10"/>
        <v>496.03889755065217</v>
      </c>
      <c r="AB16" s="236">
        <f t="shared" si="10"/>
        <v>518.40131341549818</v>
      </c>
      <c r="AC16" s="236">
        <f t="shared" si="10"/>
        <v>533.24342296516181</v>
      </c>
      <c r="AD16" s="236">
        <f t="shared" si="10"/>
        <v>634.73796461191546</v>
      </c>
      <c r="AE16" s="72"/>
    </row>
    <row r="17" spans="1:31" s="3" customFormat="1" outlineLevel="1">
      <c r="A17" s="110" t="s">
        <v>226</v>
      </c>
      <c r="B17" s="143"/>
      <c r="D17" s="2" t="s">
        <v>226</v>
      </c>
      <c r="E17" s="2"/>
      <c r="F17" s="2"/>
      <c r="G17" s="8">
        <f t="shared" ref="G17:S17" si="11">G15-G16</f>
        <v>17.263999999999996</v>
      </c>
      <c r="H17" s="8">
        <f t="shared" si="11"/>
        <v>23.064000000000007</v>
      </c>
      <c r="I17" s="8">
        <f t="shared" si="11"/>
        <v>20.928000000000011</v>
      </c>
      <c r="J17" s="8">
        <f t="shared" si="11"/>
        <v>30.56899999999996</v>
      </c>
      <c r="K17" s="8">
        <f t="shared" si="11"/>
        <v>38.069999999999993</v>
      </c>
      <c r="L17" s="8">
        <f t="shared" si="11"/>
        <v>37.414000000000016</v>
      </c>
      <c r="M17" s="8">
        <f t="shared" si="11"/>
        <v>36.326999999999998</v>
      </c>
      <c r="N17" s="8">
        <f t="shared" si="11"/>
        <v>54.603000000000094</v>
      </c>
      <c r="O17" s="8">
        <f t="shared" si="11"/>
        <v>56.212999999999994</v>
      </c>
      <c r="P17" s="8">
        <f t="shared" si="11"/>
        <v>56.245000000000005</v>
      </c>
      <c r="Q17" s="8">
        <f t="shared" si="11"/>
        <v>53.694000000000017</v>
      </c>
      <c r="R17" s="8">
        <f t="shared" si="11"/>
        <v>72.436999999999955</v>
      </c>
      <c r="S17" s="8">
        <f t="shared" si="11"/>
        <v>68.549000000000007</v>
      </c>
      <c r="T17" s="8">
        <f>T15-T16</f>
        <v>79.41599999999994</v>
      </c>
      <c r="U17" s="8">
        <f>U15-U16</f>
        <v>83.93300000000005</v>
      </c>
      <c r="V17" s="209">
        <f t="shared" ref="V17:AD17" si="12">V15*V45</f>
        <v>113.81276422331575</v>
      </c>
      <c r="W17" s="209">
        <f t="shared" si="12"/>
        <v>113.43278442887376</v>
      </c>
      <c r="X17" s="209">
        <f t="shared" si="12"/>
        <v>117.35095988267175</v>
      </c>
      <c r="Y17" s="209">
        <f t="shared" si="12"/>
        <v>119.6742325694909</v>
      </c>
      <c r="Z17" s="209">
        <f t="shared" si="12"/>
        <v>147.37856500131542</v>
      </c>
      <c r="AA17" s="209">
        <f t="shared" si="12"/>
        <v>151.17912447888972</v>
      </c>
      <c r="AB17" s="209">
        <f t="shared" si="12"/>
        <v>158.74557317573931</v>
      </c>
      <c r="AC17" s="209">
        <f t="shared" si="12"/>
        <v>164.06475769599197</v>
      </c>
      <c r="AD17" s="209">
        <f t="shared" si="12"/>
        <v>196.2155404711927</v>
      </c>
      <c r="AE17" s="64"/>
    </row>
    <row r="18" spans="1:31" s="3" customFormat="1" outlineLevel="1">
      <c r="A18" s="110" t="s">
        <v>220</v>
      </c>
      <c r="B18" s="143"/>
      <c r="D18" s="227" t="s">
        <v>220</v>
      </c>
      <c r="E18" s="167"/>
      <c r="F18" s="167"/>
      <c r="G18" s="225">
        <v>11.734999999999999</v>
      </c>
      <c r="H18" s="225">
        <v>17.652000000000001</v>
      </c>
      <c r="I18" s="225">
        <v>21.119</v>
      </c>
      <c r="J18" s="225">
        <f>75.655-SUM(G18:I18)</f>
        <v>25.149000000000001</v>
      </c>
      <c r="K18" s="225">
        <v>29.646000000000001</v>
      </c>
      <c r="L18" s="225">
        <v>31.617999999999999</v>
      </c>
      <c r="M18" s="225">
        <v>29.814</v>
      </c>
      <c r="N18" s="225">
        <f>133.899-SUM(K18:M18)</f>
        <v>42.820999999999998</v>
      </c>
      <c r="O18" s="225">
        <v>45.204000000000001</v>
      </c>
      <c r="P18" s="225">
        <v>44.173999999999999</v>
      </c>
      <c r="Q18" s="225">
        <v>38.942</v>
      </c>
      <c r="R18" s="225">
        <f>177.697-SUM(O18:Q18)</f>
        <v>49.37700000000001</v>
      </c>
      <c r="S18" s="225">
        <v>49.642999999999994</v>
      </c>
      <c r="T18" s="225">
        <v>57.63</v>
      </c>
      <c r="U18" s="225">
        <f>66.092+1.193</f>
        <v>67.284999999999997</v>
      </c>
      <c r="V18" s="266">
        <f t="shared" ref="V18:AD18" si="13">V15*V47</f>
        <v>86.848530780785467</v>
      </c>
      <c r="W18" s="266">
        <f t="shared" si="13"/>
        <v>83.774969090972277</v>
      </c>
      <c r="X18" s="266">
        <f t="shared" si="13"/>
        <v>86.146668067232</v>
      </c>
      <c r="Y18" s="266">
        <f t="shared" si="13"/>
        <v>87.323695670896043</v>
      </c>
      <c r="Z18" s="266">
        <f t="shared" si="13"/>
        <v>106.89288681963809</v>
      </c>
      <c r="AA18" s="266">
        <f t="shared" si="13"/>
        <v>108.99151490977484</v>
      </c>
      <c r="AB18" s="266">
        <f t="shared" si="13"/>
        <v>113.76067694732787</v>
      </c>
      <c r="AC18" s="266">
        <f t="shared" si="13"/>
        <v>116.86885107880933</v>
      </c>
      <c r="AD18" s="266">
        <f t="shared" si="13"/>
        <v>138.93542604989563</v>
      </c>
      <c r="AE18" s="64"/>
    </row>
    <row r="19" spans="1:31" s="3" customFormat="1" outlineLevel="1">
      <c r="A19" s="110" t="s">
        <v>251</v>
      </c>
      <c r="B19" s="143"/>
      <c r="D19" s="227" t="s">
        <v>251</v>
      </c>
      <c r="E19" s="167"/>
      <c r="F19" s="167"/>
      <c r="G19" s="225">
        <v>0.99</v>
      </c>
      <c r="H19" s="225">
        <v>1.867</v>
      </c>
      <c r="I19" s="225">
        <v>2.0019999999999998</v>
      </c>
      <c r="J19" s="225">
        <f>6.956-SUM(G19:I19)</f>
        <v>2.0970000000000004</v>
      </c>
      <c r="K19" s="225">
        <v>3.4710000000000001</v>
      </c>
      <c r="L19" s="225">
        <v>3.851</v>
      </c>
      <c r="M19" s="225">
        <v>4.6630000000000003</v>
      </c>
      <c r="N19" s="225">
        <f>17.887-SUM(K19:M19)</f>
        <v>5.902000000000001</v>
      </c>
      <c r="O19" s="225">
        <v>6.7789999999999999</v>
      </c>
      <c r="P19" s="225">
        <v>7.0190000000000001</v>
      </c>
      <c r="Q19" s="225">
        <v>6.4790000000000001</v>
      </c>
      <c r="R19" s="225">
        <f>27.049-SUM(O19:Q19)</f>
        <v>6.7719999999999985</v>
      </c>
      <c r="S19" s="225">
        <v>7.24</v>
      </c>
      <c r="T19" s="225">
        <v>9.07</v>
      </c>
      <c r="U19" s="225">
        <v>10.324</v>
      </c>
      <c r="V19" s="266">
        <f t="shared" ref="V19:AD19" si="14">V248</f>
        <v>12.413674213139622</v>
      </c>
      <c r="W19" s="266">
        <f t="shared" si="14"/>
        <v>13.167728373995903</v>
      </c>
      <c r="X19" s="266">
        <f t="shared" si="14"/>
        <v>13.823743604095688</v>
      </c>
      <c r="Y19" s="266">
        <f t="shared" si="14"/>
        <v>14.576453052146151</v>
      </c>
      <c r="Z19" s="266">
        <f t="shared" si="14"/>
        <v>15.29671688969856</v>
      </c>
      <c r="AA19" s="266">
        <f t="shared" si="14"/>
        <v>16.634081564850867</v>
      </c>
      <c r="AB19" s="266">
        <f t="shared" si="14"/>
        <v>17.912842046430111</v>
      </c>
      <c r="AC19" s="266">
        <f t="shared" si="14"/>
        <v>19.272919656905692</v>
      </c>
      <c r="AD19" s="266">
        <f t="shared" si="14"/>
        <v>20.597435579030623</v>
      </c>
      <c r="AE19" s="64"/>
    </row>
    <row r="20" spans="1:31" s="3" customFormat="1" outlineLevel="1">
      <c r="A20" s="110" t="s">
        <v>253</v>
      </c>
      <c r="B20" s="143"/>
      <c r="D20" s="227" t="s">
        <v>253</v>
      </c>
      <c r="E20" s="167"/>
      <c r="F20" s="167"/>
      <c r="G20" s="225">
        <v>-7.8E-2</v>
      </c>
      <c r="H20" s="225">
        <v>8.1000000000000003E-2</v>
      </c>
      <c r="I20" s="225">
        <v>6.0999999999999999E-2</v>
      </c>
      <c r="J20" s="225">
        <f>-0.224-SUM(G20:I20)</f>
        <v>-0.28800000000000003</v>
      </c>
      <c r="K20" s="225">
        <v>0.23400000000000001</v>
      </c>
      <c r="L20" s="225">
        <v>0.24399999999999999</v>
      </c>
      <c r="M20" s="225">
        <v>0.46600000000000003</v>
      </c>
      <c r="N20" s="225">
        <f>0.719-SUM(K20:M20)</f>
        <v>-0.22499999999999998</v>
      </c>
      <c r="O20" s="225">
        <v>-1.619</v>
      </c>
      <c r="P20" s="225">
        <v>0.999</v>
      </c>
      <c r="Q20" s="225">
        <v>0.50600000000000001</v>
      </c>
      <c r="R20" s="225">
        <f>1.609-SUM(O20:Q20)</f>
        <v>1.7229999999999999</v>
      </c>
      <c r="S20" s="225">
        <v>1.0929999999999997</v>
      </c>
      <c r="T20" s="225">
        <v>1.913</v>
      </c>
      <c r="U20" s="225">
        <v>-8.4909999999999997</v>
      </c>
      <c r="V20" s="266">
        <f>V15*V48</f>
        <v>0</v>
      </c>
      <c r="W20" s="266">
        <f t="shared" ref="W20:AD20" si="15">W15*W48</f>
        <v>0</v>
      </c>
      <c r="X20" s="266">
        <f t="shared" si="15"/>
        <v>0</v>
      </c>
      <c r="Y20" s="266">
        <f t="shared" si="15"/>
        <v>0</v>
      </c>
      <c r="Z20" s="266">
        <f t="shared" si="15"/>
        <v>0</v>
      </c>
      <c r="AA20" s="266">
        <f t="shared" si="15"/>
        <v>0</v>
      </c>
      <c r="AB20" s="266">
        <f t="shared" si="15"/>
        <v>0</v>
      </c>
      <c r="AC20" s="266">
        <f t="shared" si="15"/>
        <v>0</v>
      </c>
      <c r="AD20" s="266">
        <f t="shared" si="15"/>
        <v>0</v>
      </c>
      <c r="AE20" s="64"/>
    </row>
    <row r="21" spans="1:31" s="3" customFormat="1" outlineLevel="1">
      <c r="A21" s="110"/>
      <c r="B21" s="143"/>
      <c r="D21" s="2" t="s">
        <v>218</v>
      </c>
      <c r="E21" s="2"/>
      <c r="F21" s="2"/>
      <c r="G21" s="8">
        <f t="shared" ref="G21:S21" si="16">G17-SUM(G18:G20)</f>
        <v>4.6169999999999956</v>
      </c>
      <c r="H21" s="8">
        <f t="shared" si="16"/>
        <v>3.4640000000000057</v>
      </c>
      <c r="I21" s="8">
        <f t="shared" si="16"/>
        <v>-2.2539999999999871</v>
      </c>
      <c r="J21" s="8">
        <f t="shared" si="16"/>
        <v>3.610999999999958</v>
      </c>
      <c r="K21" s="8">
        <f t="shared" si="16"/>
        <v>4.718999999999987</v>
      </c>
      <c r="L21" s="8">
        <f t="shared" si="16"/>
        <v>1.7010000000000147</v>
      </c>
      <c r="M21" s="8">
        <f t="shared" si="16"/>
        <v>1.3839999999999932</v>
      </c>
      <c r="N21" s="8">
        <f t="shared" si="16"/>
        <v>6.1050000000000963</v>
      </c>
      <c r="O21" s="8">
        <f t="shared" si="16"/>
        <v>5.8489999999999895</v>
      </c>
      <c r="P21" s="8">
        <f t="shared" si="16"/>
        <v>4.0530000000000044</v>
      </c>
      <c r="Q21" s="8">
        <f t="shared" si="16"/>
        <v>7.7670000000000172</v>
      </c>
      <c r="R21" s="8">
        <f t="shared" si="16"/>
        <v>14.564999999999948</v>
      </c>
      <c r="S21" s="8">
        <f t="shared" si="16"/>
        <v>10.573000000000015</v>
      </c>
      <c r="T21" s="8">
        <f>T17-SUM(T18:T20)</f>
        <v>10.80299999999994</v>
      </c>
      <c r="U21" s="8">
        <f t="shared" ref="U21:AD21" si="17">U17-SUM(U18:U20)</f>
        <v>14.815000000000055</v>
      </c>
      <c r="V21" s="8">
        <f t="shared" si="17"/>
        <v>14.550559229390672</v>
      </c>
      <c r="W21" s="8">
        <f t="shared" si="17"/>
        <v>16.490086963905583</v>
      </c>
      <c r="X21" s="8">
        <f t="shared" si="17"/>
        <v>17.380548211344063</v>
      </c>
      <c r="Y21" s="8">
        <f t="shared" si="17"/>
        <v>17.774083846448704</v>
      </c>
      <c r="Z21" s="8">
        <f t="shared" si="17"/>
        <v>25.188961291978771</v>
      </c>
      <c r="AA21" s="8">
        <f t="shared" si="17"/>
        <v>25.553528004264024</v>
      </c>
      <c r="AB21" s="8">
        <f t="shared" si="17"/>
        <v>27.072054181981343</v>
      </c>
      <c r="AC21" s="8">
        <f t="shared" si="17"/>
        <v>27.922986960276944</v>
      </c>
      <c r="AD21" s="8">
        <f t="shared" si="17"/>
        <v>36.682678842266455</v>
      </c>
      <c r="AE21" s="64"/>
    </row>
    <row r="22" spans="1:31" s="3" customFormat="1" outlineLevel="1">
      <c r="A22" s="110" t="s">
        <v>252</v>
      </c>
      <c r="B22" s="143"/>
      <c r="D22" s="227" t="s">
        <v>252</v>
      </c>
      <c r="E22" s="167"/>
      <c r="F22" s="167"/>
      <c r="G22" s="225">
        <f>3.013+0.334</f>
        <v>3.347</v>
      </c>
      <c r="H22" s="225">
        <f>4.43+2.506</f>
        <v>6.9359999999999999</v>
      </c>
      <c r="I22" s="225">
        <f>0.385+2.157+0.19</f>
        <v>2.7319999999999998</v>
      </c>
      <c r="J22" s="225">
        <f>7.447+7.748+2.282-SUM(G22:I22)</f>
        <v>4.4620000000000015</v>
      </c>
      <c r="K22" s="225">
        <v>3.1779999999999999</v>
      </c>
      <c r="L22" s="225">
        <v>0.438</v>
      </c>
      <c r="M22" s="225">
        <v>4.5110000000000001</v>
      </c>
      <c r="N22" s="225">
        <f>10.64-SUM(K22:M22)</f>
        <v>2.5129999999999999</v>
      </c>
      <c r="O22" s="225">
        <v>1.9390000000000001</v>
      </c>
      <c r="P22" s="225">
        <v>4.3070000000000004</v>
      </c>
      <c r="Q22" s="225">
        <v>1.865</v>
      </c>
      <c r="R22" s="225">
        <f>15.063-SUM(O22:Q22)</f>
        <v>6.952</v>
      </c>
      <c r="S22" s="225">
        <v>3.0509999999999993</v>
      </c>
      <c r="T22" s="225">
        <v>5.3540000000000001</v>
      </c>
      <c r="U22" s="225">
        <v>8.702</v>
      </c>
      <c r="V22" s="266">
        <f>V73</f>
        <v>12.787666208565843</v>
      </c>
      <c r="W22" s="266">
        <f t="shared" ref="W22:AD22" si="18">W73</f>
        <v>14.104437041215562</v>
      </c>
      <c r="X22" s="266">
        <f t="shared" si="18"/>
        <v>11.656836742903138</v>
      </c>
      <c r="Y22" s="266">
        <f t="shared" si="18"/>
        <v>6.1448153136285644</v>
      </c>
      <c r="Z22" s="266">
        <f t="shared" si="18"/>
        <v>7.4442565448260032</v>
      </c>
      <c r="AA22" s="266">
        <f t="shared" si="18"/>
        <v>8.2151115124854996</v>
      </c>
      <c r="AB22" s="266">
        <f t="shared" si="18"/>
        <v>8.9949764732734856</v>
      </c>
      <c r="AC22" s="266">
        <f t="shared" si="18"/>
        <v>9.7838514271899584</v>
      </c>
      <c r="AD22" s="266">
        <f t="shared" si="18"/>
        <v>10.581736374234918</v>
      </c>
      <c r="AE22" s="64"/>
    </row>
    <row r="23" spans="1:31" s="3" customFormat="1" outlineLevel="1">
      <c r="A23" s="110"/>
      <c r="B23" s="143"/>
      <c r="D23" s="2" t="s">
        <v>4</v>
      </c>
      <c r="E23" s="2"/>
      <c r="F23" s="2"/>
      <c r="G23" s="8">
        <f t="shared" ref="G23:S23" si="19">G21-G22</f>
        <v>1.2699999999999956</v>
      </c>
      <c r="H23" s="8">
        <f t="shared" si="19"/>
        <v>-3.4719999999999942</v>
      </c>
      <c r="I23" s="8">
        <f t="shared" si="19"/>
        <v>-4.9859999999999864</v>
      </c>
      <c r="J23" s="8">
        <f t="shared" si="19"/>
        <v>-0.8510000000000435</v>
      </c>
      <c r="K23" s="8">
        <f t="shared" si="19"/>
        <v>1.540999999999987</v>
      </c>
      <c r="L23" s="8">
        <f t="shared" si="19"/>
        <v>1.2630000000000148</v>
      </c>
      <c r="M23" s="8">
        <f t="shared" si="19"/>
        <v>-3.1270000000000069</v>
      </c>
      <c r="N23" s="8">
        <f t="shared" si="19"/>
        <v>3.5920000000000964</v>
      </c>
      <c r="O23" s="8">
        <f t="shared" si="19"/>
        <v>3.9099999999999895</v>
      </c>
      <c r="P23" s="8">
        <f t="shared" si="19"/>
        <v>-0.25399999999999601</v>
      </c>
      <c r="Q23" s="8">
        <f t="shared" si="19"/>
        <v>5.902000000000017</v>
      </c>
      <c r="R23" s="8">
        <f t="shared" si="19"/>
        <v>7.612999999999948</v>
      </c>
      <c r="S23" s="8">
        <f t="shared" si="19"/>
        <v>7.5220000000000153</v>
      </c>
      <c r="T23" s="8">
        <f>T21-T22</f>
        <v>5.4489999999999403</v>
      </c>
      <c r="U23" s="8">
        <f t="shared" ref="U23:AD23" si="20">U21-U22</f>
        <v>6.1130000000000546</v>
      </c>
      <c r="V23" s="8">
        <f t="shared" si="20"/>
        <v>1.7628930208248281</v>
      </c>
      <c r="W23" s="8">
        <f t="shared" si="20"/>
        <v>2.3856499226900212</v>
      </c>
      <c r="X23" s="8">
        <f t="shared" si="20"/>
        <v>5.7237114684409249</v>
      </c>
      <c r="Y23" s="8">
        <f t="shared" si="20"/>
        <v>11.62926853282014</v>
      </c>
      <c r="Z23" s="8">
        <f t="shared" si="20"/>
        <v>17.744704747152767</v>
      </c>
      <c r="AA23" s="8">
        <f t="shared" si="20"/>
        <v>17.338416491778524</v>
      </c>
      <c r="AB23" s="8">
        <f t="shared" si="20"/>
        <v>18.077077708707858</v>
      </c>
      <c r="AC23" s="8">
        <f t="shared" si="20"/>
        <v>18.139135533086986</v>
      </c>
      <c r="AD23" s="8">
        <f t="shared" si="20"/>
        <v>26.100942468031537</v>
      </c>
      <c r="AE23" s="64"/>
    </row>
    <row r="24" spans="1:31" s="3" customFormat="1" outlineLevel="1">
      <c r="A24" s="110" t="s">
        <v>109</v>
      </c>
      <c r="B24" s="143"/>
      <c r="D24" s="227" t="s">
        <v>109</v>
      </c>
      <c r="E24" s="167"/>
      <c r="F24" s="167"/>
      <c r="G24" s="225">
        <v>0.94299999999999995</v>
      </c>
      <c r="H24" s="225">
        <v>0.88200000000000001</v>
      </c>
      <c r="I24" s="225">
        <v>1.2250000000000001</v>
      </c>
      <c r="J24" s="225">
        <f>6.133-SUM(G24:I24)</f>
        <v>3.0830000000000002</v>
      </c>
      <c r="K24" s="225">
        <v>2.2469999999999999</v>
      </c>
      <c r="L24" s="225">
        <v>3.6859999999999999</v>
      </c>
      <c r="M24" s="225">
        <v>5.2990000000000004</v>
      </c>
      <c r="N24" s="225">
        <f>12.109-SUM(K24:M24)</f>
        <v>0.87700000000000067</v>
      </c>
      <c r="O24" s="225">
        <v>4.4319999999999995</v>
      </c>
      <c r="P24" s="225">
        <v>4.1970000000000001</v>
      </c>
      <c r="Q24" s="225">
        <v>3.79</v>
      </c>
      <c r="R24" s="225">
        <f>14.86-SUM(O24:Q24)</f>
        <v>2.4409999999999989</v>
      </c>
      <c r="S24" s="225">
        <v>2.46</v>
      </c>
      <c r="T24" s="225">
        <v>2.6190000000000002</v>
      </c>
      <c r="U24" s="225">
        <v>0.56100000000000005</v>
      </c>
      <c r="V24" s="266">
        <f t="shared" ref="V24:AD24" si="21">+SUM(V208:V209)</f>
        <v>1.7308419704293401</v>
      </c>
      <c r="W24" s="266">
        <f t="shared" si="21"/>
        <v>1.9291980774159216</v>
      </c>
      <c r="X24" s="266">
        <f t="shared" si="21"/>
        <v>2.0331521962750472</v>
      </c>
      <c r="Y24" s="266">
        <f t="shared" si="21"/>
        <v>2.1333182683266538</v>
      </c>
      <c r="Z24" s="266">
        <f t="shared" si="21"/>
        <v>2.423961504993227</v>
      </c>
      <c r="AA24" s="266">
        <f t="shared" si="21"/>
        <v>2.7435302131083299</v>
      </c>
      <c r="AB24" s="266">
        <f t="shared" si="21"/>
        <v>3.0383392964568499</v>
      </c>
      <c r="AC24" s="266">
        <f t="shared" si="21"/>
        <v>3.359828839299436</v>
      </c>
      <c r="AD24" s="266">
        <f t="shared" si="21"/>
        <v>3.9275931012982452</v>
      </c>
      <c r="AE24" s="64"/>
    </row>
    <row r="25" spans="1:31" s="3" customFormat="1" outlineLevel="1">
      <c r="A25" s="110" t="s">
        <v>265</v>
      </c>
      <c r="B25" s="143"/>
      <c r="D25" s="227" t="s">
        <v>265</v>
      </c>
      <c r="E25" s="167"/>
      <c r="F25" s="167"/>
      <c r="G25" s="225">
        <f>1.248-G24</f>
        <v>0.30500000000000005</v>
      </c>
      <c r="H25" s="225">
        <f>2.142-H24</f>
        <v>1.2599999999999998</v>
      </c>
      <c r="I25" s="225">
        <f>1.608-I24</f>
        <v>0.38300000000000001</v>
      </c>
      <c r="J25" s="225">
        <f>7.549-SUM(G24:J24,G25:I25)</f>
        <v>-0.53199999999999914</v>
      </c>
      <c r="K25" s="225">
        <f>3.381-K24</f>
        <v>1.1339999999999999</v>
      </c>
      <c r="L25" s="225">
        <f>3.221-L24</f>
        <v>-0.46499999999999986</v>
      </c>
      <c r="M25" s="225">
        <f>3.88-M24</f>
        <v>-1.4190000000000005</v>
      </c>
      <c r="N25" s="225">
        <f>16.026-SUM(K24:N24,K25:M25)</f>
        <v>4.6669999999999998</v>
      </c>
      <c r="O25" s="225">
        <f>5.499-O24</f>
        <v>1.0670000000000002</v>
      </c>
      <c r="P25" s="225">
        <f>5.316-P24</f>
        <v>1.1189999999999998</v>
      </c>
      <c r="Q25" s="225">
        <f>5.138-Q24</f>
        <v>1.3479999999999999</v>
      </c>
      <c r="R25" s="225">
        <f>19.672-SUM(O24:R24,O25:Q25)</f>
        <v>1.2780000000000022</v>
      </c>
      <c r="S25" s="225">
        <f>2.42-S24</f>
        <v>-4.0000000000000036E-2</v>
      </c>
      <c r="T25" s="225">
        <f>1.727-T24</f>
        <v>-0.89200000000000013</v>
      </c>
      <c r="U25" s="225">
        <f>1.528-U24</f>
        <v>0.96699999999999997</v>
      </c>
      <c r="V25" s="266">
        <f t="shared" ref="V25:AD25" si="22">+V210</f>
        <v>0</v>
      </c>
      <c r="W25" s="266">
        <f t="shared" si="22"/>
        <v>0</v>
      </c>
      <c r="X25" s="266">
        <f t="shared" si="22"/>
        <v>0</v>
      </c>
      <c r="Y25" s="266">
        <f t="shared" si="22"/>
        <v>0</v>
      </c>
      <c r="Z25" s="266">
        <f t="shared" si="22"/>
        <v>0</v>
      </c>
      <c r="AA25" s="266">
        <f t="shared" si="22"/>
        <v>0</v>
      </c>
      <c r="AB25" s="266">
        <f t="shared" si="22"/>
        <v>0</v>
      </c>
      <c r="AC25" s="266">
        <f t="shared" si="22"/>
        <v>0</v>
      </c>
      <c r="AD25" s="266">
        <f t="shared" si="22"/>
        <v>0</v>
      </c>
      <c r="AE25" s="64"/>
    </row>
    <row r="26" spans="1:31" s="3" customFormat="1" outlineLevel="1">
      <c r="A26" s="110"/>
      <c r="B26" s="143"/>
      <c r="D26" s="2" t="s">
        <v>110</v>
      </c>
      <c r="E26" s="2"/>
      <c r="F26" s="2"/>
      <c r="G26" s="8">
        <f t="shared" ref="G26:S26" si="23">G23-SUM(G24:G25)</f>
        <v>2.1999999999995579E-2</v>
      </c>
      <c r="H26" s="8">
        <f t="shared" si="23"/>
        <v>-5.6139999999999937</v>
      </c>
      <c r="I26" s="8">
        <f t="shared" si="23"/>
        <v>-6.593999999999987</v>
      </c>
      <c r="J26" s="8">
        <f t="shared" si="23"/>
        <v>-3.4020000000000445</v>
      </c>
      <c r="K26" s="8">
        <f t="shared" si="23"/>
        <v>-1.8400000000000127</v>
      </c>
      <c r="L26" s="8">
        <f t="shared" si="23"/>
        <v>-1.9579999999999853</v>
      </c>
      <c r="M26" s="8">
        <f t="shared" si="23"/>
        <v>-7.0070000000000068</v>
      </c>
      <c r="N26" s="8">
        <f t="shared" si="23"/>
        <v>-1.951999999999904</v>
      </c>
      <c r="O26" s="8">
        <f t="shared" si="23"/>
        <v>-1.5890000000000102</v>
      </c>
      <c r="P26" s="8">
        <f t="shared" si="23"/>
        <v>-5.5699999999999958</v>
      </c>
      <c r="Q26" s="8">
        <f t="shared" si="23"/>
        <v>0.76400000000001711</v>
      </c>
      <c r="R26" s="8">
        <f t="shared" si="23"/>
        <v>3.8939999999999468</v>
      </c>
      <c r="S26" s="8">
        <f t="shared" si="23"/>
        <v>5.1020000000000154</v>
      </c>
      <c r="T26" s="8">
        <f>T23-SUM(T24:T25)</f>
        <v>3.72199999999994</v>
      </c>
      <c r="U26" s="8">
        <f t="shared" ref="U26:AD26" si="24">U23-SUM(U24:U25)</f>
        <v>4.5850000000000541</v>
      </c>
      <c r="V26" s="8">
        <f t="shared" si="24"/>
        <v>3.2051050395488057E-2</v>
      </c>
      <c r="W26" s="8">
        <f t="shared" si="24"/>
        <v>0.45645184527409954</v>
      </c>
      <c r="X26" s="8">
        <f t="shared" si="24"/>
        <v>3.6905592721658778</v>
      </c>
      <c r="Y26" s="8">
        <f t="shared" si="24"/>
        <v>9.4959502644934854</v>
      </c>
      <c r="Z26" s="8">
        <f t="shared" si="24"/>
        <v>15.320743242159541</v>
      </c>
      <c r="AA26" s="8">
        <f t="shared" si="24"/>
        <v>14.594886278670195</v>
      </c>
      <c r="AB26" s="8">
        <f t="shared" si="24"/>
        <v>15.038738412251007</v>
      </c>
      <c r="AC26" s="8">
        <f t="shared" si="24"/>
        <v>14.77930669378755</v>
      </c>
      <c r="AD26" s="8">
        <f t="shared" si="24"/>
        <v>22.173349366733291</v>
      </c>
      <c r="AE26" s="64"/>
    </row>
    <row r="27" spans="1:31" s="3" customFormat="1" outlineLevel="1">
      <c r="A27" s="110" t="s">
        <v>254</v>
      </c>
      <c r="B27" s="143"/>
      <c r="D27" s="227" t="s">
        <v>254</v>
      </c>
      <c r="E27" s="167"/>
      <c r="F27" s="167"/>
      <c r="G27" s="225">
        <f>1.49-G28</f>
        <v>0</v>
      </c>
      <c r="H27" s="225">
        <f>0.182-H28</f>
        <v>0</v>
      </c>
      <c r="I27" s="225">
        <f>0.182-I28</f>
        <v>1.0940000000000001</v>
      </c>
      <c r="J27" s="225">
        <f>2.648-SUM(G28:J28,G27:I27)</f>
        <v>-1.0939999999999999</v>
      </c>
      <c r="K27" s="225">
        <f>1.055-K28</f>
        <v>0</v>
      </c>
      <c r="L27" s="225">
        <f>0.4-L28</f>
        <v>0</v>
      </c>
      <c r="M27" s="225">
        <f>0.07-M28</f>
        <v>0</v>
      </c>
      <c r="N27" s="225">
        <f>-1.917-SUM(K28:N28,K27:M27)</f>
        <v>0</v>
      </c>
      <c r="O27" s="225">
        <f>-0.173-O28</f>
        <v>0</v>
      </c>
      <c r="P27" s="225">
        <f>-1.169-P28</f>
        <v>0</v>
      </c>
      <c r="Q27" s="225">
        <f>0.07-Q28</f>
        <v>0</v>
      </c>
      <c r="R27" s="225">
        <f>1.674-SUM(O28:R28,O27:Q27)</f>
        <v>0</v>
      </c>
      <c r="S27" s="225">
        <f>1.436-S28</f>
        <v>0</v>
      </c>
      <c r="T27" s="225">
        <f>2.697-T28</f>
        <v>0</v>
      </c>
      <c r="U27" s="225">
        <f>-0.011-U28</f>
        <v>0</v>
      </c>
      <c r="V27" s="226">
        <f t="shared" ref="V27:AD27" si="25">-V95</f>
        <v>8.0127625988702443E-5</v>
      </c>
      <c r="W27" s="226">
        <f t="shared" si="25"/>
        <v>1.0270166518667795E-2</v>
      </c>
      <c r="X27" s="226">
        <f t="shared" si="25"/>
        <v>0.19375436178870892</v>
      </c>
      <c r="Y27" s="226">
        <f t="shared" si="25"/>
        <v>0.78341589682071011</v>
      </c>
      <c r="Z27" s="226">
        <f t="shared" si="25"/>
        <v>1.7235836147429513</v>
      </c>
      <c r="AA27" s="226">
        <f t="shared" si="25"/>
        <v>2.0797712947105018</v>
      </c>
      <c r="AB27" s="226">
        <f t="shared" si="25"/>
        <v>2.5941823761132965</v>
      </c>
      <c r="AC27" s="226">
        <f t="shared" si="25"/>
        <v>2.9928096054919742</v>
      </c>
      <c r="AD27" s="226">
        <f t="shared" si="25"/>
        <v>5.1553037277655012</v>
      </c>
      <c r="AE27" s="64"/>
    </row>
    <row r="28" spans="1:31" s="3" customFormat="1" outlineLevel="1">
      <c r="A28" s="110" t="s">
        <v>113</v>
      </c>
      <c r="B28" s="143"/>
      <c r="D28" s="227" t="s">
        <v>113</v>
      </c>
      <c r="E28" s="167"/>
      <c r="F28" s="167"/>
      <c r="G28" s="225">
        <v>1.49</v>
      </c>
      <c r="H28" s="225">
        <v>0.182</v>
      </c>
      <c r="I28" s="225">
        <v>-0.91200000000000003</v>
      </c>
      <c r="J28" s="225">
        <f>2.648-SUM(G28:I28)</f>
        <v>1.8880000000000003</v>
      </c>
      <c r="K28" s="225">
        <v>1.0549999999999999</v>
      </c>
      <c r="L28" s="225">
        <v>0.4</v>
      </c>
      <c r="M28" s="225">
        <v>7.0000000000000007E-2</v>
      </c>
      <c r="N28" s="225">
        <f>-1.917-SUM(K28:M28)</f>
        <v>-3.4420000000000002</v>
      </c>
      <c r="O28" s="225">
        <v>-0.17299999999999999</v>
      </c>
      <c r="P28" s="225">
        <v>-1.169</v>
      </c>
      <c r="Q28" s="225">
        <v>7.0000000000000007E-2</v>
      </c>
      <c r="R28" s="225">
        <f>1.674-SUM(O28:Q28)</f>
        <v>2.9459999999999997</v>
      </c>
      <c r="S28" s="225">
        <v>1.4359999999999999</v>
      </c>
      <c r="T28" s="225">
        <v>2.6970000000000001</v>
      </c>
      <c r="U28" s="225">
        <v>-1.0999999999999999E-2</v>
      </c>
      <c r="V28" s="226">
        <f t="shared" ref="V28:AD28" si="26">-V96</f>
        <v>7.9326349728815349E-3</v>
      </c>
      <c r="W28" s="226">
        <f t="shared" si="26"/>
        <v>9.9278276347122066E-2</v>
      </c>
      <c r="X28" s="226">
        <f t="shared" si="26"/>
        <v>0.69197986353110341</v>
      </c>
      <c r="Y28" s="226">
        <f t="shared" si="26"/>
        <v>1.4956121666577196</v>
      </c>
      <c r="Z28" s="226">
        <f t="shared" si="26"/>
        <v>1.953394763375345</v>
      </c>
      <c r="AA28" s="226">
        <f t="shared" si="26"/>
        <v>1.4230014121703434</v>
      </c>
      <c r="AB28" s="226">
        <f t="shared" si="26"/>
        <v>1.0151148428269423</v>
      </c>
      <c r="AC28" s="226">
        <f t="shared" si="26"/>
        <v>0.5542240010170324</v>
      </c>
      <c r="AD28" s="226">
        <f t="shared" si="26"/>
        <v>0.1663001202505002</v>
      </c>
      <c r="AE28" s="64"/>
    </row>
    <row r="29" spans="1:31" s="3" customFormat="1" outlineLevel="1">
      <c r="A29" s="110"/>
      <c r="B29" s="143"/>
      <c r="D29" s="2" t="s">
        <v>115</v>
      </c>
      <c r="E29" s="2"/>
      <c r="F29" s="2"/>
      <c r="G29" s="8">
        <f t="shared" ref="G29:R29" si="27">G26-SUM(G27:G28)</f>
        <v>-1.4680000000000044</v>
      </c>
      <c r="H29" s="8">
        <f t="shared" si="27"/>
        <v>-5.795999999999994</v>
      </c>
      <c r="I29" s="8">
        <f t="shared" si="27"/>
        <v>-6.7759999999999874</v>
      </c>
      <c r="J29" s="8">
        <f t="shared" si="27"/>
        <v>-4.196000000000045</v>
      </c>
      <c r="K29" s="8">
        <f t="shared" si="27"/>
        <v>-2.8950000000000129</v>
      </c>
      <c r="L29" s="8">
        <f t="shared" si="27"/>
        <v>-2.3579999999999854</v>
      </c>
      <c r="M29" s="8">
        <f t="shared" si="27"/>
        <v>-7.0770000000000071</v>
      </c>
      <c r="N29" s="8">
        <f t="shared" si="27"/>
        <v>1.4900000000000961</v>
      </c>
      <c r="O29" s="8">
        <f t="shared" si="27"/>
        <v>-1.4160000000000101</v>
      </c>
      <c r="P29" s="8">
        <f t="shared" si="27"/>
        <v>-4.4009999999999962</v>
      </c>
      <c r="Q29" s="8">
        <f t="shared" si="27"/>
        <v>0.69400000000001705</v>
      </c>
      <c r="R29" s="8">
        <f t="shared" si="27"/>
        <v>0.94799999999994711</v>
      </c>
      <c r="S29" s="8">
        <f>S26-SUM(S27:S28)</f>
        <v>3.6660000000000155</v>
      </c>
      <c r="T29" s="8">
        <f>T26-SUM(T27:T28)</f>
        <v>1.02499999999994</v>
      </c>
      <c r="U29" s="8">
        <f t="shared" ref="U29:AD29" si="28">U26-SUM(U27:U28)</f>
        <v>4.5960000000000543</v>
      </c>
      <c r="V29" s="8">
        <f t="shared" si="28"/>
        <v>2.4038287796617819E-2</v>
      </c>
      <c r="W29" s="8">
        <f t="shared" si="28"/>
        <v>0.34690340240830969</v>
      </c>
      <c r="X29" s="8">
        <f t="shared" si="28"/>
        <v>2.8048250468460654</v>
      </c>
      <c r="Y29" s="8">
        <f t="shared" si="28"/>
        <v>7.2169222010150555</v>
      </c>
      <c r="Z29" s="8">
        <f t="shared" si="28"/>
        <v>11.643764864041245</v>
      </c>
      <c r="AA29" s="8">
        <f t="shared" si="28"/>
        <v>11.09211357178935</v>
      </c>
      <c r="AB29" s="8">
        <f t="shared" si="28"/>
        <v>11.429441193310769</v>
      </c>
      <c r="AC29" s="8">
        <f t="shared" si="28"/>
        <v>11.232273087278543</v>
      </c>
      <c r="AD29" s="8">
        <f t="shared" si="28"/>
        <v>16.851745518717291</v>
      </c>
      <c r="AE29" s="64"/>
    </row>
    <row r="30" spans="1:31" s="3" customFormat="1" outlineLevel="1">
      <c r="A30" s="110"/>
      <c r="B30" s="143"/>
      <c r="D30" s="167"/>
      <c r="E30" s="167"/>
      <c r="F30" s="167"/>
      <c r="G30" s="226"/>
      <c r="H30" s="232"/>
      <c r="I30" s="232"/>
      <c r="J30" s="232"/>
      <c r="K30" s="232"/>
      <c r="L30" s="232"/>
      <c r="M30" s="232"/>
      <c r="N30" s="232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64"/>
    </row>
    <row r="31" spans="1:31" s="3" customFormat="1" outlineLevel="1">
      <c r="A31" s="110"/>
      <c r="B31" s="143"/>
      <c r="D31" s="227" t="s">
        <v>418</v>
      </c>
      <c r="E31" s="167"/>
      <c r="F31" s="167"/>
      <c r="G31" s="226"/>
      <c r="H31" s="232"/>
      <c r="I31" s="232"/>
      <c r="J31" s="232"/>
      <c r="K31" s="257">
        <f>K34-SUM(K32:K33)</f>
        <v>-0.10534467020129945</v>
      </c>
      <c r="L31" s="257">
        <f t="shared" ref="L31:T31" si="29">L34-SUM(L32:L33)</f>
        <v>2.7604530735027999E-2</v>
      </c>
      <c r="M31" s="257">
        <f t="shared" si="29"/>
        <v>-5.2425204782002965E-2</v>
      </c>
      <c r="N31" s="257">
        <f t="shared" si="29"/>
        <v>-0.15521153443112001</v>
      </c>
      <c r="O31" s="257">
        <f t="shared" si="29"/>
        <v>-3.8988909786794534E-2</v>
      </c>
      <c r="P31" s="257">
        <f t="shared" si="29"/>
        <v>-4.3013791601278495E-2</v>
      </c>
      <c r="Q31" s="257">
        <f t="shared" si="29"/>
        <v>-0.15070039861454887</v>
      </c>
      <c r="R31" s="257">
        <f t="shared" si="29"/>
        <v>0.25625967155349227</v>
      </c>
      <c r="S31" s="257">
        <f t="shared" si="29"/>
        <v>8.9955197710157225E-2</v>
      </c>
      <c r="T31" s="257">
        <f t="shared" si="29"/>
        <v>0.11177688782124423</v>
      </c>
      <c r="U31" s="257">
        <f>U34-SUM(U32:U33)</f>
        <v>0.13254810114624116</v>
      </c>
      <c r="V31" s="213">
        <v>7.0000000000000007E-2</v>
      </c>
      <c r="W31" s="213">
        <v>7.0000000000000007E-2</v>
      </c>
      <c r="X31" s="213">
        <v>6.5000000000000002E-2</v>
      </c>
      <c r="Y31" s="213">
        <v>6.5000000000000002E-2</v>
      </c>
      <c r="Z31" s="213">
        <v>0.04</v>
      </c>
      <c r="AA31" s="213">
        <v>0.04</v>
      </c>
      <c r="AB31" s="213">
        <v>4.4999999999999998E-2</v>
      </c>
      <c r="AC31" s="213">
        <f>AB31</f>
        <v>4.4999999999999998E-2</v>
      </c>
      <c r="AD31" s="213">
        <f>AC31</f>
        <v>4.4999999999999998E-2</v>
      </c>
      <c r="AE31" s="64"/>
    </row>
    <row r="32" spans="1:31" s="3" customFormat="1" outlineLevel="1">
      <c r="A32" s="110"/>
      <c r="B32" s="143"/>
      <c r="D32" s="227" t="s">
        <v>328</v>
      </c>
      <c r="E32" s="167"/>
      <c r="F32" s="167"/>
      <c r="G32" s="226"/>
      <c r="H32" s="232"/>
      <c r="I32" s="232"/>
      <c r="J32" s="232"/>
      <c r="K32" s="257">
        <f t="shared" ref="K32:AD32" si="30">K454/G15</f>
        <v>0.49702894765924027</v>
      </c>
      <c r="L32" s="257">
        <f t="shared" si="30"/>
        <v>0.47580664521519073</v>
      </c>
      <c r="M32" s="257">
        <f>M454/I15</f>
        <v>0.48880198386299134</v>
      </c>
      <c r="N32" s="257">
        <f t="shared" si="30"/>
        <v>0.73363913481493148</v>
      </c>
      <c r="O32" s="257">
        <f t="shared" si="30"/>
        <v>0.44579448876264594</v>
      </c>
      <c r="P32" s="257">
        <f t="shared" si="30"/>
        <v>0.45455382005427036</v>
      </c>
      <c r="Q32" s="257">
        <f t="shared" si="30"/>
        <v>0.45703569237553876</v>
      </c>
      <c r="R32" s="257">
        <f t="shared" si="30"/>
        <v>0.10333956843052194</v>
      </c>
      <c r="S32" s="257">
        <f t="shared" si="30"/>
        <v>0.23989071252641425</v>
      </c>
      <c r="T32" s="257">
        <f t="shared" si="30"/>
        <v>0.48777630004694988</v>
      </c>
      <c r="U32" s="257">
        <f t="shared" si="30"/>
        <v>0.84227818173092395</v>
      </c>
      <c r="V32" s="257">
        <f>V454/R15</f>
        <v>0.64391925854786969</v>
      </c>
      <c r="W32" s="257">
        <f t="shared" si="30"/>
        <v>0.51862269047023757</v>
      </c>
      <c r="X32" s="257">
        <f t="shared" si="30"/>
        <v>0.40598164772326489</v>
      </c>
      <c r="Y32" s="257">
        <f t="shared" si="30"/>
        <v>0.33992417876399755</v>
      </c>
      <c r="Z32" s="257">
        <f t="shared" si="30"/>
        <v>0.23600370850488189</v>
      </c>
      <c r="AA32" s="257">
        <f t="shared" si="30"/>
        <v>0.27336442064863525</v>
      </c>
      <c r="AB32" s="257">
        <f t="shared" si="30"/>
        <v>0.28812308580809354</v>
      </c>
      <c r="AC32" s="257">
        <f t="shared" si="30"/>
        <v>0.3061171654086331</v>
      </c>
      <c r="AD32" s="257">
        <f t="shared" si="30"/>
        <v>0.26720098765505068</v>
      </c>
      <c r="AE32" s="64"/>
    </row>
    <row r="33" spans="1:31" s="3" customFormat="1" outlineLevel="1">
      <c r="A33" s="110"/>
      <c r="B33" s="143"/>
      <c r="D33" s="227" t="s">
        <v>419</v>
      </c>
      <c r="E33" s="167"/>
      <c r="F33" s="167"/>
      <c r="G33" s="226"/>
      <c r="H33" s="232"/>
      <c r="I33" s="232"/>
      <c r="J33" s="232"/>
      <c r="K33" s="257">
        <f>AVERAGE(G60:J60)*K63*G15/G15</f>
        <v>3.2542462117131236E-2</v>
      </c>
      <c r="L33" s="257">
        <f t="shared" ref="L33:U33" si="31">AVERAGE(H60:K60)*L63*H15/H15</f>
        <v>2.6309865520776882E-2</v>
      </c>
      <c r="M33" s="257">
        <f t="shared" si="31"/>
        <v>8.0276829557152322E-3</v>
      </c>
      <c r="N33" s="257">
        <f t="shared" si="31"/>
        <v>-7.23631599135978E-4</v>
      </c>
      <c r="O33" s="257">
        <f t="shared" si="31"/>
        <v>8.9246922417850986E-3</v>
      </c>
      <c r="P33" s="257">
        <f t="shared" si="31"/>
        <v>3.0634861568212504E-2</v>
      </c>
      <c r="Q33" s="257">
        <f t="shared" si="31"/>
        <v>7.6421739907678362E-3</v>
      </c>
      <c r="R33" s="257">
        <f t="shared" si="31"/>
        <v>-1.0972053844893616E-2</v>
      </c>
      <c r="S33" s="257">
        <f t="shared" si="31"/>
        <v>-4.5498534188543306E-2</v>
      </c>
      <c r="T33" s="257">
        <f t="shared" si="31"/>
        <v>-8.3998549127312291E-2</v>
      </c>
      <c r="U33" s="257">
        <f t="shared" si="31"/>
        <v>-4.013767194892294E-2</v>
      </c>
      <c r="V33" s="257">
        <f t="shared" ref="V33:AD33" si="32">AVERAGE(R60:U60)*V63*R15/R15</f>
        <v>-3.2645003574821939E-2</v>
      </c>
      <c r="W33" s="257">
        <f>AVERAGE(S60:V60)*W63*S15/S15</f>
        <v>-1.3154448523493264E-2</v>
      </c>
      <c r="X33" s="257">
        <f t="shared" si="32"/>
        <v>9.4287957328057261E-3</v>
      </c>
      <c r="Y33" s="257">
        <f t="shared" si="32"/>
        <v>-9.732066442012105E-3</v>
      </c>
      <c r="Z33" s="257">
        <f t="shared" si="32"/>
        <v>0</v>
      </c>
      <c r="AA33" s="257">
        <f t="shared" si="32"/>
        <v>0</v>
      </c>
      <c r="AB33" s="257">
        <f t="shared" si="32"/>
        <v>0</v>
      </c>
      <c r="AC33" s="257">
        <f t="shared" si="32"/>
        <v>0</v>
      </c>
      <c r="AD33" s="257">
        <f t="shared" si="32"/>
        <v>0</v>
      </c>
      <c r="AE33" s="64"/>
    </row>
    <row r="34" spans="1:31" s="3" customFormat="1" outlineLevel="1">
      <c r="A34" s="110"/>
      <c r="B34" s="143"/>
      <c r="D34" s="2" t="s">
        <v>250</v>
      </c>
      <c r="E34" s="2"/>
      <c r="F34" s="2"/>
      <c r="G34" s="8"/>
      <c r="H34" s="8"/>
      <c r="I34" s="8"/>
      <c r="J34" s="8"/>
      <c r="K34" s="256">
        <f t="shared" ref="K34:U34" si="33">IFERROR(K15/G15-1,"na")</f>
        <v>0.42422673957507206</v>
      </c>
      <c r="L34" s="256">
        <f t="shared" si="33"/>
        <v>0.52972104147099563</v>
      </c>
      <c r="M34" s="256">
        <f t="shared" si="33"/>
        <v>0.44440446203670358</v>
      </c>
      <c r="N34" s="256">
        <f t="shared" si="33"/>
        <v>0.57770396878467545</v>
      </c>
      <c r="O34" s="256">
        <f t="shared" si="33"/>
        <v>0.4157302712176365</v>
      </c>
      <c r="P34" s="256">
        <f t="shared" si="33"/>
        <v>0.44217489002120436</v>
      </c>
      <c r="Q34" s="256">
        <f t="shared" si="33"/>
        <v>0.31397746775175772</v>
      </c>
      <c r="R34" s="256">
        <f t="shared" si="33"/>
        <v>0.34862718613912058</v>
      </c>
      <c r="S34" s="256">
        <f t="shared" si="33"/>
        <v>0.28434737604802818</v>
      </c>
      <c r="T34" s="256">
        <f t="shared" si="33"/>
        <v>0.51555463874088181</v>
      </c>
      <c r="U34" s="256">
        <f t="shared" si="33"/>
        <v>0.93468861092824218</v>
      </c>
      <c r="V34" s="258">
        <f t="shared" ref="V34:AD34" si="34">SUM(V31:V32)</f>
        <v>0.71391925854786975</v>
      </c>
      <c r="W34" s="258">
        <f t="shared" si="34"/>
        <v>0.58862269047023763</v>
      </c>
      <c r="X34" s="258">
        <f t="shared" si="34"/>
        <v>0.4709816477232649</v>
      </c>
      <c r="Y34" s="258">
        <f t="shared" si="34"/>
        <v>0.40492417876399756</v>
      </c>
      <c r="Z34" s="258">
        <f t="shared" si="34"/>
        <v>0.27600370850488187</v>
      </c>
      <c r="AA34" s="258">
        <f t="shared" si="34"/>
        <v>0.31336442064863523</v>
      </c>
      <c r="AB34" s="258">
        <f t="shared" si="34"/>
        <v>0.33312308580809352</v>
      </c>
      <c r="AC34" s="258">
        <f t="shared" si="34"/>
        <v>0.35111716540863308</v>
      </c>
      <c r="AD34" s="258">
        <f t="shared" si="34"/>
        <v>0.31220098765505067</v>
      </c>
      <c r="AE34" s="64"/>
    </row>
    <row r="35" spans="1:31" s="3" customFormat="1" outlineLevel="1">
      <c r="A35" s="110"/>
      <c r="B35" s="143"/>
      <c r="D35" s="227" t="s">
        <v>316</v>
      </c>
      <c r="E35" s="167"/>
      <c r="F35" s="167"/>
      <c r="G35" s="236">
        <f>G285</f>
        <v>1</v>
      </c>
      <c r="H35" s="236">
        <f>H285</f>
        <v>2</v>
      </c>
      <c r="I35" s="236">
        <f>I285</f>
        <v>0</v>
      </c>
      <c r="J35" s="236">
        <f>J285</f>
        <v>1</v>
      </c>
      <c r="K35" s="236">
        <f>K285</f>
        <v>1</v>
      </c>
      <c r="L35" s="236">
        <f t="shared" ref="L35:AD35" si="35">L285</f>
        <v>0</v>
      </c>
      <c r="M35" s="236">
        <f t="shared" si="35"/>
        <v>1</v>
      </c>
      <c r="N35" s="236">
        <f t="shared" si="35"/>
        <v>3</v>
      </c>
      <c r="O35" s="236">
        <f t="shared" si="35"/>
        <v>1</v>
      </c>
      <c r="P35" s="236">
        <f t="shared" si="35"/>
        <v>0</v>
      </c>
      <c r="Q35" s="236">
        <f t="shared" si="35"/>
        <v>0</v>
      </c>
      <c r="R35" s="236">
        <f t="shared" si="35"/>
        <v>4</v>
      </c>
      <c r="S35" s="236">
        <f t="shared" si="35"/>
        <v>2</v>
      </c>
      <c r="T35" s="236">
        <f t="shared" si="35"/>
        <v>2</v>
      </c>
      <c r="U35" s="236">
        <f t="shared" si="35"/>
        <v>3</v>
      </c>
      <c r="V35" s="236">
        <f t="shared" si="35"/>
        <v>2</v>
      </c>
      <c r="W35" s="236">
        <f t="shared" si="35"/>
        <v>2</v>
      </c>
      <c r="X35" s="236">
        <f t="shared" si="35"/>
        <v>2</v>
      </c>
      <c r="Y35" s="236">
        <f t="shared" si="35"/>
        <v>2</v>
      </c>
      <c r="Z35" s="236">
        <f t="shared" si="35"/>
        <v>2</v>
      </c>
      <c r="AA35" s="236">
        <f t="shared" si="35"/>
        <v>2.5</v>
      </c>
      <c r="AB35" s="236">
        <f t="shared" si="35"/>
        <v>2.5</v>
      </c>
      <c r="AC35" s="236">
        <f t="shared" si="35"/>
        <v>2.5</v>
      </c>
      <c r="AD35" s="236">
        <f t="shared" si="35"/>
        <v>2.5</v>
      </c>
      <c r="AE35" s="64"/>
    </row>
    <row r="36" spans="1:31" s="3" customFormat="1" outlineLevel="1">
      <c r="A36" s="110"/>
      <c r="B36" s="143"/>
      <c r="D36" s="227" t="s">
        <v>330</v>
      </c>
      <c r="E36" s="167"/>
      <c r="F36" s="167"/>
      <c r="G36" s="226"/>
      <c r="H36" s="226"/>
      <c r="I36" s="226"/>
      <c r="J36" s="236">
        <f t="shared" ref="J36:AC36" si="36">AVERAGE(G35:J35)</f>
        <v>1</v>
      </c>
      <c r="K36" s="236">
        <f t="shared" si="36"/>
        <v>1</v>
      </c>
      <c r="L36" s="236">
        <f t="shared" si="36"/>
        <v>0.5</v>
      </c>
      <c r="M36" s="236">
        <f t="shared" si="36"/>
        <v>0.75</v>
      </c>
      <c r="N36" s="236">
        <f t="shared" si="36"/>
        <v>1.25</v>
      </c>
      <c r="O36" s="236">
        <f t="shared" si="36"/>
        <v>1.25</v>
      </c>
      <c r="P36" s="236">
        <f t="shared" si="36"/>
        <v>1.25</v>
      </c>
      <c r="Q36" s="236">
        <f t="shared" si="36"/>
        <v>1</v>
      </c>
      <c r="R36" s="236">
        <f t="shared" si="36"/>
        <v>1.25</v>
      </c>
      <c r="S36" s="236">
        <f t="shared" si="36"/>
        <v>1.5</v>
      </c>
      <c r="T36" s="236">
        <f t="shared" si="36"/>
        <v>2</v>
      </c>
      <c r="U36" s="236">
        <f t="shared" si="36"/>
        <v>2.75</v>
      </c>
      <c r="V36" s="236">
        <f t="shared" si="36"/>
        <v>2.25</v>
      </c>
      <c r="W36" s="236">
        <f t="shared" si="36"/>
        <v>2.25</v>
      </c>
      <c r="X36" s="236">
        <f t="shared" si="36"/>
        <v>2.25</v>
      </c>
      <c r="Y36" s="236">
        <f t="shared" si="36"/>
        <v>2</v>
      </c>
      <c r="Z36" s="236">
        <f t="shared" si="36"/>
        <v>2</v>
      </c>
      <c r="AA36" s="236">
        <f t="shared" si="36"/>
        <v>2.125</v>
      </c>
      <c r="AB36" s="236">
        <f t="shared" si="36"/>
        <v>2.25</v>
      </c>
      <c r="AC36" s="236">
        <f t="shared" si="36"/>
        <v>2.375</v>
      </c>
      <c r="AD36" s="236">
        <f>AVERAGE(AA35:AD35)</f>
        <v>2.5</v>
      </c>
      <c r="AE36" s="64"/>
    </row>
    <row r="37" spans="1:31" s="3" customFormat="1" outlineLevel="1">
      <c r="A37" s="110"/>
      <c r="B37" s="143"/>
      <c r="D37" s="227" t="s">
        <v>258</v>
      </c>
      <c r="E37" s="167"/>
      <c r="F37" s="167"/>
      <c r="G37" s="236">
        <f>G278</f>
        <v>0</v>
      </c>
      <c r="H37" s="236">
        <f>H278</f>
        <v>18.550999999999998</v>
      </c>
      <c r="I37" s="236">
        <f>I278</f>
        <v>0</v>
      </c>
      <c r="J37" s="236">
        <f t="shared" ref="J37:S37" si="37">J278</f>
        <v>7.5850000000000009</v>
      </c>
      <c r="K37" s="236">
        <f t="shared" si="37"/>
        <v>14.348000000000001</v>
      </c>
      <c r="L37" s="236">
        <f t="shared" si="37"/>
        <v>-4.5999999999999999E-2</v>
      </c>
      <c r="M37" s="236">
        <f t="shared" si="37"/>
        <v>1.4389999999999998</v>
      </c>
      <c r="N37" s="236">
        <f t="shared" si="37"/>
        <v>39.425000000000004</v>
      </c>
      <c r="O37" s="236">
        <f t="shared" si="37"/>
        <v>6.6989999999999998</v>
      </c>
      <c r="P37" s="236">
        <f t="shared" si="37"/>
        <v>-0.254</v>
      </c>
      <c r="Q37" s="236">
        <f t="shared" si="37"/>
        <v>2E-3</v>
      </c>
      <c r="R37" s="236">
        <f t="shared" si="37"/>
        <v>37.255999999999993</v>
      </c>
      <c r="S37" s="236">
        <f t="shared" si="37"/>
        <v>10.105</v>
      </c>
      <c r="T37" s="236">
        <f>T278</f>
        <v>85.912999999999997</v>
      </c>
      <c r="U37" s="236">
        <f t="shared" ref="U37:AD37" si="38">U278</f>
        <v>147.72200000000001</v>
      </c>
      <c r="V37" s="236">
        <f t="shared" si="38"/>
        <v>12.013324171316841</v>
      </c>
      <c r="W37" s="236">
        <f t="shared" si="38"/>
        <v>36.440416652994422</v>
      </c>
      <c r="X37" s="236">
        <f t="shared" si="38"/>
        <v>36.960994033751483</v>
      </c>
      <c r="Y37" s="236">
        <f t="shared" si="38"/>
        <v>37.481571414508544</v>
      </c>
      <c r="Z37" s="236">
        <f t="shared" si="38"/>
        <v>38.002148795265605</v>
      </c>
      <c r="AA37" s="236">
        <f t="shared" si="38"/>
        <v>51.857516006184362</v>
      </c>
      <c r="AB37" s="236">
        <f t="shared" si="38"/>
        <v>52.558293249511181</v>
      </c>
      <c r="AC37" s="236">
        <f t="shared" si="38"/>
        <v>53.259070492837999</v>
      </c>
      <c r="AD37" s="236">
        <f t="shared" si="38"/>
        <v>53.959847736164811</v>
      </c>
      <c r="AE37" s="64"/>
    </row>
    <row r="38" spans="1:31" s="3" customFormat="1" outlineLevel="1">
      <c r="A38" s="110"/>
      <c r="B38" s="143"/>
      <c r="D38" s="227" t="str">
        <f>D198</f>
        <v>Deferred and contingent consideration</v>
      </c>
      <c r="E38" s="167"/>
      <c r="F38" s="167"/>
      <c r="G38" s="236">
        <f>G198</f>
        <v>0</v>
      </c>
      <c r="H38" s="236">
        <f>H198</f>
        <v>0</v>
      </c>
      <c r="I38" s="236">
        <f>I198</f>
        <v>19.393000000000001</v>
      </c>
      <c r="J38" s="236">
        <f t="shared" ref="J38:S38" si="39">J198</f>
        <v>19.286000000000001</v>
      </c>
      <c r="K38" s="236">
        <f t="shared" si="39"/>
        <v>15.186</v>
      </c>
      <c r="L38" s="236">
        <f t="shared" si="39"/>
        <v>14.654</v>
      </c>
      <c r="M38" s="236">
        <f t="shared" si="39"/>
        <v>21.302</v>
      </c>
      <c r="N38" s="236">
        <f t="shared" si="39"/>
        <v>35.015000000000001</v>
      </c>
      <c r="O38" s="236">
        <f t="shared" si="39"/>
        <v>40.616</v>
      </c>
      <c r="P38" s="236">
        <f t="shared" si="39"/>
        <v>34.234000000000002</v>
      </c>
      <c r="Q38" s="236">
        <f t="shared" si="39"/>
        <v>30.121000000000002</v>
      </c>
      <c r="R38" s="236">
        <f t="shared" si="39"/>
        <v>30.916</v>
      </c>
      <c r="S38" s="236">
        <f t="shared" si="39"/>
        <v>32.712000000000003</v>
      </c>
      <c r="T38" s="236">
        <f>T198</f>
        <v>50.349000000000004</v>
      </c>
      <c r="U38" s="236">
        <f t="shared" ref="U38:AD38" si="40">U198</f>
        <v>106.15300000000001</v>
      </c>
      <c r="V38" s="236">
        <f t="shared" si="40"/>
        <v>102.53577582868317</v>
      </c>
      <c r="W38" s="236">
        <f t="shared" si="40"/>
        <v>102.84286590082826</v>
      </c>
      <c r="X38" s="236">
        <f t="shared" si="40"/>
        <v>101.17545261519143</v>
      </c>
      <c r="Y38" s="236">
        <f t="shared" si="40"/>
        <v>98.112668370341808</v>
      </c>
      <c r="Z38" s="236">
        <f t="shared" si="40"/>
        <v>95.420516693624862</v>
      </c>
      <c r="AA38" s="236">
        <f t="shared" si="40"/>
        <v>96.386455580040902</v>
      </c>
      <c r="AB38" s="236">
        <f t="shared" si="40"/>
        <v>97.720309532753745</v>
      </c>
      <c r="AC38" s="236">
        <f t="shared" si="40"/>
        <v>99.332040534612915</v>
      </c>
      <c r="AD38" s="236">
        <f t="shared" si="40"/>
        <v>101.08141312821712</v>
      </c>
      <c r="AE38" s="64"/>
    </row>
    <row r="39" spans="1:31" s="3" customFormat="1" outlineLevel="1">
      <c r="A39" s="110"/>
      <c r="B39" s="143"/>
      <c r="D39" s="167"/>
      <c r="E39" s="167"/>
      <c r="F39" s="167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310"/>
      <c r="R39" s="226"/>
      <c r="S39" s="232"/>
      <c r="T39" s="226"/>
      <c r="U39" s="311"/>
      <c r="V39" s="226"/>
      <c r="W39" s="226"/>
      <c r="X39" s="226"/>
      <c r="Y39" s="226"/>
      <c r="Z39" s="226"/>
      <c r="AA39" s="226"/>
      <c r="AB39" s="226"/>
      <c r="AC39" s="226"/>
      <c r="AD39" s="226"/>
      <c r="AE39" s="64"/>
    </row>
    <row r="40" spans="1:31" s="63" customFormat="1" outlineLevel="1">
      <c r="A40" s="199"/>
      <c r="B40" s="142"/>
      <c r="D40" s="205" t="s">
        <v>261</v>
      </c>
      <c r="E40" s="198"/>
      <c r="F40" s="198"/>
      <c r="G40" s="230" t="str">
        <f t="shared" ref="G40:AD40" si="41">IFERROR(G14/C14-1,"na")</f>
        <v>na</v>
      </c>
      <c r="H40" s="230" t="str">
        <f t="shared" si="41"/>
        <v>na</v>
      </c>
      <c r="I40" s="230" t="str">
        <f t="shared" si="41"/>
        <v>na</v>
      </c>
      <c r="J40" s="230" t="str">
        <f t="shared" si="41"/>
        <v>na</v>
      </c>
      <c r="K40" s="230">
        <f t="shared" si="41"/>
        <v>0.18806197993417273</v>
      </c>
      <c r="L40" s="230">
        <f t="shared" si="41"/>
        <v>0.46750396862452148</v>
      </c>
      <c r="M40" s="230">
        <f t="shared" si="41"/>
        <v>0.51060638241384781</v>
      </c>
      <c r="N40" s="230">
        <f t="shared" si="41"/>
        <v>0.47149377169242102</v>
      </c>
      <c r="O40" s="230">
        <f t="shared" si="41"/>
        <v>0.41402040263072881</v>
      </c>
      <c r="P40" s="230">
        <f t="shared" si="41"/>
        <v>0.3943797524736723</v>
      </c>
      <c r="Q40" s="230">
        <f t="shared" si="41"/>
        <v>0.26057804687294039</v>
      </c>
      <c r="R40" s="230">
        <f t="shared" si="41"/>
        <v>0.45623450321185466</v>
      </c>
      <c r="S40" s="230">
        <f t="shared" si="41"/>
        <v>0.32631064748428162</v>
      </c>
      <c r="T40" s="230">
        <f t="shared" si="41"/>
        <v>0.60453946505273604</v>
      </c>
      <c r="U40" s="230">
        <f t="shared" si="41"/>
        <v>1.018759149529453</v>
      </c>
      <c r="V40" s="230">
        <f t="shared" si="41"/>
        <v>0.64676494864149991</v>
      </c>
      <c r="W40" s="230">
        <f t="shared" si="41"/>
        <v>0.5593324332694527</v>
      </c>
      <c r="X40" s="230">
        <f t="shared" si="41"/>
        <v>0.44100625817987038</v>
      </c>
      <c r="Y40" s="230">
        <f t="shared" si="41"/>
        <v>0.42038150784860817</v>
      </c>
      <c r="Z40" s="230">
        <f t="shared" si="41"/>
        <v>0.26962368996235742</v>
      </c>
      <c r="AA40" s="230">
        <f t="shared" si="41"/>
        <v>0.30678937974426157</v>
      </c>
      <c r="AB40" s="230">
        <f t="shared" si="41"/>
        <v>0.32644076457597282</v>
      </c>
      <c r="AC40" s="230">
        <f t="shared" si="41"/>
        <v>0.34433615077672042</v>
      </c>
      <c r="AD40" s="230">
        <f t="shared" si="41"/>
        <v>0.30560701284271352</v>
      </c>
      <c r="AE40" s="204"/>
    </row>
    <row r="41" spans="1:31" s="63" customFormat="1" outlineLevel="1">
      <c r="A41" s="199"/>
      <c r="B41" s="142"/>
      <c r="D41" s="205" t="s">
        <v>262</v>
      </c>
      <c r="E41" s="198"/>
      <c r="F41" s="198"/>
      <c r="G41" s="230" t="str">
        <f t="shared" ref="G41:S41" si="42">IFERROR(G13/C13-1,"na")</f>
        <v>na</v>
      </c>
      <c r="H41" s="230" t="str">
        <f t="shared" si="42"/>
        <v>na</v>
      </c>
      <c r="I41" s="230" t="str">
        <f t="shared" si="42"/>
        <v>na</v>
      </c>
      <c r="J41" s="230" t="str">
        <f t="shared" si="42"/>
        <v>na</v>
      </c>
      <c r="K41" s="230">
        <f t="shared" si="42"/>
        <v>4.5685196655311238</v>
      </c>
      <c r="L41" s="230">
        <f t="shared" si="42"/>
        <v>0.83249076966770819</v>
      </c>
      <c r="M41" s="230">
        <f t="shared" si="42"/>
        <v>0.24259469083845908</v>
      </c>
      <c r="N41" s="230">
        <f t="shared" si="42"/>
        <v>1.0845545352363586</v>
      </c>
      <c r="O41" s="230">
        <f t="shared" si="42"/>
        <v>0.42213200228021641</v>
      </c>
      <c r="P41" s="230">
        <f t="shared" si="42"/>
        <v>0.62843681225008496</v>
      </c>
      <c r="Q41" s="230">
        <f t="shared" si="42"/>
        <v>0.5118702575959877</v>
      </c>
      <c r="R41" s="230">
        <f t="shared" si="42"/>
        <v>-1.3866704648346717E-2</v>
      </c>
      <c r="S41" s="230">
        <f t="shared" si="42"/>
        <v>0.12813343240389519</v>
      </c>
      <c r="T41" s="230">
        <f>IFERROR(T13/P13-1,"na")</f>
        <v>0.21861616065480161</v>
      </c>
      <c r="U41" s="230">
        <f t="shared" ref="U41:AD41" si="43">IFERROR(U13/Q13-1,"na")</f>
        <v>0.67491653204092628</v>
      </c>
      <c r="V41" s="230">
        <f t="shared" si="43"/>
        <v>1.0479823326002067</v>
      </c>
      <c r="W41" s="230">
        <f t="shared" si="43"/>
        <v>0.71681395444456086</v>
      </c>
      <c r="X41" s="230">
        <f t="shared" si="43"/>
        <v>0.60268560583780406</v>
      </c>
      <c r="Y41" s="230">
        <f t="shared" si="43"/>
        <v>0.34735706815233769</v>
      </c>
      <c r="Z41" s="230">
        <f t="shared" si="43"/>
        <v>0.3015237826749797</v>
      </c>
      <c r="AA41" s="230">
        <f t="shared" si="43"/>
        <v>0.33950102603467824</v>
      </c>
      <c r="AB41" s="230">
        <f t="shared" si="43"/>
        <v>0.35952156275478808</v>
      </c>
      <c r="AC41" s="230">
        <f t="shared" si="43"/>
        <v>0.37774016374180852</v>
      </c>
      <c r="AD41" s="230">
        <f t="shared" si="43"/>
        <v>0.33793041878554209</v>
      </c>
      <c r="AE41" s="204"/>
    </row>
    <row r="42" spans="1:31" s="63" customFormat="1" outlineLevel="1">
      <c r="A42" s="199"/>
      <c r="B42" s="142"/>
      <c r="D42" s="211" t="s">
        <v>256</v>
      </c>
      <c r="E42" s="198"/>
      <c r="F42" s="198"/>
      <c r="G42" s="230">
        <f t="shared" ref="G42:U42" si="44">IFERROR(G14/G15,"na")</f>
        <v>0.94608673874024296</v>
      </c>
      <c r="H42" s="230">
        <f t="shared" si="44"/>
        <v>0.82953610193944438</v>
      </c>
      <c r="I42" s="230">
        <f t="shared" si="44"/>
        <v>0.75298868497860938</v>
      </c>
      <c r="J42" s="230">
        <f t="shared" si="44"/>
        <v>0.8267542087047256</v>
      </c>
      <c r="K42" s="230">
        <f t="shared" si="44"/>
        <v>0.78920698002942535</v>
      </c>
      <c r="L42" s="230">
        <f t="shared" si="44"/>
        <v>0.7957970693420261</v>
      </c>
      <c r="M42" s="230">
        <f t="shared" si="44"/>
        <v>0.78750069202236617</v>
      </c>
      <c r="N42" s="230">
        <f t="shared" si="44"/>
        <v>0.77109755245569511</v>
      </c>
      <c r="O42" s="230">
        <f t="shared" si="44"/>
        <v>0.7882538039540421</v>
      </c>
      <c r="P42" s="230">
        <f t="shared" si="44"/>
        <v>0.769423547897227</v>
      </c>
      <c r="Q42" s="230">
        <f t="shared" si="44"/>
        <v>0.75549703752468722</v>
      </c>
      <c r="R42" s="230">
        <f t="shared" si="44"/>
        <v>0.83262362850837646</v>
      </c>
      <c r="S42" s="230">
        <f t="shared" si="44"/>
        <v>0.81400829137142894</v>
      </c>
      <c r="T42" s="230">
        <f t="shared" si="44"/>
        <v>0.81459976195095962</v>
      </c>
      <c r="U42" s="230">
        <f t="shared" si="44"/>
        <v>0.78832663216723065</v>
      </c>
      <c r="V42" s="213">
        <v>0.8</v>
      </c>
      <c r="W42" s="213">
        <f>V42-0.001</f>
        <v>0.79900000000000004</v>
      </c>
      <c r="X42" s="213">
        <f t="shared" ref="X42:AD42" si="45">W42-0.001</f>
        <v>0.79800000000000004</v>
      </c>
      <c r="Y42" s="213">
        <f t="shared" si="45"/>
        <v>0.79700000000000004</v>
      </c>
      <c r="Z42" s="213">
        <f t="shared" si="45"/>
        <v>0.79600000000000004</v>
      </c>
      <c r="AA42" s="213">
        <f t="shared" si="45"/>
        <v>0.79500000000000004</v>
      </c>
      <c r="AB42" s="213">
        <f t="shared" si="45"/>
        <v>0.79400000000000004</v>
      </c>
      <c r="AC42" s="213">
        <f t="shared" si="45"/>
        <v>0.79300000000000004</v>
      </c>
      <c r="AD42" s="213">
        <f t="shared" si="45"/>
        <v>0.79200000000000004</v>
      </c>
      <c r="AE42" s="204"/>
    </row>
    <row r="43" spans="1:31" s="63" customFormat="1" outlineLevel="1">
      <c r="A43" s="199"/>
      <c r="B43" s="142"/>
      <c r="D43" s="211" t="s">
        <v>428</v>
      </c>
      <c r="E43" s="198"/>
      <c r="F43" s="198"/>
      <c r="G43" s="230">
        <f>1-G42</f>
        <v>5.3913261259757039E-2</v>
      </c>
      <c r="H43" s="230">
        <f t="shared" ref="H43:AD43" si="46">1-H42</f>
        <v>0.17046389806055562</v>
      </c>
      <c r="I43" s="230">
        <f t="shared" si="46"/>
        <v>0.24701131502139062</v>
      </c>
      <c r="J43" s="230">
        <f t="shared" si="46"/>
        <v>0.1732457912952744</v>
      </c>
      <c r="K43" s="230">
        <f t="shared" si="46"/>
        <v>0.21079301997057465</v>
      </c>
      <c r="L43" s="230">
        <f t="shared" si="46"/>
        <v>0.2042029306579739</v>
      </c>
      <c r="M43" s="230">
        <f t="shared" si="46"/>
        <v>0.21249930797763383</v>
      </c>
      <c r="N43" s="230">
        <f t="shared" si="46"/>
        <v>0.22890244754430489</v>
      </c>
      <c r="O43" s="230">
        <f t="shared" si="46"/>
        <v>0.2117461960459579</v>
      </c>
      <c r="P43" s="230">
        <f t="shared" si="46"/>
        <v>0.230576452102773</v>
      </c>
      <c r="Q43" s="230">
        <f t="shared" si="46"/>
        <v>0.24450296247531278</v>
      </c>
      <c r="R43" s="230">
        <f t="shared" si="46"/>
        <v>0.16737637149162354</v>
      </c>
      <c r="S43" s="230">
        <f t="shared" si="46"/>
        <v>0.18599170862857106</v>
      </c>
      <c r="T43" s="230">
        <f t="shared" si="46"/>
        <v>0.18540023804904038</v>
      </c>
      <c r="U43" s="230">
        <f t="shared" si="46"/>
        <v>0.21167336783276935</v>
      </c>
      <c r="V43" s="230">
        <f t="shared" si="46"/>
        <v>0.19999999999999996</v>
      </c>
      <c r="W43" s="230">
        <f t="shared" si="46"/>
        <v>0.20099999999999996</v>
      </c>
      <c r="X43" s="230">
        <f t="shared" si="46"/>
        <v>0.20199999999999996</v>
      </c>
      <c r="Y43" s="230">
        <f t="shared" si="46"/>
        <v>0.20299999999999996</v>
      </c>
      <c r="Z43" s="230">
        <f t="shared" si="46"/>
        <v>0.20399999999999996</v>
      </c>
      <c r="AA43" s="230">
        <f t="shared" si="46"/>
        <v>0.20499999999999996</v>
      </c>
      <c r="AB43" s="230">
        <f t="shared" si="46"/>
        <v>0.20599999999999996</v>
      </c>
      <c r="AC43" s="230">
        <f t="shared" si="46"/>
        <v>0.20699999999999996</v>
      </c>
      <c r="AD43" s="230">
        <f t="shared" si="46"/>
        <v>0.20799999999999996</v>
      </c>
      <c r="AE43" s="204"/>
    </row>
    <row r="44" spans="1:31" s="5" customFormat="1" outlineLevel="1">
      <c r="A44" s="109"/>
      <c r="B44" s="146"/>
      <c r="D44" s="166"/>
      <c r="E44" s="167"/>
      <c r="F44" s="1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68"/>
      <c r="W44" s="168"/>
      <c r="X44" s="168"/>
      <c r="Y44" s="168"/>
      <c r="Z44" s="168"/>
      <c r="AA44" s="168"/>
      <c r="AB44" s="168"/>
      <c r="AC44" s="168"/>
      <c r="AD44" s="168"/>
      <c r="AE44" s="72"/>
    </row>
    <row r="45" spans="1:31" s="211" customFormat="1" outlineLevel="1">
      <c r="D45" s="211" t="s">
        <v>153</v>
      </c>
      <c r="G45" s="230">
        <f t="shared" ref="G45:U45" si="47">IFERROR(G17/G15,"na")</f>
        <v>0.1441248904286847</v>
      </c>
      <c r="H45" s="230">
        <f t="shared" si="47"/>
        <v>0.223321746371409</v>
      </c>
      <c r="I45" s="230">
        <f t="shared" si="47"/>
        <v>0.20918795729878861</v>
      </c>
      <c r="J45" s="230">
        <f t="shared" si="47"/>
        <v>0.22462836273854198</v>
      </c>
      <c r="K45" s="230">
        <f t="shared" si="47"/>
        <v>0.22315226757170237</v>
      </c>
      <c r="L45" s="230">
        <f t="shared" si="47"/>
        <v>0.23681995126119576</v>
      </c>
      <c r="M45" s="230">
        <f t="shared" si="47"/>
        <v>0.25139096495598739</v>
      </c>
      <c r="N45" s="230">
        <f t="shared" si="47"/>
        <v>0.2543163876015932</v>
      </c>
      <c r="O45" s="230">
        <f t="shared" si="47"/>
        <v>0.23274195217886345</v>
      </c>
      <c r="P45" s="230">
        <f t="shared" si="47"/>
        <v>0.2468596659088316</v>
      </c>
      <c r="Q45" s="230">
        <f t="shared" si="47"/>
        <v>0.28278604344963804</v>
      </c>
      <c r="R45" s="230">
        <f t="shared" si="47"/>
        <v>0.2501649070821978</v>
      </c>
      <c r="S45" s="230">
        <f t="shared" si="47"/>
        <v>0.22098181185163218</v>
      </c>
      <c r="T45" s="230">
        <f t="shared" si="47"/>
        <v>0.22998664956111503</v>
      </c>
      <c r="U45" s="230">
        <f t="shared" si="47"/>
        <v>0.22848299573430186</v>
      </c>
      <c r="V45" s="213">
        <f>U45+0.00085</f>
        <v>0.22933299573430185</v>
      </c>
      <c r="W45" s="213">
        <f>V45+0.00085</f>
        <v>0.23018299573430184</v>
      </c>
      <c r="X45" s="213">
        <f t="shared" ref="X45:AD45" si="48">W45+0.00085</f>
        <v>0.23103299573430183</v>
      </c>
      <c r="Y45" s="213">
        <f t="shared" si="48"/>
        <v>0.23188299573430182</v>
      </c>
      <c r="Z45" s="213">
        <f t="shared" si="48"/>
        <v>0.23273299573430181</v>
      </c>
      <c r="AA45" s="213">
        <f t="shared" si="48"/>
        <v>0.2335829957343018</v>
      </c>
      <c r="AB45" s="213">
        <f t="shared" si="48"/>
        <v>0.23443299573430179</v>
      </c>
      <c r="AC45" s="213">
        <f t="shared" si="48"/>
        <v>0.23528299573430178</v>
      </c>
      <c r="AD45" s="213">
        <f t="shared" si="48"/>
        <v>0.23613299573430177</v>
      </c>
    </row>
    <row r="46" spans="1:31" s="211" customFormat="1" outlineLevel="1">
      <c r="D46" s="211" t="s">
        <v>257</v>
      </c>
      <c r="G46" s="234">
        <f t="shared" ref="G46:T46" si="49">IFERROR(G21/G15,"na")</f>
        <v>3.8544058104103149E-2</v>
      </c>
      <c r="H46" s="234">
        <f t="shared" si="49"/>
        <v>3.3540865826854047E-2</v>
      </c>
      <c r="I46" s="234">
        <f t="shared" si="49"/>
        <v>-2.2530086761824667E-2</v>
      </c>
      <c r="J46" s="234">
        <f t="shared" si="49"/>
        <v>2.65344963148571E-2</v>
      </c>
      <c r="K46" s="234">
        <f t="shared" si="49"/>
        <v>2.7661033639896526E-2</v>
      </c>
      <c r="L46" s="234">
        <f t="shared" si="49"/>
        <v>1.0766844953634931E-2</v>
      </c>
      <c r="M46" s="234">
        <f t="shared" si="49"/>
        <v>9.5775895476941358E-3</v>
      </c>
      <c r="N46" s="234">
        <f t="shared" si="49"/>
        <v>2.8434363428891239E-2</v>
      </c>
      <c r="O46" s="234">
        <f t="shared" si="49"/>
        <v>2.4216954766587265E-2</v>
      </c>
      <c r="P46" s="234">
        <f t="shared" si="49"/>
        <v>1.7788643006996098E-2</v>
      </c>
      <c r="Q46" s="234">
        <f t="shared" si="49"/>
        <v>4.0905859117840775E-2</v>
      </c>
      <c r="R46" s="234">
        <f t="shared" si="49"/>
        <v>5.0300977009707752E-2</v>
      </c>
      <c r="S46" s="234">
        <f t="shared" si="49"/>
        <v>3.4084241881096884E-2</v>
      </c>
      <c r="T46" s="234">
        <f t="shared" si="49"/>
        <v>3.1285204180627503E-2</v>
      </c>
      <c r="U46" s="234">
        <f t="shared" ref="U46:AD46" si="50">IFERROR(U21/U15,"na")</f>
        <v>4.0329495928939661E-2</v>
      </c>
      <c r="V46" s="234">
        <f t="shared" si="50"/>
        <v>2.9319412110385711E-2</v>
      </c>
      <c r="W46" s="234">
        <f t="shared" si="50"/>
        <v>3.346243889173859E-2</v>
      </c>
      <c r="X46" s="234">
        <f t="shared" si="50"/>
        <v>3.4217701540626373E-2</v>
      </c>
      <c r="Y46" s="234">
        <f t="shared" si="50"/>
        <v>3.4439392008250094E-2</v>
      </c>
      <c r="Z46" s="234">
        <f t="shared" si="50"/>
        <v>3.977717126547721E-2</v>
      </c>
      <c r="AA46" s="234">
        <f t="shared" si="50"/>
        <v>3.9482102065287746E-2</v>
      </c>
      <c r="AB46" s="234">
        <f t="shared" si="50"/>
        <v>3.9979588945999983E-2</v>
      </c>
      <c r="AC46" s="234">
        <f t="shared" si="50"/>
        <v>4.0043968699466172E-2</v>
      </c>
      <c r="AD46" s="234">
        <f t="shared" si="50"/>
        <v>4.4145284444762789E-2</v>
      </c>
    </row>
    <row r="47" spans="1:31" s="211" customFormat="1" outlineLevel="1">
      <c r="D47" s="267" t="s">
        <v>350</v>
      </c>
      <c r="G47" s="234">
        <f t="shared" ref="G47:S47" si="51">IFERROR(G18/G15,"na")</f>
        <v>9.7967191217598198E-2</v>
      </c>
      <c r="H47" s="234">
        <f t="shared" si="51"/>
        <v>0.17091898486594306</v>
      </c>
      <c r="I47" s="234">
        <f t="shared" si="51"/>
        <v>0.21109711726840188</v>
      </c>
      <c r="J47" s="234">
        <f t="shared" si="51"/>
        <v>0.18480089942463279</v>
      </c>
      <c r="K47" s="234">
        <f t="shared" si="51"/>
        <v>0.17377389347072997</v>
      </c>
      <c r="L47" s="234">
        <f t="shared" si="51"/>
        <v>0.20013292401177324</v>
      </c>
      <c r="M47" s="234">
        <f t="shared" si="51"/>
        <v>0.20631954824779938</v>
      </c>
      <c r="N47" s="234">
        <f t="shared" si="51"/>
        <v>0.19944109359353521</v>
      </c>
      <c r="O47" s="234">
        <f t="shared" si="51"/>
        <v>0.18716074940482352</v>
      </c>
      <c r="P47" s="234">
        <f t="shared" si="51"/>
        <v>0.19387996945251534</v>
      </c>
      <c r="Q47" s="234">
        <f t="shared" si="51"/>
        <v>0.20509282422646477</v>
      </c>
      <c r="R47" s="234">
        <f t="shared" si="51"/>
        <v>0.17052601042281834</v>
      </c>
      <c r="S47" s="234">
        <f t="shared" si="51"/>
        <v>0.1600344291784063</v>
      </c>
      <c r="T47" s="234">
        <f>IFERROR(T18/T15,"na")</f>
        <v>0.16689496592886913</v>
      </c>
      <c r="U47" s="234">
        <f>IFERROR(U18/U15,"na")</f>
        <v>0.18316369447038103</v>
      </c>
      <c r="V47" s="213">
        <v>0.17499999999999999</v>
      </c>
      <c r="W47" s="213">
        <v>0.17</v>
      </c>
      <c r="X47" s="213">
        <f>MAX(W47-0.0004,0.15)</f>
        <v>0.1696</v>
      </c>
      <c r="Y47" s="213">
        <f t="shared" ref="Y47:AD47" si="52">MAX(X47-0.0004,0.15)</f>
        <v>0.16919999999999999</v>
      </c>
      <c r="Z47" s="213">
        <f t="shared" si="52"/>
        <v>0.16879999999999998</v>
      </c>
      <c r="AA47" s="213">
        <f t="shared" si="52"/>
        <v>0.16839999999999997</v>
      </c>
      <c r="AB47" s="213">
        <f t="shared" si="52"/>
        <v>0.16799999999999995</v>
      </c>
      <c r="AC47" s="213">
        <f t="shared" si="52"/>
        <v>0.16759999999999994</v>
      </c>
      <c r="AD47" s="213">
        <f t="shared" si="52"/>
        <v>0.16719999999999993</v>
      </c>
    </row>
    <row r="48" spans="1:31" s="211" customFormat="1" outlineLevel="1">
      <c r="D48" s="267" t="s">
        <v>351</v>
      </c>
      <c r="G48" s="234">
        <f t="shared" ref="G48:S48" si="53">IFERROR(G20/G15,"na")</f>
        <v>-6.5116667362357555E-4</v>
      </c>
      <c r="H48" s="234">
        <f t="shared" si="53"/>
        <v>7.8429853694433416E-4</v>
      </c>
      <c r="I48" s="234">
        <f t="shared" si="53"/>
        <v>6.0973171804406048E-4</v>
      </c>
      <c r="J48" s="234">
        <f t="shared" si="53"/>
        <v>-2.1162932535804305E-3</v>
      </c>
      <c r="K48" s="234">
        <f t="shared" si="53"/>
        <v>1.3716215028047902E-3</v>
      </c>
      <c r="L48" s="234">
        <f t="shared" si="53"/>
        <v>1.5444504225084659E-3</v>
      </c>
      <c r="M48" s="234">
        <f t="shared" si="53"/>
        <v>3.2248242263189951E-3</v>
      </c>
      <c r="N48" s="234">
        <f t="shared" si="53"/>
        <v>-1.0479495121212821E-3</v>
      </c>
      <c r="O48" s="234">
        <f t="shared" si="53"/>
        <v>-6.7032398302453158E-3</v>
      </c>
      <c r="P48" s="234">
        <f t="shared" si="53"/>
        <v>4.3846174103106539E-3</v>
      </c>
      <c r="Q48" s="234">
        <f t="shared" si="53"/>
        <v>2.6649111257406187E-3</v>
      </c>
      <c r="R48" s="234">
        <f t="shared" si="53"/>
        <v>5.9504691649657918E-3</v>
      </c>
      <c r="S48" s="234">
        <f t="shared" si="53"/>
        <v>3.5235104867151076E-3</v>
      </c>
      <c r="T48" s="234">
        <f>IFERROR(T20/T15,"na")</f>
        <v>5.5399977411404932E-3</v>
      </c>
      <c r="U48" s="234">
        <f>IFERROR(U20/U15,"na")</f>
        <v>-2.311425919221231E-2</v>
      </c>
      <c r="V48" s="213">
        <v>0</v>
      </c>
      <c r="W48" s="213">
        <v>0</v>
      </c>
      <c r="X48" s="213">
        <v>0</v>
      </c>
      <c r="Y48" s="213">
        <v>0</v>
      </c>
      <c r="Z48" s="213">
        <v>0</v>
      </c>
      <c r="AA48" s="213">
        <v>0</v>
      </c>
      <c r="AB48" s="213">
        <v>0</v>
      </c>
      <c r="AC48" s="213">
        <v>0</v>
      </c>
      <c r="AD48" s="213">
        <v>0</v>
      </c>
    </row>
    <row r="49" spans="1:31" s="211" customFormat="1" outlineLevel="1">
      <c r="D49" s="211" t="s">
        <v>474</v>
      </c>
      <c r="G49" s="234">
        <f t="shared" ref="G49:AD49" si="54">(G21+G19+G120)/G15</f>
        <v>4.6808865884710074E-2</v>
      </c>
      <c r="H49" s="234">
        <f t="shared" si="54"/>
        <v>5.1618462968521607E-2</v>
      </c>
      <c r="I49" s="234">
        <f t="shared" si="54"/>
        <v>-2.518891687657304E-3</v>
      </c>
      <c r="J49" s="234">
        <f t="shared" si="54"/>
        <v>4.194375656748961E-2</v>
      </c>
      <c r="K49" s="234">
        <f t="shared" si="54"/>
        <v>4.8006752598167578E-2</v>
      </c>
      <c r="L49" s="234">
        <f t="shared" si="54"/>
        <v>3.5142576826914039E-2</v>
      </c>
      <c r="M49" s="234">
        <f t="shared" si="54"/>
        <v>4.184659248186897E-2</v>
      </c>
      <c r="N49" s="234">
        <f t="shared" si="54"/>
        <v>5.5923243520179279E-2</v>
      </c>
      <c r="O49" s="234">
        <f t="shared" si="54"/>
        <v>5.2284442604285226E-2</v>
      </c>
      <c r="P49" s="234">
        <f t="shared" si="54"/>
        <v>4.8595079046005588E-2</v>
      </c>
      <c r="Q49" s="234">
        <f t="shared" si="54"/>
        <v>7.5028308097432606E-2</v>
      </c>
      <c r="R49" s="234">
        <f t="shared" si="54"/>
        <v>7.3688427494413691E-2</v>
      </c>
      <c r="S49" s="234">
        <f t="shared" si="54"/>
        <v>5.9348424574954442E-2</v>
      </c>
      <c r="T49" s="234">
        <f t="shared" si="54"/>
        <v>5.7551685891105431E-2</v>
      </c>
      <c r="U49" s="234">
        <f t="shared" si="54"/>
        <v>4.6680404737729116E-2</v>
      </c>
      <c r="V49" s="234">
        <f t="shared" si="54"/>
        <v>5.4332995734301871E-2</v>
      </c>
      <c r="W49" s="234">
        <f t="shared" si="54"/>
        <v>6.0182995734301838E-2</v>
      </c>
      <c r="X49" s="234">
        <f t="shared" si="54"/>
        <v>6.143299573430186E-2</v>
      </c>
      <c r="Y49" s="234">
        <f t="shared" si="54"/>
        <v>6.2682995734301833E-2</v>
      </c>
      <c r="Z49" s="234">
        <f t="shared" si="54"/>
        <v>6.3932995734301848E-2</v>
      </c>
      <c r="AA49" s="234">
        <f t="shared" si="54"/>
        <v>6.5182995734301821E-2</v>
      </c>
      <c r="AB49" s="234">
        <f t="shared" si="54"/>
        <v>6.643299573430185E-2</v>
      </c>
      <c r="AC49" s="234">
        <f t="shared" si="54"/>
        <v>6.7682995734301823E-2</v>
      </c>
      <c r="AD49" s="234">
        <f t="shared" si="54"/>
        <v>6.8932995734301866E-2</v>
      </c>
    </row>
    <row r="50" spans="1:31" s="211" customFormat="1" outlineLevel="1">
      <c r="D50" s="211" t="s">
        <v>168</v>
      </c>
      <c r="G50" s="234">
        <f t="shared" ref="G50:T50" si="55">IFERROR(G23/G15,"na")</f>
        <v>1.0602329173101771E-2</v>
      </c>
      <c r="H50" s="234">
        <f t="shared" si="55"/>
        <v>-3.3618327410749674E-2</v>
      </c>
      <c r="I50" s="234">
        <f t="shared" si="55"/>
        <v>-4.9838071248650452E-2</v>
      </c>
      <c r="J50" s="234">
        <f t="shared" si="55"/>
        <v>-6.2533526347119386E-3</v>
      </c>
      <c r="K50" s="234">
        <f t="shared" si="55"/>
        <v>9.0327723753083917E-3</v>
      </c>
      <c r="L50" s="234">
        <f t="shared" si="55"/>
        <v>7.9944298509353074E-3</v>
      </c>
      <c r="M50" s="234">
        <f t="shared" si="55"/>
        <v>-2.1639539389913132E-2</v>
      </c>
      <c r="N50" s="234">
        <f t="shared" si="55"/>
        <v>1.6729931766843318E-2</v>
      </c>
      <c r="O50" s="234">
        <f t="shared" si="55"/>
        <v>1.6188800331228607E-2</v>
      </c>
      <c r="P50" s="234">
        <f t="shared" si="55"/>
        <v>-1.1148076298487374E-3</v>
      </c>
      <c r="Q50" s="234">
        <f t="shared" si="55"/>
        <v>3.1083607636603117E-2</v>
      </c>
      <c r="R50" s="234">
        <f t="shared" si="55"/>
        <v>2.6291887262265969E-2</v>
      </c>
      <c r="S50" s="234">
        <f t="shared" si="55"/>
        <v>2.4248715353221498E-2</v>
      </c>
      <c r="T50" s="234">
        <f t="shared" si="55"/>
        <v>1.5780160842380667E-2</v>
      </c>
      <c r="U50" s="234">
        <f t="shared" ref="U50:AD50" si="56">IFERROR(U23/U15,"na")</f>
        <v>1.6640851070780251E-2</v>
      </c>
      <c r="V50" s="234">
        <f t="shared" si="56"/>
        <v>3.5522337093191153E-3</v>
      </c>
      <c r="W50" s="234">
        <f t="shared" si="56"/>
        <v>4.84106996705544E-3</v>
      </c>
      <c r="X50" s="234">
        <f t="shared" si="56"/>
        <v>1.1268473718449317E-2</v>
      </c>
      <c r="Y50" s="234">
        <f t="shared" si="56"/>
        <v>2.2533084755928044E-2</v>
      </c>
      <c r="Z50" s="234">
        <f t="shared" si="56"/>
        <v>2.8021566733185996E-2</v>
      </c>
      <c r="AA50" s="234">
        <f t="shared" si="56"/>
        <v>2.6789143536839154E-2</v>
      </c>
      <c r="AB50" s="234">
        <f t="shared" si="56"/>
        <v>2.6695947462312058E-2</v>
      </c>
      <c r="AC50" s="234">
        <f t="shared" si="56"/>
        <v>2.6013082932554065E-2</v>
      </c>
      <c r="AD50" s="234">
        <f t="shared" si="56"/>
        <v>3.1410833829289928E-2</v>
      </c>
    </row>
    <row r="51" spans="1:31" s="211" customFormat="1" outlineLevel="1">
      <c r="D51" s="267" t="s">
        <v>353</v>
      </c>
      <c r="G51" s="234"/>
      <c r="H51" s="234"/>
      <c r="I51" s="234"/>
      <c r="J51" s="234"/>
      <c r="K51" s="234">
        <f>K22/AVERAGE(H37:K37)</f>
        <v>0.31400059282679577</v>
      </c>
      <c r="L51" s="234">
        <f>L22/AVERAGE(I37:L37)</f>
        <v>8.0047516790789044E-2</v>
      </c>
      <c r="M51" s="234">
        <f t="shared" ref="M51:S51" si="57">M22/AVERAGE(J37:M37)</f>
        <v>0.773557403755466</v>
      </c>
      <c r="N51" s="234">
        <f t="shared" si="57"/>
        <v>0.18221368234057206</v>
      </c>
      <c r="O51" s="234">
        <f t="shared" si="57"/>
        <v>0.16322579287412925</v>
      </c>
      <c r="P51" s="234">
        <f t="shared" si="57"/>
        <v>0.36415903950622502</v>
      </c>
      <c r="Q51" s="234">
        <f t="shared" si="57"/>
        <v>0.16262643878618763</v>
      </c>
      <c r="R51" s="234">
        <f t="shared" si="57"/>
        <v>0.63629499119053623</v>
      </c>
      <c r="S51" s="234">
        <f t="shared" si="57"/>
        <v>0.25905877857734189</v>
      </c>
      <c r="T51" s="234">
        <f>T22/AVERAGE(Q37:T37)</f>
        <v>0.1606890963114139</v>
      </c>
      <c r="U51" s="234">
        <f>U22/AVERAGE(R37:U37)</f>
        <v>0.12387364944696723</v>
      </c>
      <c r="V51" s="234">
        <f t="shared" ref="V51:AD51" si="58">V22/AVERAGE(S37:V37)</f>
        <v>0.2</v>
      </c>
      <c r="W51" s="234">
        <f t="shared" si="58"/>
        <v>0.2</v>
      </c>
      <c r="X51" s="234">
        <f t="shared" si="58"/>
        <v>0.2</v>
      </c>
      <c r="Y51" s="234">
        <f t="shared" si="58"/>
        <v>0.2</v>
      </c>
      <c r="Z51" s="234">
        <f t="shared" si="58"/>
        <v>0.2</v>
      </c>
      <c r="AA51" s="234">
        <f t="shared" si="58"/>
        <v>0.2</v>
      </c>
      <c r="AB51" s="234">
        <f t="shared" si="58"/>
        <v>0.2</v>
      </c>
      <c r="AC51" s="234">
        <f t="shared" si="58"/>
        <v>0.20000000000000004</v>
      </c>
      <c r="AD51" s="234">
        <f t="shared" si="58"/>
        <v>0.2</v>
      </c>
    </row>
    <row r="52" spans="1:31" s="211" customFormat="1" outlineLevel="1">
      <c r="D52" s="267" t="s">
        <v>352</v>
      </c>
      <c r="G52" s="234"/>
      <c r="H52" s="234"/>
      <c r="I52" s="234"/>
      <c r="J52" s="234"/>
      <c r="K52" s="234">
        <f>K22/AVERAGE(H38:K38)</f>
        <v>0.2359974009096816</v>
      </c>
      <c r="L52" s="234">
        <f>L22/AVERAGE(I38:L38)</f>
        <v>2.5569550051810445E-2</v>
      </c>
      <c r="M52" s="234">
        <f t="shared" ref="M52:S52" si="59">M22/AVERAGE(J38:M38)</f>
        <v>0.25620491849832455</v>
      </c>
      <c r="N52" s="234">
        <f t="shared" si="59"/>
        <v>0.1166707290179556</v>
      </c>
      <c r="O52" s="234">
        <f t="shared" si="59"/>
        <v>6.9506304497835764E-2</v>
      </c>
      <c r="P52" s="234">
        <f t="shared" si="59"/>
        <v>0.1313440118322444</v>
      </c>
      <c r="Q52" s="234">
        <f t="shared" si="59"/>
        <v>5.3291043390053285E-2</v>
      </c>
      <c r="R52" s="234">
        <f t="shared" si="59"/>
        <v>0.20464062051557544</v>
      </c>
      <c r="S52" s="234">
        <f t="shared" si="59"/>
        <v>9.5356414523803917E-2</v>
      </c>
      <c r="T52" s="234">
        <f>T22/AVERAGE(Q38:T38)</f>
        <v>0.14862107732237781</v>
      </c>
      <c r="U52" s="234">
        <f t="shared" ref="U52:AD52" si="60">U22/AVERAGE(R38:U38)</f>
        <v>0.15812474446917732</v>
      </c>
      <c r="V52" s="234">
        <f t="shared" si="60"/>
        <v>0.1753237502547364</v>
      </c>
      <c r="W52" s="234">
        <f t="shared" si="60"/>
        <v>0.15590153674766563</v>
      </c>
      <c r="X52" s="234">
        <f t="shared" si="60"/>
        <v>0.11297927176572418</v>
      </c>
      <c r="Y52" s="234">
        <f t="shared" si="60"/>
        <v>6.0739510924010094E-2</v>
      </c>
      <c r="Z52" s="234">
        <f t="shared" si="60"/>
        <v>7.49010528476418E-2</v>
      </c>
      <c r="AA52" s="234">
        <f t="shared" si="60"/>
        <v>8.4021627006615709E-2</v>
      </c>
      <c r="AB52" s="234">
        <f t="shared" si="60"/>
        <v>9.2817847790681376E-2</v>
      </c>
      <c r="AC52" s="234">
        <f t="shared" si="60"/>
        <v>0.10064155199663131</v>
      </c>
      <c r="AD52" s="234">
        <f t="shared" si="60"/>
        <v>0.1072871388652764</v>
      </c>
    </row>
    <row r="53" spans="1:31" s="211" customFormat="1" outlineLevel="1">
      <c r="D53" s="211" t="s">
        <v>325</v>
      </c>
      <c r="G53" s="234">
        <f t="shared" ref="G53:T53" si="61">IFERROR(G29/G15,"na")</f>
        <v>-1.2255290729223229E-2</v>
      </c>
      <c r="H53" s="234">
        <f t="shared" si="61"/>
        <v>-5.6120917532461186E-2</v>
      </c>
      <c r="I53" s="234">
        <f t="shared" si="61"/>
        <v>-6.7730198712566331E-2</v>
      </c>
      <c r="J53" s="234">
        <f t="shared" si="61"/>
        <v>-3.0833216986192988E-2</v>
      </c>
      <c r="K53" s="234">
        <f t="shared" si="61"/>
        <v>-1.6969419874443954E-2</v>
      </c>
      <c r="L53" s="234">
        <f t="shared" si="61"/>
        <v>-1.492546760768418E-2</v>
      </c>
      <c r="M53" s="234">
        <f t="shared" si="61"/>
        <v>-4.8974422853346675E-2</v>
      </c>
      <c r="N53" s="234">
        <f t="shared" si="61"/>
        <v>6.9397545469369387E-3</v>
      </c>
      <c r="O53" s="234">
        <f t="shared" si="61"/>
        <v>-5.8627471276265818E-3</v>
      </c>
      <c r="P53" s="234">
        <f t="shared" si="61"/>
        <v>-1.9316017240017191E-2</v>
      </c>
      <c r="Q53" s="234">
        <f t="shared" si="61"/>
        <v>3.6550362080316895E-3</v>
      </c>
      <c r="R53" s="234">
        <f t="shared" si="61"/>
        <v>3.2739667837418784E-3</v>
      </c>
      <c r="S53" s="234">
        <f t="shared" si="61"/>
        <v>1.18181056214983E-2</v>
      </c>
      <c r="T53" s="234">
        <f t="shared" si="61"/>
        <v>2.9683730709193271E-3</v>
      </c>
      <c r="U53" s="234">
        <f t="shared" ref="U53:AD53" si="62">IFERROR(U29/U15,"na")</f>
        <v>1.2511263131245912E-2</v>
      </c>
      <c r="V53" s="234">
        <f t="shared" si="62"/>
        <v>4.843720816678244E-5</v>
      </c>
      <c r="W53" s="234">
        <f t="shared" si="62"/>
        <v>7.0395225506287575E-4</v>
      </c>
      <c r="X53" s="234">
        <f t="shared" si="62"/>
        <v>5.5219585228048563E-3</v>
      </c>
      <c r="Y53" s="234">
        <f t="shared" si="62"/>
        <v>1.3983641290375741E-2</v>
      </c>
      <c r="Z53" s="234">
        <f t="shared" si="62"/>
        <v>1.8387261936021276E-2</v>
      </c>
      <c r="AA53" s="234">
        <f t="shared" si="62"/>
        <v>1.7138140772110726E-2</v>
      </c>
      <c r="AB53" s="234">
        <f t="shared" si="62"/>
        <v>1.687882115333449E-2</v>
      </c>
      <c r="AC53" s="234">
        <f t="shared" si="62"/>
        <v>1.6108047200347839E-2</v>
      </c>
      <c r="AD53" s="234">
        <f t="shared" si="62"/>
        <v>2.0280010151749531E-2</v>
      </c>
    </row>
    <row r="54" spans="1:31" s="5" customFormat="1" outlineLevel="1">
      <c r="A54" s="109"/>
      <c r="B54" s="146"/>
      <c r="D54" s="166"/>
      <c r="E54" s="167"/>
      <c r="F54" s="16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68"/>
      <c r="W54" s="168"/>
      <c r="X54" s="168"/>
      <c r="Y54" s="168"/>
      <c r="Z54" s="168"/>
      <c r="AA54" s="168"/>
      <c r="AB54" s="168"/>
      <c r="AC54" s="168"/>
      <c r="AD54" s="168"/>
      <c r="AE54" s="72"/>
    </row>
    <row r="55" spans="1:31" s="5" customFormat="1" outlineLevel="1">
      <c r="A55" s="109" t="s">
        <v>224</v>
      </c>
      <c r="B55" s="146"/>
      <c r="D55" s="227" t="s">
        <v>224</v>
      </c>
      <c r="E55" s="167"/>
      <c r="F55" s="167"/>
      <c r="G55" s="225">
        <v>35.36</v>
      </c>
      <c r="H55" s="225">
        <v>64.256</v>
      </c>
      <c r="I55" s="225">
        <v>80.248999999999995</v>
      </c>
      <c r="J55" s="225">
        <f>291.144-SUM(G55:I55)</f>
        <v>111.279</v>
      </c>
      <c r="K55" s="225">
        <v>112.81699999999999</v>
      </c>
      <c r="L55" s="225">
        <v>134.499</v>
      </c>
      <c r="M55" s="225">
        <v>123.773</v>
      </c>
      <c r="N55" s="225">
        <f>570.285-SUM(K55:M55)-0.001</f>
        <v>199.19500000000002</v>
      </c>
      <c r="O55" s="225">
        <v>193.55200000000002</v>
      </c>
      <c r="P55" s="225">
        <v>183.79599999999999</v>
      </c>
      <c r="Q55" s="225">
        <v>158.042</v>
      </c>
      <c r="R55" s="225">
        <f>738.144-SUM(O55:Q55)</f>
        <v>202.75400000000002</v>
      </c>
      <c r="S55" s="225">
        <v>191.86700000000002</v>
      </c>
      <c r="T55" s="225">
        <v>277.55599999999998</v>
      </c>
      <c r="U55" s="225">
        <v>274.137</v>
      </c>
      <c r="V55" s="168"/>
      <c r="W55" s="168"/>
      <c r="X55" s="168"/>
      <c r="Y55" s="168"/>
      <c r="Z55" s="168"/>
      <c r="AA55" s="168"/>
      <c r="AB55" s="168"/>
      <c r="AC55" s="168"/>
      <c r="AD55" s="168"/>
      <c r="AE55" s="72"/>
    </row>
    <row r="56" spans="1:31" s="5" customFormat="1" outlineLevel="1">
      <c r="A56" s="109" t="s">
        <v>217</v>
      </c>
      <c r="B56" s="146"/>
      <c r="D56" s="227" t="s">
        <v>217</v>
      </c>
      <c r="E56" s="167"/>
      <c r="F56" s="167"/>
      <c r="G56" s="225">
        <v>84.424999999999997</v>
      </c>
      <c r="H56" s="225">
        <v>39.021000000000001</v>
      </c>
      <c r="I56" s="225">
        <v>19.795000000000002</v>
      </c>
      <c r="J56" s="225">
        <f>168.049-SUM(G56:I56)</f>
        <v>24.808000000000021</v>
      </c>
      <c r="K56" s="225">
        <v>57.783999999999999</v>
      </c>
      <c r="L56" s="225">
        <v>23.486000000000001</v>
      </c>
      <c r="M56" s="225">
        <v>20.731000000000002</v>
      </c>
      <c r="N56" s="225">
        <f>117.511-SUM(K56:M56)</f>
        <v>15.509999999999991</v>
      </c>
      <c r="O56" s="225">
        <v>47.973000000000006</v>
      </c>
      <c r="P56" s="225">
        <v>44.045999999999999</v>
      </c>
      <c r="Q56" s="225">
        <v>31.832999999999998</v>
      </c>
      <c r="R56" s="225">
        <f>210.655-SUM(O56:Q56)</f>
        <v>86.802999999999997</v>
      </c>
      <c r="S56" s="225">
        <v>118.33500000000001</v>
      </c>
      <c r="T56" s="225">
        <v>67.751000000000005</v>
      </c>
      <c r="U56" s="225">
        <v>53.220999999999997</v>
      </c>
      <c r="V56" s="168"/>
      <c r="W56" s="168"/>
      <c r="X56" s="168"/>
      <c r="Y56" s="168"/>
      <c r="Z56" s="168"/>
      <c r="AA56" s="168"/>
      <c r="AB56" s="168"/>
      <c r="AC56" s="168"/>
      <c r="AD56" s="168"/>
      <c r="AE56" s="72"/>
    </row>
    <row r="57" spans="1:31" s="5" customFormat="1" outlineLevel="1">
      <c r="A57" s="109" t="s">
        <v>225</v>
      </c>
      <c r="B57" s="146"/>
      <c r="D57" s="227" t="s">
        <v>225</v>
      </c>
      <c r="E57" s="167"/>
      <c r="F57" s="167"/>
      <c r="G57" s="225">
        <v>0</v>
      </c>
      <c r="H57" s="225">
        <v>0</v>
      </c>
      <c r="I57" s="225">
        <v>0</v>
      </c>
      <c r="J57" s="225">
        <v>0</v>
      </c>
      <c r="K57" s="225">
        <v>0</v>
      </c>
      <c r="L57" s="225">
        <v>0</v>
      </c>
      <c r="M57" s="225">
        <v>0</v>
      </c>
      <c r="N57" s="225">
        <v>0</v>
      </c>
      <c r="O57" s="225">
        <v>0</v>
      </c>
      <c r="P57" s="225">
        <v>0</v>
      </c>
      <c r="Q57" s="225">
        <v>0</v>
      </c>
      <c r="R57" s="225">
        <v>0</v>
      </c>
      <c r="S57" s="225">
        <v>0</v>
      </c>
      <c r="T57" s="225">
        <v>0</v>
      </c>
      <c r="U57" s="225">
        <v>39.991</v>
      </c>
      <c r="V57" s="168"/>
      <c r="W57" s="168"/>
      <c r="X57" s="168"/>
      <c r="Y57" s="168"/>
      <c r="Z57" s="168"/>
      <c r="AA57" s="168"/>
      <c r="AB57" s="168"/>
      <c r="AC57" s="168"/>
      <c r="AD57" s="168"/>
      <c r="AE57" s="72"/>
    </row>
    <row r="58" spans="1:31" s="3" customFormat="1" outlineLevel="1">
      <c r="A58" s="110"/>
      <c r="B58" s="143"/>
      <c r="D58" s="2" t="s">
        <v>219</v>
      </c>
      <c r="E58" s="2"/>
      <c r="F58" s="2"/>
      <c r="G58" s="8">
        <f t="shared" ref="G58:S58" si="63">SUM(G55:G57)</f>
        <v>119.785</v>
      </c>
      <c r="H58" s="8">
        <f t="shared" si="63"/>
        <v>103.277</v>
      </c>
      <c r="I58" s="8">
        <f t="shared" si="63"/>
        <v>100.044</v>
      </c>
      <c r="J58" s="8">
        <f t="shared" si="63"/>
        <v>136.08700000000002</v>
      </c>
      <c r="K58" s="8">
        <f t="shared" si="63"/>
        <v>170.601</v>
      </c>
      <c r="L58" s="8">
        <f t="shared" si="63"/>
        <v>157.98499999999999</v>
      </c>
      <c r="M58" s="8">
        <f t="shared" si="63"/>
        <v>144.50399999999999</v>
      </c>
      <c r="N58" s="8">
        <f t="shared" si="63"/>
        <v>214.70500000000001</v>
      </c>
      <c r="O58" s="8">
        <f t="shared" si="63"/>
        <v>241.52500000000003</v>
      </c>
      <c r="P58" s="8">
        <f t="shared" si="63"/>
        <v>227.84199999999998</v>
      </c>
      <c r="Q58" s="8">
        <f t="shared" si="63"/>
        <v>189.875</v>
      </c>
      <c r="R58" s="8">
        <f t="shared" si="63"/>
        <v>289.55700000000002</v>
      </c>
      <c r="S58" s="8">
        <f t="shared" si="63"/>
        <v>310.202</v>
      </c>
      <c r="T58" s="8">
        <f>SUM(T55:T57)</f>
        <v>345.30700000000002</v>
      </c>
      <c r="U58" s="8">
        <f>SUM(U55:U57)</f>
        <v>367.34899999999999</v>
      </c>
      <c r="V58" s="8"/>
      <c r="W58" s="8"/>
      <c r="X58" s="8"/>
      <c r="Y58" s="8"/>
      <c r="Z58" s="8"/>
      <c r="AA58" s="8"/>
      <c r="AB58" s="8"/>
      <c r="AC58" s="8"/>
      <c r="AD58" s="8"/>
      <c r="AE58" s="64"/>
    </row>
    <row r="59" spans="1:31" s="63" customFormat="1" outlineLevel="1">
      <c r="A59" s="199"/>
      <c r="B59" s="142"/>
      <c r="D59" s="211" t="s">
        <v>120</v>
      </c>
      <c r="E59" s="198"/>
      <c r="F59" s="198"/>
      <c r="G59" s="228" t="b">
        <f t="shared" ref="G59:T59" si="64">G58=G15</f>
        <v>1</v>
      </c>
      <c r="H59" s="228" t="b">
        <f t="shared" si="64"/>
        <v>1</v>
      </c>
      <c r="I59" s="228" t="b">
        <f t="shared" si="64"/>
        <v>1</v>
      </c>
      <c r="J59" s="228" t="b">
        <f t="shared" si="64"/>
        <v>1</v>
      </c>
      <c r="K59" s="228" t="b">
        <f t="shared" si="64"/>
        <v>1</v>
      </c>
      <c r="L59" s="228" t="b">
        <f t="shared" si="64"/>
        <v>1</v>
      </c>
      <c r="M59" s="228" t="b">
        <f t="shared" si="64"/>
        <v>1</v>
      </c>
      <c r="N59" s="228" t="b">
        <f t="shared" si="64"/>
        <v>1</v>
      </c>
      <c r="O59" s="228" t="b">
        <f t="shared" si="64"/>
        <v>1</v>
      </c>
      <c r="P59" s="228" t="b">
        <f t="shared" si="64"/>
        <v>1</v>
      </c>
      <c r="Q59" s="228" t="b">
        <f t="shared" si="64"/>
        <v>1</v>
      </c>
      <c r="R59" s="228" t="b">
        <f t="shared" si="64"/>
        <v>1</v>
      </c>
      <c r="S59" s="228" t="b">
        <f t="shared" si="64"/>
        <v>1</v>
      </c>
      <c r="T59" s="228" t="b">
        <f t="shared" si="64"/>
        <v>1</v>
      </c>
      <c r="U59" s="228" t="b">
        <f>U58=U15</f>
        <v>1</v>
      </c>
      <c r="V59" s="229"/>
      <c r="W59" s="229"/>
      <c r="X59" s="229"/>
      <c r="Y59" s="229"/>
      <c r="Z59" s="229"/>
      <c r="AA59" s="229"/>
      <c r="AB59" s="229"/>
      <c r="AC59" s="229"/>
      <c r="AD59" s="229"/>
      <c r="AE59" s="204"/>
    </row>
    <row r="60" spans="1:31" s="63" customFormat="1" outlineLevel="1">
      <c r="A60" s="199"/>
      <c r="B60" s="142"/>
      <c r="D60" s="211" t="s">
        <v>420</v>
      </c>
      <c r="E60" s="198"/>
      <c r="F60" s="198"/>
      <c r="G60" s="175">
        <f>G55/G58</f>
        <v>0.29519555870935427</v>
      </c>
      <c r="H60" s="175">
        <f t="shared" ref="H60:T60" si="65">H55/H58</f>
        <v>0.62217144185055728</v>
      </c>
      <c r="I60" s="175">
        <f t="shared" si="65"/>
        <v>0.80213705969373472</v>
      </c>
      <c r="J60" s="175">
        <f t="shared" si="65"/>
        <v>0.81770485057353004</v>
      </c>
      <c r="K60" s="175">
        <f t="shared" si="65"/>
        <v>0.6612915516321709</v>
      </c>
      <c r="L60" s="175">
        <f t="shared" si="65"/>
        <v>0.85134031711871383</v>
      </c>
      <c r="M60" s="175">
        <f t="shared" si="65"/>
        <v>0.85653684327077451</v>
      </c>
      <c r="N60" s="175">
        <f t="shared" si="65"/>
        <v>0.92776134696443968</v>
      </c>
      <c r="O60" s="175">
        <f t="shared" si="65"/>
        <v>0.80137459890280505</v>
      </c>
      <c r="P60" s="175">
        <f t="shared" si="65"/>
        <v>0.80668182336882577</v>
      </c>
      <c r="Q60" s="175">
        <f t="shared" si="65"/>
        <v>0.83234759710335748</v>
      </c>
      <c r="R60" s="175">
        <f t="shared" si="65"/>
        <v>0.70022137264856321</v>
      </c>
      <c r="S60" s="175">
        <f t="shared" si="65"/>
        <v>0.6185227690343712</v>
      </c>
      <c r="T60" s="175">
        <f t="shared" si="65"/>
        <v>0.80379488397281251</v>
      </c>
      <c r="U60" s="175">
        <f>U55/U58</f>
        <v>0.7462576459987641</v>
      </c>
      <c r="V60" s="213">
        <f>U60-0.005</f>
        <v>0.74125764599876409</v>
      </c>
      <c r="W60" s="213">
        <f t="shared" ref="W60:AD60" si="66">V60-0.005</f>
        <v>0.73625764599876409</v>
      </c>
      <c r="X60" s="213">
        <f t="shared" si="66"/>
        <v>0.73125764599876408</v>
      </c>
      <c r="Y60" s="213">
        <f t="shared" si="66"/>
        <v>0.72625764599876408</v>
      </c>
      <c r="Z60" s="213">
        <f t="shared" si="66"/>
        <v>0.72125764599876407</v>
      </c>
      <c r="AA60" s="213">
        <f t="shared" si="66"/>
        <v>0.71625764599876407</v>
      </c>
      <c r="AB60" s="213">
        <f t="shared" si="66"/>
        <v>0.71125764599876407</v>
      </c>
      <c r="AC60" s="213">
        <f t="shared" si="66"/>
        <v>0.70625764599876406</v>
      </c>
      <c r="AD60" s="213">
        <f t="shared" si="66"/>
        <v>0.70125764599876406</v>
      </c>
      <c r="AE60" s="204"/>
    </row>
    <row r="61" spans="1:31" s="63" customFormat="1" outlineLevel="1">
      <c r="A61" s="199"/>
      <c r="B61" s="142"/>
      <c r="D61" s="211"/>
      <c r="E61" s="198"/>
      <c r="F61" s="198"/>
      <c r="G61" s="228"/>
      <c r="H61" s="228"/>
      <c r="I61" s="228"/>
      <c r="J61" s="228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9"/>
      <c r="W61" s="229"/>
      <c r="X61" s="229"/>
      <c r="Y61" s="229"/>
      <c r="Z61" s="229"/>
      <c r="AA61" s="229"/>
      <c r="AB61" s="229"/>
      <c r="AC61" s="229"/>
      <c r="AD61" s="229"/>
      <c r="AE61" s="204"/>
    </row>
    <row r="62" spans="1:31" s="63" customFormat="1" outlineLevel="1">
      <c r="A62" s="199" t="s">
        <v>416</v>
      </c>
      <c r="B62" s="142"/>
      <c r="D62" s="211" t="s">
        <v>416</v>
      </c>
      <c r="E62" s="198"/>
      <c r="F62" s="198"/>
      <c r="G62" s="292">
        <v>1.2649999999999999</v>
      </c>
      <c r="H62" s="292">
        <v>1.2910999999999999</v>
      </c>
      <c r="I62" s="292">
        <v>1.3071999999999999</v>
      </c>
      <c r="J62" s="292">
        <v>1.3211999999999999</v>
      </c>
      <c r="K62" s="292">
        <v>1.3299000000000001</v>
      </c>
      <c r="L62" s="292">
        <v>1.3379000000000001</v>
      </c>
      <c r="M62" s="292">
        <v>1.3206</v>
      </c>
      <c r="N62" s="292">
        <v>1.32</v>
      </c>
      <c r="O62" s="292">
        <v>1.3443000000000001</v>
      </c>
      <c r="P62" s="292">
        <v>1.3855999999999999</v>
      </c>
      <c r="Q62" s="292">
        <v>1.3325</v>
      </c>
      <c r="R62" s="292">
        <v>1.3028</v>
      </c>
      <c r="S62" s="292">
        <v>1.2664</v>
      </c>
      <c r="T62" s="292">
        <v>1.2282</v>
      </c>
      <c r="U62" s="292">
        <v>1.2601</v>
      </c>
      <c r="V62" s="293">
        <v>1.2435</v>
      </c>
      <c r="W62" s="293">
        <f>V62</f>
        <v>1.2435</v>
      </c>
      <c r="X62" s="293">
        <f t="shared" ref="X62:AD62" si="67">W62</f>
        <v>1.2435</v>
      </c>
      <c r="Y62" s="293">
        <f t="shared" si="67"/>
        <v>1.2435</v>
      </c>
      <c r="Z62" s="293">
        <f t="shared" si="67"/>
        <v>1.2435</v>
      </c>
      <c r="AA62" s="293">
        <f t="shared" si="67"/>
        <v>1.2435</v>
      </c>
      <c r="AB62" s="293">
        <f t="shared" si="67"/>
        <v>1.2435</v>
      </c>
      <c r="AC62" s="293">
        <f t="shared" si="67"/>
        <v>1.2435</v>
      </c>
      <c r="AD62" s="293">
        <f t="shared" si="67"/>
        <v>1.2435</v>
      </c>
      <c r="AE62" s="204"/>
    </row>
    <row r="63" spans="1:31" s="63" customFormat="1" outlineLevel="1">
      <c r="A63" s="199"/>
      <c r="B63" s="142"/>
      <c r="D63" s="211" t="s">
        <v>417</v>
      </c>
      <c r="E63" s="198"/>
      <c r="F63" s="198"/>
      <c r="G63" s="228"/>
      <c r="H63" s="228"/>
      <c r="I63" s="228"/>
      <c r="J63" s="228"/>
      <c r="K63" s="228">
        <f>K62/G62-1</f>
        <v>5.130434782608706E-2</v>
      </c>
      <c r="L63" s="228">
        <f t="shared" ref="L63:AD63" si="68">L62/H62-1</f>
        <v>3.6248160483308922E-2</v>
      </c>
      <c r="M63" s="228">
        <f t="shared" si="68"/>
        <v>1.0250917992656206E-2</v>
      </c>
      <c r="N63" s="228">
        <f t="shared" si="68"/>
        <v>-9.0826521344222755E-4</v>
      </c>
      <c r="O63" s="228">
        <f t="shared" si="68"/>
        <v>1.0827881795623773E-2</v>
      </c>
      <c r="P63" s="228">
        <f t="shared" si="68"/>
        <v>3.5652888855669307E-2</v>
      </c>
      <c r="Q63" s="228">
        <f t="shared" si="68"/>
        <v>9.0110555807967341E-3</v>
      </c>
      <c r="R63" s="228">
        <f t="shared" si="68"/>
        <v>-1.3030303030303059E-2</v>
      </c>
      <c r="S63" s="228">
        <f t="shared" si="68"/>
        <v>-5.794837461876079E-2</v>
      </c>
      <c r="T63" s="228">
        <f t="shared" si="68"/>
        <v>-0.11359699769053122</v>
      </c>
      <c r="U63" s="228">
        <f t="shared" si="68"/>
        <v>-5.4333958724202658E-2</v>
      </c>
      <c r="V63" s="228">
        <f t="shared" si="68"/>
        <v>-4.5517347252072349E-2</v>
      </c>
      <c r="W63" s="228">
        <f t="shared" si="68"/>
        <v>-1.8082754264055478E-2</v>
      </c>
      <c r="X63" s="228">
        <f t="shared" si="68"/>
        <v>1.2457254518808192E-2</v>
      </c>
      <c r="Y63" s="228">
        <f t="shared" si="68"/>
        <v>-1.31735576541544E-2</v>
      </c>
      <c r="Z63" s="228">
        <f t="shared" si="68"/>
        <v>0</v>
      </c>
      <c r="AA63" s="228">
        <f t="shared" si="68"/>
        <v>0</v>
      </c>
      <c r="AB63" s="228">
        <f t="shared" si="68"/>
        <v>0</v>
      </c>
      <c r="AC63" s="228">
        <f t="shared" si="68"/>
        <v>0</v>
      </c>
      <c r="AD63" s="228">
        <f t="shared" si="68"/>
        <v>0</v>
      </c>
      <c r="AE63" s="204"/>
    </row>
    <row r="64" spans="1:31" s="63" customFormat="1" outlineLevel="1">
      <c r="A64" s="199"/>
      <c r="B64" s="142"/>
      <c r="D64" s="211"/>
      <c r="E64" s="198"/>
      <c r="F64" s="198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04"/>
    </row>
    <row r="65" spans="1:31" s="63" customFormat="1" outlineLevel="1">
      <c r="A65" s="199"/>
      <c r="B65" s="142"/>
      <c r="D65" s="227" t="s">
        <v>464</v>
      </c>
      <c r="E65" s="198"/>
      <c r="F65" s="198"/>
      <c r="G65" s="225">
        <v>8.8409999999999993</v>
      </c>
      <c r="H65" s="225">
        <v>14.058</v>
      </c>
      <c r="I65" s="225">
        <v>15.840999999999999</v>
      </c>
      <c r="J65" s="225">
        <v>21.724</v>
      </c>
      <c r="K65" s="225">
        <v>24.774999999999999</v>
      </c>
      <c r="L65" s="225">
        <f>14.657+12.06</f>
        <v>26.716999999999999</v>
      </c>
      <c r="M65" s="225">
        <f>13.739+10.717</f>
        <v>24.456000000000003</v>
      </c>
      <c r="N65" s="225">
        <v>34.869</v>
      </c>
      <c r="O65" s="225">
        <v>37.030999999999999</v>
      </c>
      <c r="P65" s="225">
        <v>38.536999999999999</v>
      </c>
      <c r="Q65" s="225">
        <f>21.122+11.519</f>
        <v>32.640999999999998</v>
      </c>
      <c r="R65" s="225">
        <v>45.959000000000003</v>
      </c>
      <c r="S65" s="225">
        <v>42.948000000000008</v>
      </c>
      <c r="T65" s="225">
        <v>50.69</v>
      </c>
      <c r="U65" s="225">
        <v>55.383000000000003</v>
      </c>
      <c r="V65" s="228"/>
      <c r="W65" s="228"/>
      <c r="X65" s="228"/>
      <c r="Y65" s="228"/>
      <c r="Z65" s="228"/>
      <c r="AA65" s="228"/>
      <c r="AB65" s="228"/>
      <c r="AC65" s="228"/>
      <c r="AD65" s="228"/>
      <c r="AE65" s="204"/>
    </row>
    <row r="66" spans="1:31" s="63" customFormat="1" outlineLevel="1">
      <c r="A66" s="199"/>
      <c r="B66" s="142"/>
      <c r="D66" s="227" t="s">
        <v>465</v>
      </c>
      <c r="E66" s="198"/>
      <c r="F66" s="198"/>
      <c r="G66" s="225">
        <v>0.96599999999999997</v>
      </c>
      <c r="H66" s="225">
        <v>1.1579999999999999</v>
      </c>
      <c r="I66" s="225">
        <v>1.512</v>
      </c>
      <c r="J66" s="225">
        <v>2.3580000000000001</v>
      </c>
      <c r="K66" s="225">
        <v>1.2450000000000001</v>
      </c>
      <c r="L66" s="225">
        <v>1.27</v>
      </c>
      <c r="M66" s="225">
        <v>1.845</v>
      </c>
      <c r="N66" s="225">
        <v>0.42399999999999999</v>
      </c>
      <c r="O66" s="225">
        <v>1.0939999999999999</v>
      </c>
      <c r="P66" s="225">
        <v>1.411</v>
      </c>
      <c r="Q66" s="225">
        <v>1.643</v>
      </c>
      <c r="R66" s="225">
        <v>1.87</v>
      </c>
      <c r="S66" s="225">
        <v>2.96</v>
      </c>
      <c r="T66" s="225">
        <v>1.71</v>
      </c>
      <c r="U66" s="225">
        <v>2.6579999999999999</v>
      </c>
      <c r="V66" s="228"/>
      <c r="W66" s="228"/>
      <c r="X66" s="228"/>
      <c r="Y66" s="228"/>
      <c r="Z66" s="228"/>
      <c r="AA66" s="228"/>
      <c r="AB66" s="228"/>
      <c r="AC66" s="228"/>
      <c r="AD66" s="228"/>
      <c r="AE66" s="204"/>
    </row>
    <row r="67" spans="1:31" s="63" customFormat="1" outlineLevel="1">
      <c r="A67" s="199"/>
      <c r="B67" s="142"/>
      <c r="D67" s="227" t="s">
        <v>466</v>
      </c>
      <c r="E67" s="198"/>
      <c r="F67" s="198"/>
      <c r="G67" s="225">
        <f>1.762+0.111</f>
        <v>1.873</v>
      </c>
      <c r="H67" s="225">
        <f>2.371+0.018</f>
        <v>2.3889999999999998</v>
      </c>
      <c r="I67" s="225">
        <f>3.177+0.464</f>
        <v>3.641</v>
      </c>
      <c r="J67" s="225">
        <f>0.38+0.611</f>
        <v>0.99099999999999999</v>
      </c>
      <c r="K67" s="225">
        <f>2.793+0.75</f>
        <v>3.5430000000000001</v>
      </c>
      <c r="L67" s="225">
        <f>3.027+0.515</f>
        <v>3.5420000000000003</v>
      </c>
      <c r="M67" s="225">
        <f>3.176+0.284</f>
        <v>3.46</v>
      </c>
      <c r="N67" s="225">
        <f>6.825+0.587</f>
        <v>7.4119999999999999</v>
      </c>
      <c r="O67" s="225">
        <v>7.0770000000000008</v>
      </c>
      <c r="P67" s="225">
        <v>4.226</v>
      </c>
      <c r="Q67" s="225">
        <f>4.418+0.132</f>
        <v>4.55</v>
      </c>
      <c r="R67" s="225">
        <f>1.256-0.49</f>
        <v>0.76600000000000001</v>
      </c>
      <c r="S67" s="225">
        <v>3.9360000000000008</v>
      </c>
      <c r="T67" s="289">
        <v>4.431</v>
      </c>
      <c r="U67" s="289">
        <v>6.0730000000000004</v>
      </c>
      <c r="V67" s="228"/>
      <c r="W67" s="228"/>
      <c r="X67" s="228"/>
      <c r="Y67" s="228"/>
      <c r="Z67" s="228"/>
      <c r="AA67" s="228"/>
      <c r="AB67" s="228"/>
      <c r="AC67" s="228"/>
      <c r="AD67" s="228"/>
      <c r="AE67" s="204"/>
    </row>
    <row r="68" spans="1:31" s="63" customFormat="1" outlineLevel="1">
      <c r="A68" s="199"/>
      <c r="B68" s="142"/>
      <c r="D68" s="227" t="s">
        <v>467</v>
      </c>
      <c r="E68" s="198"/>
      <c r="F68" s="198"/>
      <c r="G68" s="226">
        <f t="shared" ref="G68:S68" si="69">G69-SUM(G65:G67)</f>
        <v>5.5000000000001492E-2</v>
      </c>
      <c r="H68" s="226">
        <f t="shared" si="69"/>
        <v>4.7000000000000597E-2</v>
      </c>
      <c r="I68" s="226">
        <f t="shared" si="69"/>
        <v>0.125</v>
      </c>
      <c r="J68" s="226">
        <f t="shared" si="69"/>
        <v>7.6000000000000512E-2</v>
      </c>
      <c r="K68" s="226">
        <f t="shared" si="69"/>
        <v>8.3000000000001961E-2</v>
      </c>
      <c r="L68" s="226">
        <f t="shared" si="69"/>
        <v>8.8999999999998636E-2</v>
      </c>
      <c r="M68" s="226">
        <f t="shared" si="69"/>
        <v>5.2999999999997272E-2</v>
      </c>
      <c r="N68" s="226">
        <f t="shared" si="69"/>
        <v>0.11599999999999966</v>
      </c>
      <c r="O68" s="226">
        <f t="shared" si="69"/>
        <v>2.0000000000024443E-3</v>
      </c>
      <c r="P68" s="226">
        <f t="shared" si="69"/>
        <v>0</v>
      </c>
      <c r="Q68" s="226">
        <f t="shared" si="69"/>
        <v>0.10800000000000409</v>
      </c>
      <c r="R68" s="226">
        <f t="shared" si="69"/>
        <v>0.78200000000001069</v>
      </c>
      <c r="S68" s="226">
        <f t="shared" si="69"/>
        <v>-0.20100000000001472</v>
      </c>
      <c r="T68" s="226">
        <f>T69-SUM(T65:T67)</f>
        <v>0.79900000000000659</v>
      </c>
      <c r="U68" s="226">
        <f>U69-SUM(U65:U67)</f>
        <v>3.1709999999999923</v>
      </c>
      <c r="V68" s="228"/>
      <c r="W68" s="228"/>
      <c r="X68" s="228"/>
      <c r="Y68" s="228"/>
      <c r="Z68" s="228"/>
      <c r="AA68" s="228"/>
      <c r="AB68" s="228"/>
      <c r="AC68" s="228"/>
      <c r="AD68" s="228"/>
      <c r="AE68" s="204"/>
    </row>
    <row r="69" spans="1:31" s="3" customFormat="1" outlineLevel="1">
      <c r="A69" s="110"/>
      <c r="B69" s="143"/>
      <c r="D69" s="2" t="s">
        <v>220</v>
      </c>
      <c r="E69" s="2"/>
      <c r="F69" s="2"/>
      <c r="G69" s="8">
        <f t="shared" ref="G69:S69" si="70">G18</f>
        <v>11.734999999999999</v>
      </c>
      <c r="H69" s="8">
        <f t="shared" si="70"/>
        <v>17.652000000000001</v>
      </c>
      <c r="I69" s="8">
        <f t="shared" si="70"/>
        <v>21.119</v>
      </c>
      <c r="J69" s="8">
        <f t="shared" si="70"/>
        <v>25.149000000000001</v>
      </c>
      <c r="K69" s="8">
        <f t="shared" si="70"/>
        <v>29.646000000000001</v>
      </c>
      <c r="L69" s="8">
        <f t="shared" si="70"/>
        <v>31.617999999999999</v>
      </c>
      <c r="M69" s="8">
        <f t="shared" si="70"/>
        <v>29.814</v>
      </c>
      <c r="N69" s="8">
        <f t="shared" si="70"/>
        <v>42.820999999999998</v>
      </c>
      <c r="O69" s="8">
        <f t="shared" si="70"/>
        <v>45.204000000000001</v>
      </c>
      <c r="P69" s="8">
        <f t="shared" si="70"/>
        <v>44.173999999999999</v>
      </c>
      <c r="Q69" s="8">
        <f t="shared" si="70"/>
        <v>38.942</v>
      </c>
      <c r="R69" s="8">
        <f t="shared" si="70"/>
        <v>49.37700000000001</v>
      </c>
      <c r="S69" s="8">
        <f t="shared" si="70"/>
        <v>49.642999999999994</v>
      </c>
      <c r="T69" s="8">
        <f>T18</f>
        <v>57.63</v>
      </c>
      <c r="U69" s="8">
        <f>U18</f>
        <v>67.284999999999997</v>
      </c>
      <c r="V69" s="8"/>
      <c r="W69" s="8"/>
      <c r="X69" s="8"/>
      <c r="Y69" s="8"/>
      <c r="Z69" s="8"/>
      <c r="AA69" s="8"/>
      <c r="AB69" s="8"/>
      <c r="AC69" s="8"/>
      <c r="AD69" s="8"/>
      <c r="AE69" s="64"/>
    </row>
    <row r="70" spans="1:31" s="63" customFormat="1" outlineLevel="1">
      <c r="A70" s="199"/>
      <c r="B70" s="142"/>
      <c r="D70" s="211"/>
      <c r="E70" s="198"/>
      <c r="F70" s="198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04"/>
    </row>
    <row r="71" spans="1:31" s="63" customFormat="1" outlineLevel="1">
      <c r="A71" s="199"/>
      <c r="B71" s="142"/>
      <c r="D71" s="227" t="s">
        <v>492</v>
      </c>
      <c r="E71" s="198"/>
      <c r="F71" s="198"/>
      <c r="G71" s="225">
        <f t="shared" ref="G71:T71" si="71">G119</f>
        <v>3.0129999999999999</v>
      </c>
      <c r="H71" s="225">
        <f t="shared" si="71"/>
        <v>4.43</v>
      </c>
      <c r="I71" s="225">
        <f t="shared" si="71"/>
        <v>0.19</v>
      </c>
      <c r="J71" s="225">
        <f t="shared" si="71"/>
        <v>-0.18599999999999994</v>
      </c>
      <c r="K71" s="225">
        <f t="shared" si="71"/>
        <v>0</v>
      </c>
      <c r="L71" s="225">
        <f t="shared" si="71"/>
        <v>0</v>
      </c>
      <c r="M71" s="225">
        <f t="shared" si="71"/>
        <v>2.14</v>
      </c>
      <c r="N71" s="225">
        <f t="shared" si="71"/>
        <v>-0.84100000000000019</v>
      </c>
      <c r="O71" s="225">
        <f t="shared" si="71"/>
        <v>0</v>
      </c>
      <c r="P71" s="225">
        <f t="shared" si="71"/>
        <v>0</v>
      </c>
      <c r="Q71" s="225">
        <f t="shared" si="71"/>
        <v>0</v>
      </c>
      <c r="R71" s="225">
        <f t="shared" si="71"/>
        <v>1.127</v>
      </c>
      <c r="S71" s="225">
        <f t="shared" si="71"/>
        <v>0</v>
      </c>
      <c r="T71" s="225">
        <f t="shared" si="71"/>
        <v>0</v>
      </c>
      <c r="U71" s="225">
        <f>U119</f>
        <v>3.8079999999999998</v>
      </c>
      <c r="V71" s="165">
        <v>0</v>
      </c>
      <c r="W71" s="165">
        <v>0</v>
      </c>
      <c r="X71" s="165">
        <v>0</v>
      </c>
      <c r="Y71" s="165">
        <v>0</v>
      </c>
      <c r="Z71" s="165">
        <v>0</v>
      </c>
      <c r="AA71" s="165">
        <v>0</v>
      </c>
      <c r="AB71" s="165">
        <v>0</v>
      </c>
      <c r="AC71" s="165">
        <v>0</v>
      </c>
      <c r="AD71" s="165">
        <v>0</v>
      </c>
      <c r="AE71" s="204"/>
    </row>
    <row r="72" spans="1:31" s="63" customFormat="1" outlineLevel="1">
      <c r="A72" s="199"/>
      <c r="B72" s="142"/>
      <c r="D72" s="227" t="s">
        <v>467</v>
      </c>
      <c r="E72" s="198"/>
      <c r="F72" s="198"/>
      <c r="G72" s="226">
        <f t="shared" ref="G72:T72" si="72">G73-G71</f>
        <v>0.33400000000000007</v>
      </c>
      <c r="H72" s="226">
        <f t="shared" si="72"/>
        <v>2.5060000000000002</v>
      </c>
      <c r="I72" s="226">
        <f t="shared" si="72"/>
        <v>2.5419999999999998</v>
      </c>
      <c r="J72" s="226">
        <f t="shared" si="72"/>
        <v>4.6480000000000015</v>
      </c>
      <c r="K72" s="226">
        <f t="shared" si="72"/>
        <v>3.1779999999999999</v>
      </c>
      <c r="L72" s="226">
        <f t="shared" si="72"/>
        <v>0.438</v>
      </c>
      <c r="M72" s="226">
        <f t="shared" si="72"/>
        <v>2.371</v>
      </c>
      <c r="N72" s="226">
        <f t="shared" si="72"/>
        <v>3.3540000000000001</v>
      </c>
      <c r="O72" s="226">
        <f t="shared" si="72"/>
        <v>1.9390000000000001</v>
      </c>
      <c r="P72" s="226">
        <f t="shared" si="72"/>
        <v>4.3070000000000004</v>
      </c>
      <c r="Q72" s="226">
        <f t="shared" si="72"/>
        <v>1.865</v>
      </c>
      <c r="R72" s="226">
        <f t="shared" si="72"/>
        <v>5.8250000000000002</v>
      </c>
      <c r="S72" s="226">
        <f t="shared" si="72"/>
        <v>3.0509999999999993</v>
      </c>
      <c r="T72" s="226">
        <f t="shared" si="72"/>
        <v>5.3540000000000001</v>
      </c>
      <c r="U72" s="226">
        <f>U73-U71</f>
        <v>4.8940000000000001</v>
      </c>
      <c r="V72" s="312">
        <f>AVERAGE(S37:V37)*V74</f>
        <v>12.787666208565843</v>
      </c>
      <c r="W72" s="312">
        <f t="shared" ref="W72:AD72" si="73">AVERAGE(T37:W37)*W74</f>
        <v>14.104437041215562</v>
      </c>
      <c r="X72" s="312">
        <f t="shared" si="73"/>
        <v>11.656836742903138</v>
      </c>
      <c r="Y72" s="312">
        <f t="shared" si="73"/>
        <v>6.1448153136285644</v>
      </c>
      <c r="Z72" s="312">
        <f t="shared" si="73"/>
        <v>7.4442565448260032</v>
      </c>
      <c r="AA72" s="312">
        <f t="shared" si="73"/>
        <v>8.2151115124854996</v>
      </c>
      <c r="AB72" s="312">
        <f t="shared" si="73"/>
        <v>8.9949764732734856</v>
      </c>
      <c r="AC72" s="312">
        <f t="shared" si="73"/>
        <v>9.7838514271899584</v>
      </c>
      <c r="AD72" s="312">
        <f t="shared" si="73"/>
        <v>10.581736374234918</v>
      </c>
      <c r="AE72" s="204"/>
    </row>
    <row r="73" spans="1:31" s="3" customFormat="1" outlineLevel="1">
      <c r="A73" s="110"/>
      <c r="B73" s="143"/>
      <c r="D73" s="2" t="s">
        <v>493</v>
      </c>
      <c r="E73" s="2"/>
      <c r="F73" s="2"/>
      <c r="G73" s="8">
        <f t="shared" ref="G73:T73" si="74">G22</f>
        <v>3.347</v>
      </c>
      <c r="H73" s="8">
        <f t="shared" si="74"/>
        <v>6.9359999999999999</v>
      </c>
      <c r="I73" s="8">
        <f t="shared" si="74"/>
        <v>2.7319999999999998</v>
      </c>
      <c r="J73" s="8">
        <f t="shared" si="74"/>
        <v>4.4620000000000015</v>
      </c>
      <c r="K73" s="8">
        <f t="shared" si="74"/>
        <v>3.1779999999999999</v>
      </c>
      <c r="L73" s="8">
        <f t="shared" si="74"/>
        <v>0.438</v>
      </c>
      <c r="M73" s="8">
        <f t="shared" si="74"/>
        <v>4.5110000000000001</v>
      </c>
      <c r="N73" s="8">
        <f t="shared" si="74"/>
        <v>2.5129999999999999</v>
      </c>
      <c r="O73" s="8">
        <f t="shared" si="74"/>
        <v>1.9390000000000001</v>
      </c>
      <c r="P73" s="8">
        <f t="shared" si="74"/>
        <v>4.3070000000000004</v>
      </c>
      <c r="Q73" s="8">
        <f t="shared" si="74"/>
        <v>1.865</v>
      </c>
      <c r="R73" s="8">
        <f t="shared" si="74"/>
        <v>6.952</v>
      </c>
      <c r="S73" s="8">
        <f t="shared" si="74"/>
        <v>3.0509999999999993</v>
      </c>
      <c r="T73" s="8">
        <f t="shared" si="74"/>
        <v>5.3540000000000001</v>
      </c>
      <c r="U73" s="8">
        <f>U22</f>
        <v>8.702</v>
      </c>
      <c r="V73" s="209">
        <f>SUM(V71:V72)</f>
        <v>12.787666208565843</v>
      </c>
      <c r="W73" s="209">
        <f t="shared" ref="W73:AD73" si="75">SUM(W71:W72)</f>
        <v>14.104437041215562</v>
      </c>
      <c r="X73" s="209">
        <f t="shared" si="75"/>
        <v>11.656836742903138</v>
      </c>
      <c r="Y73" s="209">
        <f t="shared" si="75"/>
        <v>6.1448153136285644</v>
      </c>
      <c r="Z73" s="209">
        <f t="shared" si="75"/>
        <v>7.4442565448260032</v>
      </c>
      <c r="AA73" s="209">
        <f t="shared" si="75"/>
        <v>8.2151115124854996</v>
      </c>
      <c r="AB73" s="209">
        <f t="shared" si="75"/>
        <v>8.9949764732734856</v>
      </c>
      <c r="AC73" s="209">
        <f t="shared" si="75"/>
        <v>9.7838514271899584</v>
      </c>
      <c r="AD73" s="209">
        <f t="shared" si="75"/>
        <v>10.581736374234918</v>
      </c>
      <c r="AE73" s="64"/>
    </row>
    <row r="74" spans="1:31" s="63" customFormat="1" outlineLevel="1">
      <c r="A74" s="199"/>
      <c r="B74" s="142"/>
      <c r="D74" s="267" t="s">
        <v>353</v>
      </c>
      <c r="E74" s="198"/>
      <c r="F74" s="198"/>
      <c r="G74" s="228"/>
      <c r="H74" s="228"/>
      <c r="I74" s="228"/>
      <c r="J74" s="228">
        <f t="shared" ref="J74:T74" si="76">J72/AVERAGE(G37:J37)</f>
        <v>0.71135598408325706</v>
      </c>
      <c r="K74" s="228">
        <f t="shared" si="76"/>
        <v>0.31400059282679577</v>
      </c>
      <c r="L74" s="228">
        <f t="shared" si="76"/>
        <v>8.0047516790789044E-2</v>
      </c>
      <c r="M74" s="228">
        <f t="shared" si="76"/>
        <v>0.4065849266912458</v>
      </c>
      <c r="N74" s="228">
        <f t="shared" si="76"/>
        <v>0.24319327121777906</v>
      </c>
      <c r="O74" s="228">
        <f t="shared" si="76"/>
        <v>0.16322579287412925</v>
      </c>
      <c r="P74" s="228">
        <f t="shared" si="76"/>
        <v>0.36415903950622502</v>
      </c>
      <c r="Q74" s="228">
        <f t="shared" si="76"/>
        <v>0.16262643878618763</v>
      </c>
      <c r="R74" s="228">
        <f t="shared" si="76"/>
        <v>0.53314417774523493</v>
      </c>
      <c r="S74" s="228">
        <f t="shared" si="76"/>
        <v>0.25905877857734189</v>
      </c>
      <c r="T74" s="228">
        <f t="shared" si="76"/>
        <v>0.1606890963114139</v>
      </c>
      <c r="U74" s="228">
        <f>U72/AVERAGE(R37:U37)</f>
        <v>6.9666472120599593E-2</v>
      </c>
      <c r="V74" s="313">
        <v>0.2</v>
      </c>
      <c r="W74" s="313">
        <v>0.2</v>
      </c>
      <c r="X74" s="313">
        <v>0.2</v>
      </c>
      <c r="Y74" s="313">
        <v>0.2</v>
      </c>
      <c r="Z74" s="313">
        <v>0.2</v>
      </c>
      <c r="AA74" s="313">
        <v>0.2</v>
      </c>
      <c r="AB74" s="313">
        <v>0.2</v>
      </c>
      <c r="AC74" s="313">
        <v>0.2</v>
      </c>
      <c r="AD74" s="313">
        <v>0.2</v>
      </c>
      <c r="AE74" s="204"/>
    </row>
    <row r="75" spans="1:31" s="5" customFormat="1">
      <c r="A75" s="109"/>
      <c r="B75" s="146"/>
      <c r="D75" s="166"/>
      <c r="E75" s="167"/>
      <c r="F75" s="16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68"/>
      <c r="W75" s="168"/>
      <c r="X75" s="168"/>
      <c r="Y75" s="168"/>
      <c r="Z75" s="168"/>
      <c r="AA75" s="168"/>
      <c r="AB75" s="168"/>
      <c r="AC75" s="168"/>
      <c r="AD75" s="168"/>
      <c r="AE75" s="72"/>
    </row>
    <row r="76" spans="1:31">
      <c r="B76" s="141" t="s">
        <v>172</v>
      </c>
      <c r="C76" s="52" t="s">
        <v>172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</row>
    <row r="77" spans="1:31">
      <c r="C77" s="104"/>
      <c r="D77" s="105" t="s">
        <v>105</v>
      </c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</row>
    <row r="78" spans="1:31" ht="5.0999999999999996" customHeight="1">
      <c r="B78" s="142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7"/>
    </row>
    <row r="79" spans="1:31" s="3" customFormat="1" outlineLevel="1">
      <c r="A79" s="110" t="s">
        <v>173</v>
      </c>
      <c r="B79" s="143"/>
      <c r="D79" s="195" t="s">
        <v>201</v>
      </c>
      <c r="G79" s="231">
        <f t="shared" ref="G79:AD79" si="77">G15</f>
        <v>119.785</v>
      </c>
      <c r="H79" s="231">
        <f t="shared" si="77"/>
        <v>103.277</v>
      </c>
      <c r="I79" s="231">
        <f t="shared" si="77"/>
        <v>100.04400000000001</v>
      </c>
      <c r="J79" s="231">
        <f t="shared" si="77"/>
        <v>136.08699999999999</v>
      </c>
      <c r="K79" s="231">
        <f t="shared" si="77"/>
        <v>170.601</v>
      </c>
      <c r="L79" s="231">
        <f t="shared" si="77"/>
        <v>157.98500000000001</v>
      </c>
      <c r="M79" s="231">
        <f t="shared" si="77"/>
        <v>144.50399999999999</v>
      </c>
      <c r="N79" s="231">
        <f t="shared" si="77"/>
        <v>214.7050000000001</v>
      </c>
      <c r="O79" s="231">
        <f t="shared" si="77"/>
        <v>241.52500000000001</v>
      </c>
      <c r="P79" s="231">
        <f t="shared" si="77"/>
        <v>227.84199999999998</v>
      </c>
      <c r="Q79" s="231">
        <f t="shared" si="77"/>
        <v>189.875</v>
      </c>
      <c r="R79" s="231">
        <f t="shared" si="77"/>
        <v>289.55700000000002</v>
      </c>
      <c r="S79" s="231">
        <f t="shared" si="77"/>
        <v>310.202</v>
      </c>
      <c r="T79" s="231">
        <f t="shared" si="77"/>
        <v>345.30699999999996</v>
      </c>
      <c r="U79" s="231">
        <f t="shared" si="77"/>
        <v>367.34899999999999</v>
      </c>
      <c r="V79" s="231">
        <f t="shared" si="77"/>
        <v>496.27731874734553</v>
      </c>
      <c r="W79" s="231">
        <f t="shared" si="77"/>
        <v>492.79393582924865</v>
      </c>
      <c r="X79" s="231">
        <f t="shared" si="77"/>
        <v>507.94025983037739</v>
      </c>
      <c r="Y79" s="231">
        <f t="shared" si="77"/>
        <v>516.09749214477574</v>
      </c>
      <c r="Z79" s="231">
        <f t="shared" si="77"/>
        <v>633.25169916847221</v>
      </c>
      <c r="AA79" s="231">
        <f t="shared" si="77"/>
        <v>647.21802202954188</v>
      </c>
      <c r="AB79" s="231">
        <f t="shared" si="77"/>
        <v>677.14688659123749</v>
      </c>
      <c r="AC79" s="231">
        <f t="shared" si="77"/>
        <v>697.30818066115376</v>
      </c>
      <c r="AD79" s="231">
        <f t="shared" si="77"/>
        <v>830.95350508310821</v>
      </c>
      <c r="AE79" s="64"/>
    </row>
    <row r="80" spans="1:31" outlineLevel="1">
      <c r="D80" s="70" t="s">
        <v>174</v>
      </c>
      <c r="G80" s="78">
        <f t="shared" ref="G80:AD80" si="78">-G16</f>
        <v>-102.521</v>
      </c>
      <c r="H80" s="78">
        <f t="shared" si="78"/>
        <v>-80.212999999999994</v>
      </c>
      <c r="I80" s="78">
        <f t="shared" si="78"/>
        <v>-79.116</v>
      </c>
      <c r="J80" s="78">
        <f t="shared" si="78"/>
        <v>-105.51800000000003</v>
      </c>
      <c r="K80" s="78">
        <f t="shared" si="78"/>
        <v>-132.53100000000001</v>
      </c>
      <c r="L80" s="78">
        <f t="shared" si="78"/>
        <v>-120.571</v>
      </c>
      <c r="M80" s="78">
        <f t="shared" si="78"/>
        <v>-108.17699999999999</v>
      </c>
      <c r="N80" s="78">
        <f t="shared" si="78"/>
        <v>-160.102</v>
      </c>
      <c r="O80" s="78">
        <f t="shared" si="78"/>
        <v>-185.31200000000001</v>
      </c>
      <c r="P80" s="78">
        <f t="shared" si="78"/>
        <v>-171.59699999999998</v>
      </c>
      <c r="Q80" s="78">
        <f t="shared" si="78"/>
        <v>-136.18099999999998</v>
      </c>
      <c r="R80" s="78">
        <f t="shared" si="78"/>
        <v>-217.12000000000006</v>
      </c>
      <c r="S80" s="78">
        <f t="shared" si="78"/>
        <v>-241.65299999999999</v>
      </c>
      <c r="T80" s="78">
        <f t="shared" si="78"/>
        <v>-265.89100000000002</v>
      </c>
      <c r="U80" s="78">
        <f t="shared" si="78"/>
        <v>-283.41599999999994</v>
      </c>
      <c r="V80" s="78">
        <f t="shared" si="78"/>
        <v>-382.46455452402978</v>
      </c>
      <c r="W80" s="78">
        <f t="shared" si="78"/>
        <v>-379.36115140037487</v>
      </c>
      <c r="X80" s="78">
        <f t="shared" si="78"/>
        <v>-390.58929994770563</v>
      </c>
      <c r="Y80" s="78">
        <f t="shared" si="78"/>
        <v>-396.42325957528487</v>
      </c>
      <c r="Z80" s="78">
        <f t="shared" si="78"/>
        <v>-485.87313416715676</v>
      </c>
      <c r="AA80" s="78">
        <f t="shared" si="78"/>
        <v>-496.03889755065217</v>
      </c>
      <c r="AB80" s="78">
        <f t="shared" si="78"/>
        <v>-518.40131341549818</v>
      </c>
      <c r="AC80" s="78">
        <f t="shared" si="78"/>
        <v>-533.24342296516181</v>
      </c>
      <c r="AD80" s="78">
        <f t="shared" si="78"/>
        <v>-634.73796461191546</v>
      </c>
      <c r="AE80" s="7"/>
    </row>
    <row r="81" spans="1:31" s="3" customFormat="1" outlineLevel="1">
      <c r="A81" s="110" t="s">
        <v>153</v>
      </c>
      <c r="B81" s="143"/>
      <c r="D81" s="2" t="s">
        <v>226</v>
      </c>
      <c r="E81" s="2"/>
      <c r="F81" s="2"/>
      <c r="G81" s="8">
        <f t="shared" ref="G81:S81" si="79">SUM(G79:G80)</f>
        <v>17.263999999999996</v>
      </c>
      <c r="H81" s="8">
        <f t="shared" si="79"/>
        <v>23.064000000000007</v>
      </c>
      <c r="I81" s="8">
        <f t="shared" si="79"/>
        <v>20.928000000000011</v>
      </c>
      <c r="J81" s="8">
        <f t="shared" si="79"/>
        <v>30.56899999999996</v>
      </c>
      <c r="K81" s="8">
        <f t="shared" si="79"/>
        <v>38.069999999999993</v>
      </c>
      <c r="L81" s="8">
        <f t="shared" si="79"/>
        <v>37.414000000000016</v>
      </c>
      <c r="M81" s="8">
        <f t="shared" si="79"/>
        <v>36.326999999999998</v>
      </c>
      <c r="N81" s="8">
        <f t="shared" si="79"/>
        <v>54.603000000000094</v>
      </c>
      <c r="O81" s="8">
        <f t="shared" si="79"/>
        <v>56.212999999999994</v>
      </c>
      <c r="P81" s="8">
        <f t="shared" si="79"/>
        <v>56.245000000000005</v>
      </c>
      <c r="Q81" s="8">
        <f t="shared" si="79"/>
        <v>53.694000000000017</v>
      </c>
      <c r="R81" s="8">
        <f t="shared" si="79"/>
        <v>72.436999999999955</v>
      </c>
      <c r="S81" s="8">
        <f t="shared" si="79"/>
        <v>68.549000000000007</v>
      </c>
      <c r="T81" s="8">
        <f t="shared" ref="T81:AD81" si="80">SUM(T79:T80)</f>
        <v>79.41599999999994</v>
      </c>
      <c r="U81" s="8">
        <f t="shared" si="80"/>
        <v>83.93300000000005</v>
      </c>
      <c r="V81" s="8">
        <f t="shared" si="80"/>
        <v>113.81276422331575</v>
      </c>
      <c r="W81" s="8">
        <f t="shared" si="80"/>
        <v>113.43278442887379</v>
      </c>
      <c r="X81" s="8">
        <f t="shared" si="80"/>
        <v>117.35095988267176</v>
      </c>
      <c r="Y81" s="8">
        <f t="shared" si="80"/>
        <v>119.67423256949087</v>
      </c>
      <c r="Z81" s="8">
        <f t="shared" si="80"/>
        <v>147.37856500131545</v>
      </c>
      <c r="AA81" s="8">
        <f t="shared" si="80"/>
        <v>151.17912447888972</v>
      </c>
      <c r="AB81" s="8">
        <f t="shared" si="80"/>
        <v>158.74557317573931</v>
      </c>
      <c r="AC81" s="8">
        <f t="shared" si="80"/>
        <v>164.06475769599194</v>
      </c>
      <c r="AD81" s="8">
        <f t="shared" si="80"/>
        <v>196.21554047119275</v>
      </c>
      <c r="AE81" s="64"/>
    </row>
    <row r="82" spans="1:31" outlineLevel="1">
      <c r="D82" s="70" t="s">
        <v>175</v>
      </c>
      <c r="G82" s="233">
        <v>0</v>
      </c>
      <c r="H82" s="233">
        <v>0</v>
      </c>
      <c r="I82" s="233">
        <v>0</v>
      </c>
      <c r="J82" s="233">
        <v>0</v>
      </c>
      <c r="K82" s="233">
        <v>0</v>
      </c>
      <c r="L82" s="233">
        <v>0</v>
      </c>
      <c r="M82" s="233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164">
        <f>U82</f>
        <v>0</v>
      </c>
      <c r="W82" s="164">
        <f t="shared" ref="W82:AD82" si="81">V82</f>
        <v>0</v>
      </c>
      <c r="X82" s="164">
        <f t="shared" si="81"/>
        <v>0</v>
      </c>
      <c r="Y82" s="164">
        <f t="shared" si="81"/>
        <v>0</v>
      </c>
      <c r="Z82" s="164">
        <f t="shared" si="81"/>
        <v>0</v>
      </c>
      <c r="AA82" s="164">
        <f t="shared" si="81"/>
        <v>0</v>
      </c>
      <c r="AB82" s="164">
        <f t="shared" si="81"/>
        <v>0</v>
      </c>
      <c r="AC82" s="164">
        <f t="shared" si="81"/>
        <v>0</v>
      </c>
      <c r="AD82" s="164">
        <f t="shared" si="81"/>
        <v>0</v>
      </c>
      <c r="AE82" s="7"/>
    </row>
    <row r="83" spans="1:31" outlineLevel="1">
      <c r="D83" s="70" t="s">
        <v>106</v>
      </c>
      <c r="G83" s="78">
        <f t="shared" ref="G83:AD83" si="82">-G18</f>
        <v>-11.734999999999999</v>
      </c>
      <c r="H83" s="78">
        <f t="shared" si="82"/>
        <v>-17.652000000000001</v>
      </c>
      <c r="I83" s="78">
        <f t="shared" si="82"/>
        <v>-21.119</v>
      </c>
      <c r="J83" s="78">
        <f t="shared" si="82"/>
        <v>-25.149000000000001</v>
      </c>
      <c r="K83" s="78">
        <f t="shared" si="82"/>
        <v>-29.646000000000001</v>
      </c>
      <c r="L83" s="78">
        <f t="shared" si="82"/>
        <v>-31.617999999999999</v>
      </c>
      <c r="M83" s="78">
        <f t="shared" si="82"/>
        <v>-29.814</v>
      </c>
      <c r="N83" s="78">
        <f t="shared" si="82"/>
        <v>-42.820999999999998</v>
      </c>
      <c r="O83" s="78">
        <f t="shared" si="82"/>
        <v>-45.204000000000001</v>
      </c>
      <c r="P83" s="78">
        <f t="shared" si="82"/>
        <v>-44.173999999999999</v>
      </c>
      <c r="Q83" s="78">
        <f t="shared" si="82"/>
        <v>-38.942</v>
      </c>
      <c r="R83" s="78">
        <f t="shared" si="82"/>
        <v>-49.37700000000001</v>
      </c>
      <c r="S83" s="78">
        <f t="shared" si="82"/>
        <v>-49.642999999999994</v>
      </c>
      <c r="T83" s="78">
        <f t="shared" si="82"/>
        <v>-57.63</v>
      </c>
      <c r="U83" s="78">
        <f t="shared" si="82"/>
        <v>-67.284999999999997</v>
      </c>
      <c r="V83" s="78">
        <f t="shared" si="82"/>
        <v>-86.848530780785467</v>
      </c>
      <c r="W83" s="78">
        <f t="shared" si="82"/>
        <v>-83.774969090972277</v>
      </c>
      <c r="X83" s="78">
        <f t="shared" si="82"/>
        <v>-86.146668067232</v>
      </c>
      <c r="Y83" s="78">
        <f t="shared" si="82"/>
        <v>-87.323695670896043</v>
      </c>
      <c r="Z83" s="78">
        <f t="shared" si="82"/>
        <v>-106.89288681963809</v>
      </c>
      <c r="AA83" s="78">
        <f t="shared" si="82"/>
        <v>-108.99151490977484</v>
      </c>
      <c r="AB83" s="78">
        <f t="shared" si="82"/>
        <v>-113.76067694732787</v>
      </c>
      <c r="AC83" s="78">
        <f t="shared" si="82"/>
        <v>-116.86885107880933</v>
      </c>
      <c r="AD83" s="78">
        <f t="shared" si="82"/>
        <v>-138.93542604989563</v>
      </c>
      <c r="AE83" s="7"/>
    </row>
    <row r="84" spans="1:31" outlineLevel="1">
      <c r="D84" s="70" t="s">
        <v>127</v>
      </c>
      <c r="G84" s="78">
        <f t="shared" ref="G84:AD84" si="83">-G20</f>
        <v>7.8E-2</v>
      </c>
      <c r="H84" s="78">
        <f t="shared" si="83"/>
        <v>-8.1000000000000003E-2</v>
      </c>
      <c r="I84" s="78">
        <f t="shared" si="83"/>
        <v>-6.0999999999999999E-2</v>
      </c>
      <c r="J84" s="78">
        <f t="shared" si="83"/>
        <v>0.28800000000000003</v>
      </c>
      <c r="K84" s="78">
        <f t="shared" si="83"/>
        <v>-0.23400000000000001</v>
      </c>
      <c r="L84" s="78">
        <f t="shared" si="83"/>
        <v>-0.24399999999999999</v>
      </c>
      <c r="M84" s="78">
        <f t="shared" si="83"/>
        <v>-0.46600000000000003</v>
      </c>
      <c r="N84" s="78">
        <f t="shared" si="83"/>
        <v>0.22499999999999998</v>
      </c>
      <c r="O84" s="78">
        <f t="shared" si="83"/>
        <v>1.619</v>
      </c>
      <c r="P84" s="78">
        <f t="shared" si="83"/>
        <v>-0.999</v>
      </c>
      <c r="Q84" s="78">
        <f t="shared" si="83"/>
        <v>-0.50600000000000001</v>
      </c>
      <c r="R84" s="78">
        <f t="shared" si="83"/>
        <v>-1.7229999999999999</v>
      </c>
      <c r="S84" s="78">
        <f t="shared" si="83"/>
        <v>-1.0929999999999997</v>
      </c>
      <c r="T84" s="78">
        <f t="shared" si="83"/>
        <v>-1.913</v>
      </c>
      <c r="U84" s="78">
        <f t="shared" si="83"/>
        <v>8.4909999999999997</v>
      </c>
      <c r="V84" s="78">
        <f t="shared" si="83"/>
        <v>0</v>
      </c>
      <c r="W84" s="78">
        <f t="shared" si="83"/>
        <v>0</v>
      </c>
      <c r="X84" s="78">
        <f t="shared" si="83"/>
        <v>0</v>
      </c>
      <c r="Y84" s="78">
        <f t="shared" si="83"/>
        <v>0</v>
      </c>
      <c r="Z84" s="78">
        <f t="shared" si="83"/>
        <v>0</v>
      </c>
      <c r="AA84" s="78">
        <f t="shared" si="83"/>
        <v>0</v>
      </c>
      <c r="AB84" s="78">
        <f t="shared" si="83"/>
        <v>0</v>
      </c>
      <c r="AC84" s="78">
        <f t="shared" si="83"/>
        <v>0</v>
      </c>
      <c r="AD84" s="78">
        <f t="shared" si="83"/>
        <v>0</v>
      </c>
      <c r="AE84" s="7"/>
    </row>
    <row r="85" spans="1:31" s="3" customFormat="1" outlineLevel="1">
      <c r="A85" s="110" t="s">
        <v>103</v>
      </c>
      <c r="B85" s="143"/>
      <c r="D85" s="2" t="s">
        <v>103</v>
      </c>
      <c r="E85" s="2"/>
      <c r="F85" s="2"/>
      <c r="G85" s="8">
        <f t="shared" ref="G85:AD85" si="84">SUM(G81:G84)</f>
        <v>5.6069999999999967</v>
      </c>
      <c r="H85" s="8">
        <f t="shared" si="84"/>
        <v>5.3310000000000057</v>
      </c>
      <c r="I85" s="8">
        <f t="shared" si="84"/>
        <v>-0.25199999999998829</v>
      </c>
      <c r="J85" s="8">
        <f t="shared" si="84"/>
        <v>5.7079999999999593</v>
      </c>
      <c r="K85" s="8">
        <f t="shared" si="84"/>
        <v>8.1899999999999924</v>
      </c>
      <c r="L85" s="8">
        <f t="shared" si="84"/>
        <v>5.5520000000000174</v>
      </c>
      <c r="M85" s="8">
        <f t="shared" si="84"/>
        <v>6.0469999999999979</v>
      </c>
      <c r="N85" s="8">
        <f t="shared" si="84"/>
        <v>12.007000000000096</v>
      </c>
      <c r="O85" s="8">
        <f t="shared" si="84"/>
        <v>12.627999999999993</v>
      </c>
      <c r="P85" s="8">
        <f t="shared" si="84"/>
        <v>11.072000000000005</v>
      </c>
      <c r="Q85" s="8">
        <f t="shared" si="84"/>
        <v>14.246000000000016</v>
      </c>
      <c r="R85" s="8">
        <f t="shared" si="84"/>
        <v>21.336999999999946</v>
      </c>
      <c r="S85" s="8">
        <f t="shared" si="84"/>
        <v>17.813000000000013</v>
      </c>
      <c r="T85" s="8">
        <f>SUM(T81:T84)</f>
        <v>19.872999999999937</v>
      </c>
      <c r="U85" s="8">
        <f t="shared" si="84"/>
        <v>25.139000000000053</v>
      </c>
      <c r="V85" s="8">
        <f t="shared" si="84"/>
        <v>26.964233442530286</v>
      </c>
      <c r="W85" s="8">
        <f t="shared" si="84"/>
        <v>29.657815337901511</v>
      </c>
      <c r="X85" s="8">
        <f t="shared" si="84"/>
        <v>31.20429181543976</v>
      </c>
      <c r="Y85" s="8">
        <f t="shared" si="84"/>
        <v>32.350536898594825</v>
      </c>
      <c r="Z85" s="8">
        <f t="shared" si="84"/>
        <v>40.485678181677358</v>
      </c>
      <c r="AA85" s="8">
        <f t="shared" si="84"/>
        <v>42.187609569114883</v>
      </c>
      <c r="AB85" s="8">
        <f t="shared" si="84"/>
        <v>44.984896228411444</v>
      </c>
      <c r="AC85" s="8">
        <f t="shared" si="84"/>
        <v>47.195906617182615</v>
      </c>
      <c r="AD85" s="8">
        <f t="shared" si="84"/>
        <v>57.280114421297128</v>
      </c>
      <c r="AE85" s="64"/>
    </row>
    <row r="86" spans="1:31" outlineLevel="1">
      <c r="A86" s="110" t="s">
        <v>7</v>
      </c>
      <c r="D86" s="70" t="s">
        <v>7</v>
      </c>
      <c r="G86" s="78">
        <f t="shared" ref="G86:AD86" si="85">-G19</f>
        <v>-0.99</v>
      </c>
      <c r="H86" s="78">
        <f t="shared" si="85"/>
        <v>-1.867</v>
      </c>
      <c r="I86" s="78">
        <f t="shared" si="85"/>
        <v>-2.0019999999999998</v>
      </c>
      <c r="J86" s="78">
        <f t="shared" si="85"/>
        <v>-2.0970000000000004</v>
      </c>
      <c r="K86" s="78">
        <f t="shared" si="85"/>
        <v>-3.4710000000000001</v>
      </c>
      <c r="L86" s="78">
        <f t="shared" si="85"/>
        <v>-3.851</v>
      </c>
      <c r="M86" s="78">
        <f t="shared" si="85"/>
        <v>-4.6630000000000003</v>
      </c>
      <c r="N86" s="78">
        <f t="shared" si="85"/>
        <v>-5.902000000000001</v>
      </c>
      <c r="O86" s="78">
        <f t="shared" si="85"/>
        <v>-6.7789999999999999</v>
      </c>
      <c r="P86" s="78">
        <f t="shared" si="85"/>
        <v>-7.0190000000000001</v>
      </c>
      <c r="Q86" s="78">
        <f t="shared" si="85"/>
        <v>-6.4790000000000001</v>
      </c>
      <c r="R86" s="78">
        <f t="shared" si="85"/>
        <v>-6.7719999999999985</v>
      </c>
      <c r="S86" s="78">
        <f t="shared" si="85"/>
        <v>-7.24</v>
      </c>
      <c r="T86" s="78">
        <f t="shared" si="85"/>
        <v>-9.07</v>
      </c>
      <c r="U86" s="78">
        <f t="shared" si="85"/>
        <v>-10.324</v>
      </c>
      <c r="V86" s="78">
        <f t="shared" si="85"/>
        <v>-12.413674213139622</v>
      </c>
      <c r="W86" s="78">
        <f t="shared" si="85"/>
        <v>-13.167728373995903</v>
      </c>
      <c r="X86" s="78">
        <f t="shared" si="85"/>
        <v>-13.823743604095688</v>
      </c>
      <c r="Y86" s="78">
        <f t="shared" si="85"/>
        <v>-14.576453052146151</v>
      </c>
      <c r="Z86" s="78">
        <f t="shared" si="85"/>
        <v>-15.29671688969856</v>
      </c>
      <c r="AA86" s="78">
        <f t="shared" si="85"/>
        <v>-16.634081564850867</v>
      </c>
      <c r="AB86" s="78">
        <f t="shared" si="85"/>
        <v>-17.912842046430111</v>
      </c>
      <c r="AC86" s="78">
        <f t="shared" si="85"/>
        <v>-19.272919656905692</v>
      </c>
      <c r="AD86" s="78">
        <f t="shared" si="85"/>
        <v>-20.597435579030623</v>
      </c>
      <c r="AE86" s="7"/>
    </row>
    <row r="87" spans="1:31" outlineLevel="1">
      <c r="D87" s="70" t="s">
        <v>107</v>
      </c>
      <c r="G87" s="233">
        <v>0</v>
      </c>
      <c r="H87" s="233">
        <v>0</v>
      </c>
      <c r="I87" s="233">
        <v>0</v>
      </c>
      <c r="J87" s="233">
        <v>0</v>
      </c>
      <c r="K87" s="233">
        <v>0</v>
      </c>
      <c r="L87" s="233">
        <v>0</v>
      </c>
      <c r="M87" s="233">
        <v>0</v>
      </c>
      <c r="N87" s="233">
        <v>0</v>
      </c>
      <c r="O87" s="233">
        <v>0</v>
      </c>
      <c r="P87" s="233">
        <v>0</v>
      </c>
      <c r="Q87" s="233">
        <v>0</v>
      </c>
      <c r="R87" s="233">
        <v>0</v>
      </c>
      <c r="S87" s="233">
        <v>0</v>
      </c>
      <c r="T87" s="233">
        <v>0</v>
      </c>
      <c r="U87" s="233">
        <v>0</v>
      </c>
      <c r="V87" s="164">
        <f>U87</f>
        <v>0</v>
      </c>
      <c r="W87" s="164">
        <f t="shared" ref="W87:AD92" si="86">V87</f>
        <v>0</v>
      </c>
      <c r="X87" s="164">
        <f t="shared" si="86"/>
        <v>0</v>
      </c>
      <c r="Y87" s="164">
        <f t="shared" si="86"/>
        <v>0</v>
      </c>
      <c r="Z87" s="164">
        <f t="shared" si="86"/>
        <v>0</v>
      </c>
      <c r="AA87" s="164">
        <f t="shared" si="86"/>
        <v>0</v>
      </c>
      <c r="AB87" s="164">
        <f t="shared" si="86"/>
        <v>0</v>
      </c>
      <c r="AC87" s="164">
        <f t="shared" si="86"/>
        <v>0</v>
      </c>
      <c r="AD87" s="164">
        <f t="shared" si="86"/>
        <v>0</v>
      </c>
      <c r="AE87" s="7"/>
    </row>
    <row r="88" spans="1:31" outlineLevel="1">
      <c r="D88" s="70" t="s">
        <v>200</v>
      </c>
      <c r="G88" s="233">
        <v>0</v>
      </c>
      <c r="H88" s="233">
        <v>0</v>
      </c>
      <c r="I88" s="233">
        <v>0</v>
      </c>
      <c r="J88" s="233">
        <v>0</v>
      </c>
      <c r="K88" s="233">
        <v>0</v>
      </c>
      <c r="L88" s="233">
        <v>0</v>
      </c>
      <c r="M88" s="233">
        <v>0</v>
      </c>
      <c r="N88" s="233">
        <v>0</v>
      </c>
      <c r="O88" s="233">
        <v>0</v>
      </c>
      <c r="P88" s="233">
        <v>0</v>
      </c>
      <c r="Q88" s="233">
        <v>0</v>
      </c>
      <c r="R88" s="233">
        <v>0</v>
      </c>
      <c r="S88" s="233">
        <v>0</v>
      </c>
      <c r="T88" s="233">
        <v>0</v>
      </c>
      <c r="U88" s="233">
        <v>0</v>
      </c>
      <c r="V88" s="164">
        <f>U88</f>
        <v>0</v>
      </c>
      <c r="W88" s="164">
        <f t="shared" si="86"/>
        <v>0</v>
      </c>
      <c r="X88" s="164">
        <f t="shared" si="86"/>
        <v>0</v>
      </c>
      <c r="Y88" s="164">
        <f t="shared" si="86"/>
        <v>0</v>
      </c>
      <c r="Z88" s="164">
        <f t="shared" si="86"/>
        <v>0</v>
      </c>
      <c r="AA88" s="164">
        <f t="shared" si="86"/>
        <v>0</v>
      </c>
      <c r="AB88" s="164">
        <f t="shared" si="86"/>
        <v>0</v>
      </c>
      <c r="AC88" s="164">
        <f t="shared" si="86"/>
        <v>0</v>
      </c>
      <c r="AD88" s="164">
        <f t="shared" si="86"/>
        <v>0</v>
      </c>
      <c r="AE88" s="7"/>
    </row>
    <row r="89" spans="1:31" outlineLevel="1">
      <c r="D89" s="70" t="s">
        <v>252</v>
      </c>
      <c r="G89" s="78">
        <f t="shared" ref="G89:AD89" si="87">-G22</f>
        <v>-3.347</v>
      </c>
      <c r="H89" s="78">
        <f t="shared" si="87"/>
        <v>-6.9359999999999999</v>
      </c>
      <c r="I89" s="78">
        <f t="shared" si="87"/>
        <v>-2.7319999999999998</v>
      </c>
      <c r="J89" s="78">
        <f t="shared" si="87"/>
        <v>-4.4620000000000015</v>
      </c>
      <c r="K89" s="78">
        <f t="shared" si="87"/>
        <v>-3.1779999999999999</v>
      </c>
      <c r="L89" s="78">
        <f t="shared" si="87"/>
        <v>-0.438</v>
      </c>
      <c r="M89" s="78">
        <f t="shared" si="87"/>
        <v>-4.5110000000000001</v>
      </c>
      <c r="N89" s="78">
        <f t="shared" si="87"/>
        <v>-2.5129999999999999</v>
      </c>
      <c r="O89" s="78">
        <f t="shared" si="87"/>
        <v>-1.9390000000000001</v>
      </c>
      <c r="P89" s="78">
        <f t="shared" si="87"/>
        <v>-4.3070000000000004</v>
      </c>
      <c r="Q89" s="78">
        <f t="shared" si="87"/>
        <v>-1.865</v>
      </c>
      <c r="R89" s="78">
        <f t="shared" si="87"/>
        <v>-6.952</v>
      </c>
      <c r="S89" s="78">
        <f t="shared" si="87"/>
        <v>-3.0509999999999993</v>
      </c>
      <c r="T89" s="78">
        <f t="shared" si="87"/>
        <v>-5.3540000000000001</v>
      </c>
      <c r="U89" s="78">
        <f t="shared" si="87"/>
        <v>-8.702</v>
      </c>
      <c r="V89" s="78">
        <f t="shared" si="87"/>
        <v>-12.787666208565843</v>
      </c>
      <c r="W89" s="78">
        <f t="shared" si="87"/>
        <v>-14.104437041215562</v>
      </c>
      <c r="X89" s="78">
        <f t="shared" si="87"/>
        <v>-11.656836742903138</v>
      </c>
      <c r="Y89" s="78">
        <f t="shared" si="87"/>
        <v>-6.1448153136285644</v>
      </c>
      <c r="Z89" s="78">
        <f t="shared" si="87"/>
        <v>-7.4442565448260032</v>
      </c>
      <c r="AA89" s="78">
        <f t="shared" si="87"/>
        <v>-8.2151115124854996</v>
      </c>
      <c r="AB89" s="78">
        <f t="shared" si="87"/>
        <v>-8.9949764732734856</v>
      </c>
      <c r="AC89" s="78">
        <f t="shared" si="87"/>
        <v>-9.7838514271899584</v>
      </c>
      <c r="AD89" s="78">
        <f t="shared" si="87"/>
        <v>-10.581736374234918</v>
      </c>
      <c r="AE89" s="7"/>
    </row>
    <row r="90" spans="1:31" outlineLevel="1">
      <c r="D90" s="70" t="s">
        <v>127</v>
      </c>
      <c r="G90" s="233">
        <v>0</v>
      </c>
      <c r="H90" s="233">
        <v>0</v>
      </c>
      <c r="I90" s="233">
        <v>0</v>
      </c>
      <c r="J90" s="233">
        <v>0</v>
      </c>
      <c r="K90" s="233">
        <v>0</v>
      </c>
      <c r="L90" s="233">
        <v>0</v>
      </c>
      <c r="M90" s="233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164">
        <f>U90</f>
        <v>0</v>
      </c>
      <c r="W90" s="164">
        <f t="shared" si="86"/>
        <v>0</v>
      </c>
      <c r="X90" s="164">
        <f t="shared" si="86"/>
        <v>0</v>
      </c>
      <c r="Y90" s="164">
        <f t="shared" si="86"/>
        <v>0</v>
      </c>
      <c r="Z90" s="164">
        <f t="shared" si="86"/>
        <v>0</v>
      </c>
      <c r="AA90" s="164">
        <f t="shared" si="86"/>
        <v>0</v>
      </c>
      <c r="AB90" s="164">
        <f t="shared" si="86"/>
        <v>0</v>
      </c>
      <c r="AC90" s="164">
        <f t="shared" si="86"/>
        <v>0</v>
      </c>
      <c r="AD90" s="164">
        <f t="shared" si="86"/>
        <v>0</v>
      </c>
      <c r="AE90" s="7"/>
    </row>
    <row r="91" spans="1:31" s="3" customFormat="1" outlineLevel="1">
      <c r="A91" s="110" t="s">
        <v>4</v>
      </c>
      <c r="B91" s="143"/>
      <c r="D91" s="2" t="s">
        <v>4</v>
      </c>
      <c r="E91" s="2"/>
      <c r="F91" s="2"/>
      <c r="G91" s="8">
        <f t="shared" ref="G91:AD91" si="88">SUM(G85:G90)</f>
        <v>1.2699999999999965</v>
      </c>
      <c r="H91" s="8">
        <f t="shared" si="88"/>
        <v>-3.4719999999999942</v>
      </c>
      <c r="I91" s="8">
        <f t="shared" si="88"/>
        <v>-4.9859999999999882</v>
      </c>
      <c r="J91" s="8">
        <f t="shared" si="88"/>
        <v>-0.85100000000004261</v>
      </c>
      <c r="K91" s="8">
        <f t="shared" si="88"/>
        <v>1.5409999999999924</v>
      </c>
      <c r="L91" s="8">
        <f t="shared" si="88"/>
        <v>1.2630000000000174</v>
      </c>
      <c r="M91" s="8">
        <f t="shared" si="88"/>
        <v>-3.1270000000000024</v>
      </c>
      <c r="N91" s="8">
        <f t="shared" si="88"/>
        <v>3.5920000000000947</v>
      </c>
      <c r="O91" s="8">
        <f t="shared" si="88"/>
        <v>3.909999999999993</v>
      </c>
      <c r="P91" s="8">
        <f t="shared" si="88"/>
        <v>-0.25399999999999601</v>
      </c>
      <c r="Q91" s="8">
        <f t="shared" si="88"/>
        <v>5.9020000000000161</v>
      </c>
      <c r="R91" s="8">
        <f t="shared" si="88"/>
        <v>7.612999999999948</v>
      </c>
      <c r="S91" s="8">
        <f t="shared" si="88"/>
        <v>7.5220000000000136</v>
      </c>
      <c r="T91" s="8">
        <f>SUM(T85:T90)</f>
        <v>5.4489999999999368</v>
      </c>
      <c r="U91" s="8">
        <f t="shared" si="88"/>
        <v>6.1130000000000528</v>
      </c>
      <c r="V91" s="8">
        <f t="shared" si="88"/>
        <v>1.762893020824821</v>
      </c>
      <c r="W91" s="8">
        <f t="shared" si="88"/>
        <v>2.3856499226900461</v>
      </c>
      <c r="X91" s="8">
        <f t="shared" si="88"/>
        <v>5.723711468440932</v>
      </c>
      <c r="Y91" s="8">
        <f t="shared" si="88"/>
        <v>11.629268532820111</v>
      </c>
      <c r="Z91" s="8">
        <f t="shared" si="88"/>
        <v>17.744704747152795</v>
      </c>
      <c r="AA91" s="8">
        <f t="shared" si="88"/>
        <v>17.338416491778517</v>
      </c>
      <c r="AB91" s="8">
        <f t="shared" si="88"/>
        <v>18.077077708707847</v>
      </c>
      <c r="AC91" s="8">
        <f t="shared" si="88"/>
        <v>18.139135533086964</v>
      </c>
      <c r="AD91" s="8">
        <f t="shared" si="88"/>
        <v>26.100942468031587</v>
      </c>
      <c r="AE91" s="64"/>
    </row>
    <row r="92" spans="1:31" outlineLevel="1">
      <c r="D92" s="70" t="s">
        <v>108</v>
      </c>
      <c r="G92" s="233">
        <v>0</v>
      </c>
      <c r="H92" s="233">
        <v>0</v>
      </c>
      <c r="I92" s="233">
        <v>0</v>
      </c>
      <c r="J92" s="233">
        <v>0</v>
      </c>
      <c r="K92" s="233">
        <v>0</v>
      </c>
      <c r="L92" s="233">
        <v>0</v>
      </c>
      <c r="M92" s="233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164">
        <f>U92</f>
        <v>0</v>
      </c>
      <c r="W92" s="164">
        <f t="shared" si="86"/>
        <v>0</v>
      </c>
      <c r="X92" s="164">
        <f t="shared" si="86"/>
        <v>0</v>
      </c>
      <c r="Y92" s="164">
        <f t="shared" si="86"/>
        <v>0</v>
      </c>
      <c r="Z92" s="164">
        <f t="shared" si="86"/>
        <v>0</v>
      </c>
      <c r="AA92" s="164">
        <f t="shared" si="86"/>
        <v>0</v>
      </c>
      <c r="AB92" s="164">
        <f t="shared" si="86"/>
        <v>0</v>
      </c>
      <c r="AC92" s="164">
        <f t="shared" si="86"/>
        <v>0</v>
      </c>
      <c r="AD92" s="164">
        <f t="shared" si="86"/>
        <v>0</v>
      </c>
      <c r="AE92" s="7"/>
    </row>
    <row r="93" spans="1:31" outlineLevel="1">
      <c r="D93" s="70" t="s">
        <v>109</v>
      </c>
      <c r="G93" s="78">
        <f t="shared" ref="G93:AD93" si="89">-SUM(G24:G25)</f>
        <v>-1.248</v>
      </c>
      <c r="H93" s="78">
        <f t="shared" si="89"/>
        <v>-2.1419999999999999</v>
      </c>
      <c r="I93" s="78">
        <f t="shared" si="89"/>
        <v>-1.6080000000000001</v>
      </c>
      <c r="J93" s="78">
        <f t="shared" si="89"/>
        <v>-2.551000000000001</v>
      </c>
      <c r="K93" s="78">
        <f t="shared" si="89"/>
        <v>-3.3809999999999998</v>
      </c>
      <c r="L93" s="78">
        <f t="shared" si="89"/>
        <v>-3.2210000000000001</v>
      </c>
      <c r="M93" s="78">
        <f t="shared" si="89"/>
        <v>-3.88</v>
      </c>
      <c r="N93" s="78">
        <f t="shared" si="89"/>
        <v>-5.5440000000000005</v>
      </c>
      <c r="O93" s="78">
        <f t="shared" si="89"/>
        <v>-5.4989999999999997</v>
      </c>
      <c r="P93" s="78">
        <f t="shared" si="89"/>
        <v>-5.3159999999999998</v>
      </c>
      <c r="Q93" s="78">
        <f t="shared" si="89"/>
        <v>-5.1379999999999999</v>
      </c>
      <c r="R93" s="78">
        <f t="shared" si="89"/>
        <v>-3.7190000000000012</v>
      </c>
      <c r="S93" s="78">
        <f t="shared" si="89"/>
        <v>-2.42</v>
      </c>
      <c r="T93" s="78">
        <f t="shared" si="89"/>
        <v>-1.7270000000000001</v>
      </c>
      <c r="U93" s="78">
        <f t="shared" si="89"/>
        <v>-1.528</v>
      </c>
      <c r="V93" s="78">
        <f t="shared" si="89"/>
        <v>-1.7308419704293401</v>
      </c>
      <c r="W93" s="78">
        <f t="shared" si="89"/>
        <v>-1.9291980774159216</v>
      </c>
      <c r="X93" s="78">
        <f t="shared" si="89"/>
        <v>-2.0331521962750472</v>
      </c>
      <c r="Y93" s="78">
        <f t="shared" si="89"/>
        <v>-2.1333182683266538</v>
      </c>
      <c r="Z93" s="78">
        <f t="shared" si="89"/>
        <v>-2.423961504993227</v>
      </c>
      <c r="AA93" s="78">
        <f t="shared" si="89"/>
        <v>-2.7435302131083299</v>
      </c>
      <c r="AB93" s="78">
        <f t="shared" si="89"/>
        <v>-3.0383392964568499</v>
      </c>
      <c r="AC93" s="78">
        <f t="shared" si="89"/>
        <v>-3.359828839299436</v>
      </c>
      <c r="AD93" s="78">
        <f t="shared" si="89"/>
        <v>-3.9275931012982452</v>
      </c>
      <c r="AE93" s="7"/>
    </row>
    <row r="94" spans="1:31" s="3" customFormat="1" outlineLevel="1">
      <c r="A94" s="110" t="s">
        <v>110</v>
      </c>
      <c r="B94" s="143"/>
      <c r="D94" s="2" t="s">
        <v>110</v>
      </c>
      <c r="E94" s="2"/>
      <c r="F94" s="2"/>
      <c r="G94" s="8">
        <f t="shared" ref="G94:S94" si="90">SUM(G91:G93)</f>
        <v>2.1999999999996467E-2</v>
      </c>
      <c r="H94" s="8">
        <f t="shared" si="90"/>
        <v>-5.6139999999999937</v>
      </c>
      <c r="I94" s="8">
        <f t="shared" si="90"/>
        <v>-6.5939999999999888</v>
      </c>
      <c r="J94" s="8">
        <f t="shared" si="90"/>
        <v>-3.4020000000000437</v>
      </c>
      <c r="K94" s="8">
        <f t="shared" si="90"/>
        <v>-1.8400000000000074</v>
      </c>
      <c r="L94" s="8">
        <f t="shared" si="90"/>
        <v>-1.9579999999999826</v>
      </c>
      <c r="M94" s="8">
        <f t="shared" si="90"/>
        <v>-7.0070000000000023</v>
      </c>
      <c r="N94" s="8">
        <f t="shared" si="90"/>
        <v>-1.9519999999999058</v>
      </c>
      <c r="O94" s="8">
        <f t="shared" si="90"/>
        <v>-1.5890000000000066</v>
      </c>
      <c r="P94" s="8">
        <f t="shared" si="90"/>
        <v>-5.5699999999999958</v>
      </c>
      <c r="Q94" s="8">
        <f t="shared" si="90"/>
        <v>0.76400000000001622</v>
      </c>
      <c r="R94" s="8">
        <f t="shared" si="90"/>
        <v>3.8939999999999468</v>
      </c>
      <c r="S94" s="8">
        <f t="shared" si="90"/>
        <v>5.1020000000000136</v>
      </c>
      <c r="T94" s="8">
        <f>SUM(T91:T93)</f>
        <v>3.7219999999999365</v>
      </c>
      <c r="U94" s="8">
        <f t="shared" ref="U94:AD94" si="91">SUM(U91:U93)</f>
        <v>4.5850000000000524</v>
      </c>
      <c r="V94" s="8">
        <f t="shared" si="91"/>
        <v>3.2051050395480951E-2</v>
      </c>
      <c r="W94" s="8">
        <f t="shared" si="91"/>
        <v>0.45645184527412441</v>
      </c>
      <c r="X94" s="8">
        <f t="shared" si="91"/>
        <v>3.6905592721658849</v>
      </c>
      <c r="Y94" s="8">
        <f t="shared" si="91"/>
        <v>9.495950264493457</v>
      </c>
      <c r="Z94" s="8">
        <f t="shared" si="91"/>
        <v>15.320743242159569</v>
      </c>
      <c r="AA94" s="8">
        <f t="shared" si="91"/>
        <v>14.594886278670188</v>
      </c>
      <c r="AB94" s="8">
        <f t="shared" si="91"/>
        <v>15.038738412250996</v>
      </c>
      <c r="AC94" s="8">
        <f t="shared" si="91"/>
        <v>14.779306693787529</v>
      </c>
      <c r="AD94" s="8">
        <f t="shared" si="91"/>
        <v>22.173349366733341</v>
      </c>
      <c r="AE94" s="64"/>
    </row>
    <row r="95" spans="1:31" outlineLevel="1">
      <c r="D95" s="70" t="s">
        <v>111</v>
      </c>
      <c r="G95" s="78">
        <f t="shared" ref="G95:U95" si="92">-G27</f>
        <v>0</v>
      </c>
      <c r="H95" s="78">
        <f t="shared" si="92"/>
        <v>0</v>
      </c>
      <c r="I95" s="78">
        <f t="shared" si="92"/>
        <v>-1.0940000000000001</v>
      </c>
      <c r="J95" s="78">
        <f t="shared" si="92"/>
        <v>1.0939999999999999</v>
      </c>
      <c r="K95" s="78">
        <f t="shared" si="92"/>
        <v>0</v>
      </c>
      <c r="L95" s="78">
        <f t="shared" si="92"/>
        <v>0</v>
      </c>
      <c r="M95" s="78">
        <f t="shared" si="92"/>
        <v>0</v>
      </c>
      <c r="N95" s="78">
        <f t="shared" si="92"/>
        <v>0</v>
      </c>
      <c r="O95" s="78">
        <f t="shared" si="92"/>
        <v>0</v>
      </c>
      <c r="P95" s="78">
        <f t="shared" si="92"/>
        <v>0</v>
      </c>
      <c r="Q95" s="78">
        <f t="shared" si="92"/>
        <v>0</v>
      </c>
      <c r="R95" s="78">
        <f t="shared" si="92"/>
        <v>0</v>
      </c>
      <c r="S95" s="78">
        <f t="shared" si="92"/>
        <v>0</v>
      </c>
      <c r="T95" s="78">
        <f t="shared" si="92"/>
        <v>0</v>
      </c>
      <c r="U95" s="78">
        <f t="shared" si="92"/>
        <v>0</v>
      </c>
      <c r="V95" s="69">
        <f t="shared" ref="V95:AD95" si="93">-V94*V97</f>
        <v>-8.0127625988702443E-5</v>
      </c>
      <c r="W95" s="69">
        <f t="shared" si="93"/>
        <v>-1.0270166518667795E-2</v>
      </c>
      <c r="X95" s="69">
        <f t="shared" si="93"/>
        <v>-0.19375436178870892</v>
      </c>
      <c r="Y95" s="69">
        <f t="shared" si="93"/>
        <v>-0.78341589682071011</v>
      </c>
      <c r="Z95" s="69">
        <f t="shared" si="93"/>
        <v>-1.7235836147429513</v>
      </c>
      <c r="AA95" s="69">
        <f t="shared" si="93"/>
        <v>-2.0797712947105018</v>
      </c>
      <c r="AB95" s="69">
        <f t="shared" si="93"/>
        <v>-2.5941823761132965</v>
      </c>
      <c r="AC95" s="69">
        <f t="shared" si="93"/>
        <v>-2.9928096054919742</v>
      </c>
      <c r="AD95" s="69">
        <f t="shared" si="93"/>
        <v>-5.1553037277655012</v>
      </c>
      <c r="AE95" s="7"/>
    </row>
    <row r="96" spans="1:31" s="70" customFormat="1" outlineLevel="1">
      <c r="A96" s="111"/>
      <c r="B96" s="144"/>
      <c r="D96" s="70" t="s">
        <v>113</v>
      </c>
      <c r="G96" s="78">
        <f t="shared" ref="G96:U96" si="94">-G28</f>
        <v>-1.49</v>
      </c>
      <c r="H96" s="78">
        <f t="shared" si="94"/>
        <v>-0.182</v>
      </c>
      <c r="I96" s="78">
        <f t="shared" si="94"/>
        <v>0.91200000000000003</v>
      </c>
      <c r="J96" s="78">
        <f t="shared" si="94"/>
        <v>-1.8880000000000003</v>
      </c>
      <c r="K96" s="78">
        <f t="shared" si="94"/>
        <v>-1.0549999999999999</v>
      </c>
      <c r="L96" s="78">
        <f t="shared" si="94"/>
        <v>-0.4</v>
      </c>
      <c r="M96" s="78">
        <f t="shared" si="94"/>
        <v>-7.0000000000000007E-2</v>
      </c>
      <c r="N96" s="78">
        <f t="shared" si="94"/>
        <v>3.4420000000000002</v>
      </c>
      <c r="O96" s="78">
        <f t="shared" si="94"/>
        <v>0.17299999999999999</v>
      </c>
      <c r="P96" s="78">
        <f t="shared" si="94"/>
        <v>1.169</v>
      </c>
      <c r="Q96" s="78">
        <f t="shared" si="94"/>
        <v>-7.0000000000000007E-2</v>
      </c>
      <c r="R96" s="78">
        <f t="shared" si="94"/>
        <v>-2.9459999999999997</v>
      </c>
      <c r="S96" s="78">
        <f t="shared" si="94"/>
        <v>-1.4359999999999999</v>
      </c>
      <c r="T96" s="78">
        <f t="shared" si="94"/>
        <v>-2.6970000000000001</v>
      </c>
      <c r="U96" s="78">
        <f t="shared" si="94"/>
        <v>1.0999999999999999E-2</v>
      </c>
      <c r="V96" s="69">
        <f t="shared" ref="V96:AD96" si="95">-V94*V98</f>
        <v>-7.9326349728815349E-3</v>
      </c>
      <c r="W96" s="69">
        <f t="shared" si="95"/>
        <v>-9.9278276347122066E-2</v>
      </c>
      <c r="X96" s="69">
        <f t="shared" si="95"/>
        <v>-0.69197986353110341</v>
      </c>
      <c r="Y96" s="69">
        <f t="shared" si="95"/>
        <v>-1.4956121666577196</v>
      </c>
      <c r="Z96" s="69">
        <f t="shared" si="95"/>
        <v>-1.953394763375345</v>
      </c>
      <c r="AA96" s="69">
        <f t="shared" si="95"/>
        <v>-1.4230014121703434</v>
      </c>
      <c r="AB96" s="69">
        <f t="shared" si="95"/>
        <v>-1.0151148428269423</v>
      </c>
      <c r="AC96" s="69">
        <f t="shared" si="95"/>
        <v>-0.5542240010170324</v>
      </c>
      <c r="AD96" s="69">
        <f t="shared" si="95"/>
        <v>-0.1663001202505002</v>
      </c>
      <c r="AE96" s="83"/>
    </row>
    <row r="97" spans="1:31" outlineLevel="1">
      <c r="A97" s="110" t="s">
        <v>112</v>
      </c>
      <c r="D97" s="80" t="s">
        <v>112</v>
      </c>
      <c r="G97" s="81">
        <f t="shared" ref="G97:S97" si="96">IFERROR(-G95/G$94,"na")</f>
        <v>0</v>
      </c>
      <c r="H97" s="81">
        <f t="shared" si="96"/>
        <v>0</v>
      </c>
      <c r="I97" s="81">
        <f t="shared" si="96"/>
        <v>-0.16590840157719169</v>
      </c>
      <c r="J97" s="81">
        <f t="shared" si="96"/>
        <v>0.32157554379776188</v>
      </c>
      <c r="K97" s="81">
        <f t="shared" si="96"/>
        <v>0</v>
      </c>
      <c r="L97" s="81">
        <f t="shared" si="96"/>
        <v>0</v>
      </c>
      <c r="M97" s="81">
        <f t="shared" si="96"/>
        <v>0</v>
      </c>
      <c r="N97" s="81">
        <f t="shared" si="96"/>
        <v>0</v>
      </c>
      <c r="O97" s="81">
        <f t="shared" si="96"/>
        <v>0</v>
      </c>
      <c r="P97" s="81">
        <f t="shared" si="96"/>
        <v>0</v>
      </c>
      <c r="Q97" s="81">
        <f t="shared" si="96"/>
        <v>0</v>
      </c>
      <c r="R97" s="81">
        <f t="shared" si="96"/>
        <v>0</v>
      </c>
      <c r="S97" s="81">
        <f t="shared" si="96"/>
        <v>0</v>
      </c>
      <c r="T97" s="81">
        <f>IFERROR(-T95/T$94,"na")</f>
        <v>0</v>
      </c>
      <c r="U97" s="81">
        <f>IFERROR(-U95/U$94,"na")</f>
        <v>0</v>
      </c>
      <c r="V97" s="82">
        <v>2.5000000000000022E-3</v>
      </c>
      <c r="W97" s="82">
        <f>DCF!$C$31-W98</f>
        <v>2.2499999999999992E-2</v>
      </c>
      <c r="X97" s="82">
        <f>DCF!$C$31-X98</f>
        <v>5.2499999999999991E-2</v>
      </c>
      <c r="Y97" s="82">
        <f>DCF!$C$31-Y98</f>
        <v>8.249999999999999E-2</v>
      </c>
      <c r="Z97" s="82">
        <f>DCF!$C$31-Z98</f>
        <v>0.11249999999999999</v>
      </c>
      <c r="AA97" s="82">
        <f>DCF!$C$31-AA98</f>
        <v>0.14249999999999999</v>
      </c>
      <c r="AB97" s="82">
        <f>DCF!$C$31-AB98</f>
        <v>0.17249999999999999</v>
      </c>
      <c r="AC97" s="82">
        <f>DCF!$C$31-AC98</f>
        <v>0.20249999999999999</v>
      </c>
      <c r="AD97" s="82">
        <f>DCF!$C$31-AD98</f>
        <v>0.23249999999999998</v>
      </c>
      <c r="AE97" s="7"/>
    </row>
    <row r="98" spans="1:31" s="70" customFormat="1" outlineLevel="1">
      <c r="A98" s="110" t="s">
        <v>114</v>
      </c>
      <c r="B98" s="144"/>
      <c r="D98" s="80" t="s">
        <v>114</v>
      </c>
      <c r="G98" s="81">
        <f t="shared" ref="G98:T98" si="97">IFERROR(-G96/G$94,"na")</f>
        <v>67.727272727283605</v>
      </c>
      <c r="H98" s="81">
        <f t="shared" si="97"/>
        <v>-3.24189526184539E-2</v>
      </c>
      <c r="I98" s="81">
        <f t="shared" si="97"/>
        <v>0.1383075523202914</v>
      </c>
      <c r="J98" s="81">
        <f t="shared" si="97"/>
        <v>-0.55496766607877013</v>
      </c>
      <c r="K98" s="81">
        <f t="shared" si="97"/>
        <v>-0.57336956521738891</v>
      </c>
      <c r="L98" s="81">
        <f t="shared" si="97"/>
        <v>-0.20429009193054318</v>
      </c>
      <c r="M98" s="81">
        <f t="shared" si="97"/>
        <v>-9.9900099900099883E-3</v>
      </c>
      <c r="N98" s="81">
        <f t="shared" si="97"/>
        <v>1.7633196721312328</v>
      </c>
      <c r="O98" s="81">
        <f t="shared" si="97"/>
        <v>0.10887350534927581</v>
      </c>
      <c r="P98" s="81">
        <f t="shared" si="97"/>
        <v>0.20987432675044901</v>
      </c>
      <c r="Q98" s="81">
        <f t="shared" si="97"/>
        <v>9.1623036649212716E-2</v>
      </c>
      <c r="R98" s="81">
        <f t="shared" si="97"/>
        <v>0.75654853620956342</v>
      </c>
      <c r="S98" s="81">
        <f t="shared" si="97"/>
        <v>0.28145825166601257</v>
      </c>
      <c r="T98" s="81">
        <f t="shared" si="97"/>
        <v>0.72461042450296775</v>
      </c>
      <c r="U98" s="81">
        <f>IFERROR(-U96/U$94,"na")</f>
        <v>-2.3991275899672569E-3</v>
      </c>
      <c r="V98" s="82">
        <v>0.2475</v>
      </c>
      <c r="W98" s="82">
        <f>MAX(V98-0.03,0)</f>
        <v>0.2175</v>
      </c>
      <c r="X98" s="82">
        <f t="shared" ref="X98:AD98" si="98">MAX(W98-0.03,0)</f>
        <v>0.1875</v>
      </c>
      <c r="Y98" s="82">
        <f t="shared" si="98"/>
        <v>0.1575</v>
      </c>
      <c r="Z98" s="82">
        <f t="shared" si="98"/>
        <v>0.1275</v>
      </c>
      <c r="AA98" s="82">
        <f t="shared" si="98"/>
        <v>9.7500000000000003E-2</v>
      </c>
      <c r="AB98" s="82">
        <f t="shared" si="98"/>
        <v>6.7500000000000004E-2</v>
      </c>
      <c r="AC98" s="82">
        <f t="shared" si="98"/>
        <v>3.7500000000000006E-2</v>
      </c>
      <c r="AD98" s="82">
        <f t="shared" si="98"/>
        <v>7.5000000000000067E-3</v>
      </c>
      <c r="AE98" s="83"/>
    </row>
    <row r="99" spans="1:31" s="3" customFormat="1" outlineLevel="1">
      <c r="A99" s="110" t="s">
        <v>115</v>
      </c>
      <c r="B99" s="143"/>
      <c r="D99" s="2" t="s">
        <v>115</v>
      </c>
      <c r="E99" s="2"/>
      <c r="F99" s="2"/>
      <c r="G99" s="8">
        <f t="shared" ref="G99:S99" si="99">+G94+G95+G96</f>
        <v>-1.4680000000000035</v>
      </c>
      <c r="H99" s="8">
        <f t="shared" si="99"/>
        <v>-5.795999999999994</v>
      </c>
      <c r="I99" s="8">
        <f t="shared" si="99"/>
        <v>-6.7759999999999891</v>
      </c>
      <c r="J99" s="8">
        <f t="shared" si="99"/>
        <v>-4.1960000000000441</v>
      </c>
      <c r="K99" s="8">
        <f t="shared" si="99"/>
        <v>-2.8950000000000076</v>
      </c>
      <c r="L99" s="8">
        <f t="shared" si="99"/>
        <v>-2.3579999999999828</v>
      </c>
      <c r="M99" s="8">
        <f t="shared" si="99"/>
        <v>-7.0770000000000026</v>
      </c>
      <c r="N99" s="8">
        <f t="shared" si="99"/>
        <v>1.4900000000000944</v>
      </c>
      <c r="O99" s="8">
        <f t="shared" si="99"/>
        <v>-1.4160000000000066</v>
      </c>
      <c r="P99" s="8">
        <f t="shared" si="99"/>
        <v>-4.4009999999999962</v>
      </c>
      <c r="Q99" s="8">
        <f t="shared" si="99"/>
        <v>0.69400000000001616</v>
      </c>
      <c r="R99" s="8">
        <f t="shared" si="99"/>
        <v>0.94799999999994711</v>
      </c>
      <c r="S99" s="8">
        <f t="shared" si="99"/>
        <v>3.6660000000000137</v>
      </c>
      <c r="T99" s="8">
        <f>+T94+T95+T96</f>
        <v>1.0249999999999364</v>
      </c>
      <c r="U99" s="8">
        <f>+U94+U95+U96</f>
        <v>4.5960000000000525</v>
      </c>
      <c r="V99" s="8">
        <f>+V94+V95+V96</f>
        <v>2.4038287796610713E-2</v>
      </c>
      <c r="W99" s="8">
        <f>+W94+W95+W96</f>
        <v>0.34690340240833456</v>
      </c>
      <c r="X99" s="8">
        <f t="shared" ref="X99:AD99" si="100">+X94+X95+X96</f>
        <v>2.8048250468460725</v>
      </c>
      <c r="Y99" s="8">
        <f t="shared" si="100"/>
        <v>7.2169222010150271</v>
      </c>
      <c r="Z99" s="8">
        <f t="shared" si="100"/>
        <v>11.643764864041273</v>
      </c>
      <c r="AA99" s="8">
        <f t="shared" si="100"/>
        <v>11.092113571789342</v>
      </c>
      <c r="AB99" s="8">
        <f t="shared" si="100"/>
        <v>11.429441193310756</v>
      </c>
      <c r="AC99" s="8">
        <f t="shared" si="100"/>
        <v>11.232273087278521</v>
      </c>
      <c r="AD99" s="8">
        <f t="shared" si="100"/>
        <v>16.85174551871734</v>
      </c>
      <c r="AE99" s="64"/>
    </row>
    <row r="100" spans="1:31" outlineLevel="1">
      <c r="D100" s="70" t="s">
        <v>116</v>
      </c>
      <c r="G100" s="225">
        <v>0</v>
      </c>
      <c r="H100" s="225">
        <v>0</v>
      </c>
      <c r="I100" s="225">
        <v>0</v>
      </c>
      <c r="J100" s="225">
        <v>0</v>
      </c>
      <c r="K100" s="225">
        <v>0</v>
      </c>
      <c r="L100" s="225">
        <v>0</v>
      </c>
      <c r="M100" s="225">
        <v>0</v>
      </c>
      <c r="N100" s="225">
        <v>0</v>
      </c>
      <c r="O100" s="225">
        <v>0</v>
      </c>
      <c r="P100" s="225">
        <v>0</v>
      </c>
      <c r="Q100" s="225">
        <v>0</v>
      </c>
      <c r="R100" s="225">
        <v>0</v>
      </c>
      <c r="S100" s="225">
        <v>0</v>
      </c>
      <c r="T100" s="225">
        <v>0</v>
      </c>
      <c r="U100" s="225">
        <v>0</v>
      </c>
      <c r="V100" s="164">
        <f t="shared" ref="V100:AD100" si="101">U100</f>
        <v>0</v>
      </c>
      <c r="W100" s="164">
        <f t="shared" si="101"/>
        <v>0</v>
      </c>
      <c r="X100" s="164">
        <f t="shared" si="101"/>
        <v>0</v>
      </c>
      <c r="Y100" s="164">
        <f t="shared" si="101"/>
        <v>0</v>
      </c>
      <c r="Z100" s="164">
        <f t="shared" si="101"/>
        <v>0</v>
      </c>
      <c r="AA100" s="164">
        <f t="shared" si="101"/>
        <v>0</v>
      </c>
      <c r="AB100" s="164">
        <f t="shared" si="101"/>
        <v>0</v>
      </c>
      <c r="AC100" s="164">
        <f t="shared" si="101"/>
        <v>0</v>
      </c>
      <c r="AD100" s="164">
        <f t="shared" si="101"/>
        <v>0</v>
      </c>
      <c r="AE100" s="7"/>
    </row>
    <row r="101" spans="1:31" outlineLevel="1">
      <c r="D101" s="70" t="s">
        <v>117</v>
      </c>
      <c r="G101" s="225">
        <v>0</v>
      </c>
      <c r="H101" s="225">
        <v>0</v>
      </c>
      <c r="I101" s="225">
        <v>0</v>
      </c>
      <c r="J101" s="225">
        <v>0</v>
      </c>
      <c r="K101" s="225">
        <v>0</v>
      </c>
      <c r="L101" s="225">
        <v>0</v>
      </c>
      <c r="M101" s="225">
        <v>0</v>
      </c>
      <c r="N101" s="225">
        <v>0</v>
      </c>
      <c r="O101" s="225">
        <v>0</v>
      </c>
      <c r="P101" s="225">
        <v>0</v>
      </c>
      <c r="Q101" s="225">
        <v>0</v>
      </c>
      <c r="R101" s="225">
        <v>0</v>
      </c>
      <c r="S101" s="225">
        <v>0</v>
      </c>
      <c r="T101" s="225">
        <v>0</v>
      </c>
      <c r="U101" s="225">
        <v>0</v>
      </c>
      <c r="V101" s="164">
        <f t="shared" ref="V101:AD101" si="102">U101</f>
        <v>0</v>
      </c>
      <c r="W101" s="164">
        <f t="shared" si="102"/>
        <v>0</v>
      </c>
      <c r="X101" s="164">
        <f t="shared" si="102"/>
        <v>0</v>
      </c>
      <c r="Y101" s="164">
        <f t="shared" si="102"/>
        <v>0</v>
      </c>
      <c r="Z101" s="164">
        <f t="shared" si="102"/>
        <v>0</v>
      </c>
      <c r="AA101" s="164">
        <f t="shared" si="102"/>
        <v>0</v>
      </c>
      <c r="AB101" s="164">
        <f t="shared" si="102"/>
        <v>0</v>
      </c>
      <c r="AC101" s="164">
        <f t="shared" si="102"/>
        <v>0</v>
      </c>
      <c r="AD101" s="164">
        <f t="shared" si="102"/>
        <v>0</v>
      </c>
      <c r="AE101" s="7"/>
    </row>
    <row r="102" spans="1:31" outlineLevel="1">
      <c r="D102" s="70" t="s">
        <v>118</v>
      </c>
      <c r="G102" s="225">
        <v>0</v>
      </c>
      <c r="H102" s="225">
        <v>0</v>
      </c>
      <c r="I102" s="225">
        <v>0</v>
      </c>
      <c r="J102" s="225">
        <v>0</v>
      </c>
      <c r="K102" s="225">
        <v>0</v>
      </c>
      <c r="L102" s="225">
        <v>0</v>
      </c>
      <c r="M102" s="225">
        <v>0</v>
      </c>
      <c r="N102" s="225">
        <v>0</v>
      </c>
      <c r="O102" s="225">
        <v>0</v>
      </c>
      <c r="P102" s="225">
        <v>0</v>
      </c>
      <c r="Q102" s="225">
        <v>0</v>
      </c>
      <c r="R102" s="225">
        <v>0</v>
      </c>
      <c r="S102" s="225">
        <v>0</v>
      </c>
      <c r="T102" s="225">
        <v>0</v>
      </c>
      <c r="U102" s="225">
        <v>0</v>
      </c>
      <c r="V102" s="164">
        <f t="shared" ref="V102:AD102" si="103">U102</f>
        <v>0</v>
      </c>
      <c r="W102" s="164">
        <f t="shared" si="103"/>
        <v>0</v>
      </c>
      <c r="X102" s="164">
        <f t="shared" si="103"/>
        <v>0</v>
      </c>
      <c r="Y102" s="164">
        <f t="shared" si="103"/>
        <v>0</v>
      </c>
      <c r="Z102" s="164">
        <f t="shared" si="103"/>
        <v>0</v>
      </c>
      <c r="AA102" s="164">
        <f t="shared" si="103"/>
        <v>0</v>
      </c>
      <c r="AB102" s="164">
        <f t="shared" si="103"/>
        <v>0</v>
      </c>
      <c r="AC102" s="164">
        <f t="shared" si="103"/>
        <v>0</v>
      </c>
      <c r="AD102" s="164">
        <f t="shared" si="103"/>
        <v>0</v>
      </c>
      <c r="AE102" s="7"/>
    </row>
    <row r="103" spans="1:31" s="3" customFormat="1" outlineLevel="1">
      <c r="A103" s="110" t="s">
        <v>119</v>
      </c>
      <c r="B103" s="143"/>
      <c r="D103" s="2" t="s">
        <v>119</v>
      </c>
      <c r="E103" s="2"/>
      <c r="F103" s="2"/>
      <c r="G103" s="8">
        <f t="shared" ref="G103:S103" si="104">SUM(G99:G102)</f>
        <v>-1.4680000000000035</v>
      </c>
      <c r="H103" s="8">
        <f t="shared" si="104"/>
        <v>-5.795999999999994</v>
      </c>
      <c r="I103" s="8">
        <f t="shared" si="104"/>
        <v>-6.7759999999999891</v>
      </c>
      <c r="J103" s="8">
        <f t="shared" si="104"/>
        <v>-4.1960000000000441</v>
      </c>
      <c r="K103" s="8">
        <f t="shared" si="104"/>
        <v>-2.8950000000000076</v>
      </c>
      <c r="L103" s="8">
        <f t="shared" si="104"/>
        <v>-2.3579999999999828</v>
      </c>
      <c r="M103" s="8">
        <f t="shared" si="104"/>
        <v>-7.0770000000000026</v>
      </c>
      <c r="N103" s="8">
        <f t="shared" si="104"/>
        <v>1.4900000000000944</v>
      </c>
      <c r="O103" s="8">
        <f t="shared" si="104"/>
        <v>-1.4160000000000066</v>
      </c>
      <c r="P103" s="8">
        <f t="shared" si="104"/>
        <v>-4.4009999999999962</v>
      </c>
      <c r="Q103" s="8">
        <f t="shared" si="104"/>
        <v>0.69400000000001616</v>
      </c>
      <c r="R103" s="8">
        <f t="shared" si="104"/>
        <v>0.94799999999994711</v>
      </c>
      <c r="S103" s="8">
        <f t="shared" si="104"/>
        <v>3.6660000000000137</v>
      </c>
      <c r="T103" s="8">
        <f>SUM(T99:T102)</f>
        <v>1.0249999999999364</v>
      </c>
      <c r="U103" s="8">
        <f t="shared" ref="U103:AD103" si="105">SUM(U99:U102)</f>
        <v>4.5960000000000525</v>
      </c>
      <c r="V103" s="8">
        <f t="shared" si="105"/>
        <v>2.4038287796610713E-2</v>
      </c>
      <c r="W103" s="8">
        <f t="shared" si="105"/>
        <v>0.34690340240833456</v>
      </c>
      <c r="X103" s="8">
        <f t="shared" si="105"/>
        <v>2.8048250468460725</v>
      </c>
      <c r="Y103" s="8">
        <f t="shared" si="105"/>
        <v>7.2169222010150271</v>
      </c>
      <c r="Z103" s="8">
        <f t="shared" si="105"/>
        <v>11.643764864041273</v>
      </c>
      <c r="AA103" s="8">
        <f t="shared" si="105"/>
        <v>11.092113571789342</v>
      </c>
      <c r="AB103" s="8">
        <f t="shared" si="105"/>
        <v>11.429441193310756</v>
      </c>
      <c r="AC103" s="8">
        <f t="shared" si="105"/>
        <v>11.232273087278521</v>
      </c>
      <c r="AD103" s="8">
        <f t="shared" si="105"/>
        <v>16.85174551871734</v>
      </c>
      <c r="AE103" s="64"/>
    </row>
    <row r="104" spans="1:31" outlineLevel="1"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7"/>
    </row>
    <row r="105" spans="1:31" s="3" customFormat="1" outlineLevel="1">
      <c r="A105" s="110" t="s">
        <v>161</v>
      </c>
      <c r="B105" s="36"/>
      <c r="C105"/>
      <c r="D105" s="148" t="s">
        <v>161</v>
      </c>
      <c r="E105" s="36"/>
      <c r="F105" s="36"/>
      <c r="G105" s="225">
        <v>56.259</v>
      </c>
      <c r="H105" s="225">
        <v>58.326999999999998</v>
      </c>
      <c r="I105" s="225">
        <v>61.283999999999999</v>
      </c>
      <c r="J105" s="225">
        <f>AVERAGE(75.683159,70.458584)</f>
        <v>73.07087150000001</v>
      </c>
      <c r="K105" s="225">
        <v>75.730999999999995</v>
      </c>
      <c r="L105" s="225">
        <v>75.872</v>
      </c>
      <c r="M105" s="225">
        <v>77.822999999999993</v>
      </c>
      <c r="N105" s="225">
        <f>77.411*4-SUM(K105:M105)</f>
        <v>80.218000000000018</v>
      </c>
      <c r="O105" s="225">
        <v>87.409000000000006</v>
      </c>
      <c r="P105" s="225">
        <v>91.841999999999999</v>
      </c>
      <c r="Q105" s="225">
        <v>100.70699999999999</v>
      </c>
      <c r="R105" s="225">
        <f>102.95*4-SUM(O105:Q105)</f>
        <v>131.84200000000004</v>
      </c>
      <c r="S105" s="225">
        <v>159.79400000000001</v>
      </c>
      <c r="T105" s="225">
        <v>171.40899999999999</v>
      </c>
      <c r="U105" s="225">
        <v>197.03</v>
      </c>
      <c r="V105" s="165">
        <f t="shared" ref="V105:AD105" si="106">U105</f>
        <v>197.03</v>
      </c>
      <c r="W105" s="165">
        <f t="shared" si="106"/>
        <v>197.03</v>
      </c>
      <c r="X105" s="165">
        <f t="shared" si="106"/>
        <v>197.03</v>
      </c>
      <c r="Y105" s="165">
        <f t="shared" si="106"/>
        <v>197.03</v>
      </c>
      <c r="Z105" s="165">
        <f t="shared" si="106"/>
        <v>197.03</v>
      </c>
      <c r="AA105" s="165">
        <f t="shared" si="106"/>
        <v>197.03</v>
      </c>
      <c r="AB105" s="165">
        <f t="shared" si="106"/>
        <v>197.03</v>
      </c>
      <c r="AC105" s="165">
        <f t="shared" si="106"/>
        <v>197.03</v>
      </c>
      <c r="AD105" s="165">
        <f t="shared" si="106"/>
        <v>197.03</v>
      </c>
      <c r="AE105" s="64"/>
    </row>
    <row r="106" spans="1:31" s="3" customFormat="1" outlineLevel="1">
      <c r="A106" s="110" t="s">
        <v>162</v>
      </c>
      <c r="B106" s="36"/>
      <c r="C106"/>
      <c r="D106" s="148" t="s">
        <v>162</v>
      </c>
      <c r="E106" s="36"/>
      <c r="F106" s="36"/>
      <c r="G106" s="225">
        <v>56.259</v>
      </c>
      <c r="H106" s="225">
        <v>58.326999999999998</v>
      </c>
      <c r="I106" s="225">
        <v>61.283999999999999</v>
      </c>
      <c r="J106" s="225">
        <f>AVERAGE(75.683159,70.458584)</f>
        <v>73.07087150000001</v>
      </c>
      <c r="K106" s="225">
        <v>75.730999999999995</v>
      </c>
      <c r="L106" s="225">
        <v>75.872</v>
      </c>
      <c r="M106" s="225">
        <v>77.822999999999993</v>
      </c>
      <c r="N106" s="225">
        <f>77.411*4-SUM(K106:M106)</f>
        <v>80.218000000000018</v>
      </c>
      <c r="O106" s="225">
        <v>87.409000000000006</v>
      </c>
      <c r="P106" s="225">
        <v>91.841999999999999</v>
      </c>
      <c r="Q106" s="225">
        <v>107.07899999999999</v>
      </c>
      <c r="R106" s="225">
        <f>102.95*4-SUM(O106:Q106)</f>
        <v>125.47000000000003</v>
      </c>
      <c r="S106" s="225">
        <v>164.29</v>
      </c>
      <c r="T106" s="225">
        <v>174.495</v>
      </c>
      <c r="U106" s="225">
        <v>200.16900000000001</v>
      </c>
      <c r="V106" s="165">
        <f t="shared" ref="V106:AD106" si="107">U106</f>
        <v>200.16900000000001</v>
      </c>
      <c r="W106" s="165">
        <f t="shared" si="107"/>
        <v>200.16900000000001</v>
      </c>
      <c r="X106" s="165">
        <f t="shared" si="107"/>
        <v>200.16900000000001</v>
      </c>
      <c r="Y106" s="165">
        <f t="shared" si="107"/>
        <v>200.16900000000001</v>
      </c>
      <c r="Z106" s="165">
        <f t="shared" si="107"/>
        <v>200.16900000000001</v>
      </c>
      <c r="AA106" s="165">
        <f t="shared" si="107"/>
        <v>200.16900000000001</v>
      </c>
      <c r="AB106" s="165">
        <f t="shared" si="107"/>
        <v>200.16900000000001</v>
      </c>
      <c r="AC106" s="165">
        <f t="shared" si="107"/>
        <v>200.16900000000001</v>
      </c>
      <c r="AD106" s="165">
        <f t="shared" si="107"/>
        <v>200.16900000000001</v>
      </c>
      <c r="AE106" s="64"/>
    </row>
    <row r="107" spans="1:31" s="3" customFormat="1" outlineLevel="1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64"/>
    </row>
    <row r="108" spans="1:31" outlineLevel="1">
      <c r="A108" s="110" t="s">
        <v>176</v>
      </c>
      <c r="D108" t="s">
        <v>121</v>
      </c>
      <c r="G108" s="74">
        <f t="shared" ref="G108:AD108" si="108">+G106</f>
        <v>56.259</v>
      </c>
      <c r="H108" s="74">
        <f t="shared" si="108"/>
        <v>58.326999999999998</v>
      </c>
      <c r="I108" s="74">
        <f t="shared" si="108"/>
        <v>61.283999999999999</v>
      </c>
      <c r="J108" s="74">
        <f t="shared" si="108"/>
        <v>73.07087150000001</v>
      </c>
      <c r="K108" s="74">
        <f t="shared" si="108"/>
        <v>75.730999999999995</v>
      </c>
      <c r="L108" s="74">
        <f t="shared" si="108"/>
        <v>75.872</v>
      </c>
      <c r="M108" s="74">
        <f t="shared" si="108"/>
        <v>77.822999999999993</v>
      </c>
      <c r="N108" s="74">
        <f t="shared" si="108"/>
        <v>80.218000000000018</v>
      </c>
      <c r="O108" s="74">
        <f t="shared" si="108"/>
        <v>87.409000000000006</v>
      </c>
      <c r="P108" s="74">
        <f t="shared" si="108"/>
        <v>91.841999999999999</v>
      </c>
      <c r="Q108" s="74">
        <f t="shared" si="108"/>
        <v>107.07899999999999</v>
      </c>
      <c r="R108" s="74">
        <f t="shared" si="108"/>
        <v>125.47000000000003</v>
      </c>
      <c r="S108" s="74">
        <f t="shared" si="108"/>
        <v>164.29</v>
      </c>
      <c r="T108" s="74">
        <f t="shared" si="108"/>
        <v>174.495</v>
      </c>
      <c r="U108" s="74">
        <f t="shared" si="108"/>
        <v>200.16900000000001</v>
      </c>
      <c r="V108" s="74">
        <f t="shared" si="108"/>
        <v>200.16900000000001</v>
      </c>
      <c r="W108" s="74">
        <f t="shared" si="108"/>
        <v>200.16900000000001</v>
      </c>
      <c r="X108" s="74">
        <f t="shared" si="108"/>
        <v>200.16900000000001</v>
      </c>
      <c r="Y108" s="74">
        <f t="shared" si="108"/>
        <v>200.16900000000001</v>
      </c>
      <c r="Z108" s="74">
        <f t="shared" si="108"/>
        <v>200.16900000000001</v>
      </c>
      <c r="AA108" s="74">
        <f t="shared" si="108"/>
        <v>200.16900000000001</v>
      </c>
      <c r="AB108" s="74">
        <f t="shared" si="108"/>
        <v>200.16900000000001</v>
      </c>
      <c r="AC108" s="74">
        <f t="shared" si="108"/>
        <v>200.16900000000001</v>
      </c>
      <c r="AD108" s="74">
        <f t="shared" si="108"/>
        <v>200.16900000000001</v>
      </c>
      <c r="AE108" s="7"/>
    </row>
    <row r="109" spans="1:31" outlineLevel="1">
      <c r="A109" s="110" t="s">
        <v>25</v>
      </c>
      <c r="D109" s="3" t="s">
        <v>122</v>
      </c>
      <c r="G109" s="86">
        <f t="shared" ref="G109:AD109" si="109">+G103/G108</f>
        <v>-2.6093602801329628E-2</v>
      </c>
      <c r="H109" s="86">
        <f t="shared" si="109"/>
        <v>-9.9370788828501283E-2</v>
      </c>
      <c r="I109" s="86">
        <f t="shared" si="109"/>
        <v>-0.11056719535278359</v>
      </c>
      <c r="J109" s="86">
        <f t="shared" si="109"/>
        <v>-5.7423702685687056E-2</v>
      </c>
      <c r="K109" s="86">
        <f t="shared" si="109"/>
        <v>-3.8227410175489668E-2</v>
      </c>
      <c r="L109" s="86">
        <f t="shared" si="109"/>
        <v>-3.107865879375768E-2</v>
      </c>
      <c r="M109" s="86">
        <f t="shared" si="109"/>
        <v>-9.0937126556416531E-2</v>
      </c>
      <c r="N109" s="86">
        <f t="shared" si="109"/>
        <v>1.8574384801417314E-2</v>
      </c>
      <c r="O109" s="86">
        <f t="shared" si="109"/>
        <v>-1.6199704835886539E-2</v>
      </c>
      <c r="P109" s="86">
        <f t="shared" si="109"/>
        <v>-4.7919252629515866E-2</v>
      </c>
      <c r="Q109" s="86">
        <f t="shared" si="109"/>
        <v>6.4811961262247145E-3</v>
      </c>
      <c r="R109" s="86">
        <f t="shared" si="109"/>
        <v>7.5555909779225867E-3</v>
      </c>
      <c r="S109" s="86">
        <f t="shared" si="109"/>
        <v>2.23142004991175E-2</v>
      </c>
      <c r="T109" s="86">
        <f t="shared" si="109"/>
        <v>5.8740938135759552E-3</v>
      </c>
      <c r="U109" s="86">
        <f t="shared" si="109"/>
        <v>2.296059829444146E-2</v>
      </c>
      <c r="V109" s="86">
        <f t="shared" si="109"/>
        <v>1.2008996296434869E-4</v>
      </c>
      <c r="W109" s="86">
        <f t="shared" si="109"/>
        <v>1.7330525826093678E-3</v>
      </c>
      <c r="X109" s="86">
        <f t="shared" si="109"/>
        <v>1.4012284853529129E-2</v>
      </c>
      <c r="Y109" s="86">
        <f t="shared" si="109"/>
        <v>3.6054145252336911E-2</v>
      </c>
      <c r="Z109" s="86">
        <f t="shared" si="109"/>
        <v>5.8169670948255085E-2</v>
      </c>
      <c r="AA109" s="86">
        <f t="shared" si="109"/>
        <v>5.5413743245903924E-2</v>
      </c>
      <c r="AB109" s="86">
        <f t="shared" si="109"/>
        <v>5.7098957347595063E-2</v>
      </c>
      <c r="AC109" s="86">
        <f t="shared" si="109"/>
        <v>5.6113949149361395E-2</v>
      </c>
      <c r="AD109" s="86">
        <f t="shared" si="109"/>
        <v>8.4187589080813405E-2</v>
      </c>
      <c r="AE109" s="56"/>
    </row>
    <row r="110" spans="1:31" outlineLevel="1">
      <c r="A110" s="110" t="s">
        <v>177</v>
      </c>
      <c r="D110" t="s">
        <v>123</v>
      </c>
      <c r="G110" s="87" t="str">
        <f>IFERROR(IF(C109&lt;0,"na",G109/C109-1),"na")</f>
        <v>na</v>
      </c>
      <c r="H110" s="87" t="str">
        <f>IFERROR(IF(D109&lt;0,"na",H109/D109-1),"na")</f>
        <v>na</v>
      </c>
      <c r="I110" s="87" t="str">
        <f>IFERROR(IF(E109&lt;0,"na",I109/E109-1),"na")</f>
        <v>na</v>
      </c>
      <c r="J110" s="87" t="str">
        <f>IFERROR(IF(F109&lt;0,"na",J109/F109-1),"na")</f>
        <v>na</v>
      </c>
      <c r="K110" s="87" t="str">
        <f>IFERROR(IF(G109&lt;0,"na",K109/G109-1),"na")</f>
        <v>na</v>
      </c>
      <c r="L110" s="87" t="str">
        <f t="shared" ref="L110:AD110" si="110">IFERROR(IF(H109&lt;0,"na",L109/H109-1),"na")</f>
        <v>na</v>
      </c>
      <c r="M110" s="87" t="str">
        <f t="shared" si="110"/>
        <v>na</v>
      </c>
      <c r="N110" s="87" t="str">
        <f t="shared" si="110"/>
        <v>na</v>
      </c>
      <c r="O110" s="87" t="str">
        <f t="shared" si="110"/>
        <v>na</v>
      </c>
      <c r="P110" s="87" t="str">
        <f t="shared" si="110"/>
        <v>na</v>
      </c>
      <c r="Q110" s="87" t="str">
        <f t="shared" si="110"/>
        <v>na</v>
      </c>
      <c r="R110" s="87">
        <f t="shared" si="110"/>
        <v>-0.59322523686781492</v>
      </c>
      <c r="S110" s="87" t="str">
        <f t="shared" si="110"/>
        <v>na</v>
      </c>
      <c r="T110" s="87" t="str">
        <f t="shared" si="110"/>
        <v>na</v>
      </c>
      <c r="U110" s="87">
        <f t="shared" si="110"/>
        <v>2.5426482777672041</v>
      </c>
      <c r="V110" s="87">
        <f t="shared" si="110"/>
        <v>-0.98410581471188008</v>
      </c>
      <c r="W110" s="87">
        <f t="shared" si="110"/>
        <v>-0.92233409470897654</v>
      </c>
      <c r="X110" s="87">
        <f t="shared" si="110"/>
        <v>1.3854377029431388</v>
      </c>
      <c r="Y110" s="87">
        <f t="shared" si="110"/>
        <v>0.57026157550368684</v>
      </c>
      <c r="Z110" s="87">
        <f t="shared" si="110"/>
        <v>483.38411930832234</v>
      </c>
      <c r="AA110" s="87">
        <f t="shared" si="110"/>
        <v>30.974646240952662</v>
      </c>
      <c r="AB110" s="87">
        <f t="shared" si="110"/>
        <v>3.0749212526331231</v>
      </c>
      <c r="AC110" s="87">
        <f t="shared" si="110"/>
        <v>0.55637996010248703</v>
      </c>
      <c r="AD110" s="87">
        <f t="shared" si="110"/>
        <v>0.44727635051782566</v>
      </c>
      <c r="AE110" s="56"/>
    </row>
    <row r="111" spans="1:31"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7"/>
    </row>
    <row r="112" spans="1:31">
      <c r="C112" s="104"/>
      <c r="D112" s="105" t="s">
        <v>124</v>
      </c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</row>
    <row r="113" spans="1:31" ht="5.0999999999999996" customHeight="1">
      <c r="B113" s="142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7"/>
    </row>
    <row r="114" spans="1:31" outlineLevel="1">
      <c r="D114" t="s">
        <v>115</v>
      </c>
      <c r="G114" s="7">
        <f t="shared" ref="G114:AD114" si="111">+G99</f>
        <v>-1.4680000000000035</v>
      </c>
      <c r="H114" s="7">
        <f t="shared" si="111"/>
        <v>-5.795999999999994</v>
      </c>
      <c r="I114" s="7">
        <f t="shared" si="111"/>
        <v>-6.7759999999999891</v>
      </c>
      <c r="J114" s="7">
        <f t="shared" si="111"/>
        <v>-4.1960000000000441</v>
      </c>
      <c r="K114" s="7">
        <f t="shared" si="111"/>
        <v>-2.8950000000000076</v>
      </c>
      <c r="L114" s="7">
        <f t="shared" si="111"/>
        <v>-2.3579999999999828</v>
      </c>
      <c r="M114" s="7">
        <f t="shared" si="111"/>
        <v>-7.0770000000000026</v>
      </c>
      <c r="N114" s="7">
        <f t="shared" si="111"/>
        <v>1.4900000000000944</v>
      </c>
      <c r="O114" s="7">
        <f t="shared" si="111"/>
        <v>-1.4160000000000066</v>
      </c>
      <c r="P114" s="7">
        <f t="shared" si="111"/>
        <v>-4.4009999999999962</v>
      </c>
      <c r="Q114" s="7">
        <f t="shared" si="111"/>
        <v>0.69400000000001616</v>
      </c>
      <c r="R114" s="7">
        <f t="shared" si="111"/>
        <v>0.94799999999994711</v>
      </c>
      <c r="S114" s="7">
        <f t="shared" si="111"/>
        <v>3.6660000000000137</v>
      </c>
      <c r="T114" s="7">
        <f t="shared" si="111"/>
        <v>1.0249999999999364</v>
      </c>
      <c r="U114" s="7">
        <f t="shared" si="111"/>
        <v>4.5960000000000525</v>
      </c>
      <c r="V114" s="7">
        <f t="shared" si="111"/>
        <v>2.4038287796610713E-2</v>
      </c>
      <c r="W114" s="7">
        <f t="shared" si="111"/>
        <v>0.34690340240833456</v>
      </c>
      <c r="X114" s="7">
        <f t="shared" si="111"/>
        <v>2.8048250468460725</v>
      </c>
      <c r="Y114" s="7">
        <f t="shared" si="111"/>
        <v>7.2169222010150271</v>
      </c>
      <c r="Z114" s="7">
        <f t="shared" si="111"/>
        <v>11.643764864041273</v>
      </c>
      <c r="AA114" s="7">
        <f t="shared" si="111"/>
        <v>11.092113571789342</v>
      </c>
      <c r="AB114" s="7">
        <f t="shared" si="111"/>
        <v>11.429441193310756</v>
      </c>
      <c r="AC114" s="7">
        <f t="shared" si="111"/>
        <v>11.232273087278521</v>
      </c>
      <c r="AD114" s="7">
        <f t="shared" si="111"/>
        <v>16.85174551871734</v>
      </c>
      <c r="AE114" s="7"/>
    </row>
    <row r="115" spans="1:31" outlineLevel="1">
      <c r="D115" s="70" t="s">
        <v>7</v>
      </c>
      <c r="G115" s="7">
        <f t="shared" ref="G115:AD115" si="112">-G86</f>
        <v>0.99</v>
      </c>
      <c r="H115" s="7">
        <f t="shared" si="112"/>
        <v>1.867</v>
      </c>
      <c r="I115" s="7">
        <f t="shared" si="112"/>
        <v>2.0019999999999998</v>
      </c>
      <c r="J115" s="7">
        <f t="shared" si="112"/>
        <v>2.0970000000000004</v>
      </c>
      <c r="K115" s="7">
        <f t="shared" si="112"/>
        <v>3.4710000000000001</v>
      </c>
      <c r="L115" s="7">
        <f t="shared" si="112"/>
        <v>3.851</v>
      </c>
      <c r="M115" s="7">
        <f t="shared" si="112"/>
        <v>4.6630000000000003</v>
      </c>
      <c r="N115" s="7">
        <f t="shared" si="112"/>
        <v>5.902000000000001</v>
      </c>
      <c r="O115" s="7">
        <f t="shared" si="112"/>
        <v>6.7789999999999999</v>
      </c>
      <c r="P115" s="7">
        <f t="shared" si="112"/>
        <v>7.0190000000000001</v>
      </c>
      <c r="Q115" s="7">
        <f t="shared" si="112"/>
        <v>6.4790000000000001</v>
      </c>
      <c r="R115" s="7">
        <f t="shared" si="112"/>
        <v>6.7719999999999985</v>
      </c>
      <c r="S115" s="7">
        <f t="shared" si="112"/>
        <v>7.24</v>
      </c>
      <c r="T115" s="7">
        <f t="shared" si="112"/>
        <v>9.07</v>
      </c>
      <c r="U115" s="7">
        <f t="shared" si="112"/>
        <v>10.324</v>
      </c>
      <c r="V115" s="7">
        <f t="shared" si="112"/>
        <v>12.413674213139622</v>
      </c>
      <c r="W115" s="7">
        <f t="shared" si="112"/>
        <v>13.167728373995903</v>
      </c>
      <c r="X115" s="7">
        <f t="shared" si="112"/>
        <v>13.823743604095688</v>
      </c>
      <c r="Y115" s="7">
        <f t="shared" si="112"/>
        <v>14.576453052146151</v>
      </c>
      <c r="Z115" s="7">
        <f t="shared" si="112"/>
        <v>15.29671688969856</v>
      </c>
      <c r="AA115" s="7">
        <f t="shared" si="112"/>
        <v>16.634081564850867</v>
      </c>
      <c r="AB115" s="7">
        <f t="shared" si="112"/>
        <v>17.912842046430111</v>
      </c>
      <c r="AC115" s="7">
        <f t="shared" si="112"/>
        <v>19.272919656905692</v>
      </c>
      <c r="AD115" s="7">
        <f t="shared" si="112"/>
        <v>20.597435579030623</v>
      </c>
      <c r="AE115" s="7"/>
    </row>
    <row r="116" spans="1:31" outlineLevel="1">
      <c r="D116" s="70" t="s">
        <v>212</v>
      </c>
      <c r="G116" s="7">
        <f t="shared" ref="G116:AD116" si="113">-G87</f>
        <v>0</v>
      </c>
      <c r="H116" s="7">
        <f t="shared" si="113"/>
        <v>0</v>
      </c>
      <c r="I116" s="7">
        <f t="shared" si="113"/>
        <v>0</v>
      </c>
      <c r="J116" s="7">
        <f t="shared" si="113"/>
        <v>0</v>
      </c>
      <c r="K116" s="7">
        <f t="shared" si="113"/>
        <v>0</v>
      </c>
      <c r="L116" s="7">
        <f t="shared" si="113"/>
        <v>0</v>
      </c>
      <c r="M116" s="7">
        <f t="shared" si="113"/>
        <v>0</v>
      </c>
      <c r="N116" s="7">
        <f t="shared" si="113"/>
        <v>0</v>
      </c>
      <c r="O116" s="7">
        <f t="shared" si="113"/>
        <v>0</v>
      </c>
      <c r="P116" s="7">
        <f t="shared" si="113"/>
        <v>0</v>
      </c>
      <c r="Q116" s="7">
        <f t="shared" si="113"/>
        <v>0</v>
      </c>
      <c r="R116" s="7">
        <f t="shared" si="113"/>
        <v>0</v>
      </c>
      <c r="S116" s="7">
        <f t="shared" si="113"/>
        <v>0</v>
      </c>
      <c r="T116" s="7">
        <f t="shared" si="113"/>
        <v>0</v>
      </c>
      <c r="U116" s="7">
        <f t="shared" si="113"/>
        <v>0</v>
      </c>
      <c r="V116" s="7">
        <f t="shared" si="113"/>
        <v>0</v>
      </c>
      <c r="W116" s="7">
        <f t="shared" si="113"/>
        <v>0</v>
      </c>
      <c r="X116" s="7">
        <f t="shared" si="113"/>
        <v>0</v>
      </c>
      <c r="Y116" s="7">
        <f t="shared" si="113"/>
        <v>0</v>
      </c>
      <c r="Z116" s="7">
        <f t="shared" si="113"/>
        <v>0</v>
      </c>
      <c r="AA116" s="7">
        <f t="shared" si="113"/>
        <v>0</v>
      </c>
      <c r="AB116" s="7">
        <f t="shared" si="113"/>
        <v>0</v>
      </c>
      <c r="AC116" s="7">
        <f t="shared" si="113"/>
        <v>0</v>
      </c>
      <c r="AD116" s="7">
        <f t="shared" si="113"/>
        <v>0</v>
      </c>
      <c r="AE116" s="7"/>
    </row>
    <row r="117" spans="1:31" outlineLevel="1">
      <c r="A117" s="110" t="s">
        <v>125</v>
      </c>
      <c r="D117" s="70" t="s">
        <v>125</v>
      </c>
      <c r="G117" s="7">
        <f t="shared" ref="G117:AD117" si="114">-G96</f>
        <v>1.49</v>
      </c>
      <c r="H117" s="7">
        <f t="shared" si="114"/>
        <v>0.182</v>
      </c>
      <c r="I117" s="7">
        <f t="shared" si="114"/>
        <v>-0.91200000000000003</v>
      </c>
      <c r="J117" s="7">
        <f t="shared" si="114"/>
        <v>1.8880000000000003</v>
      </c>
      <c r="K117" s="7">
        <f t="shared" si="114"/>
        <v>1.0549999999999999</v>
      </c>
      <c r="L117" s="7">
        <f t="shared" si="114"/>
        <v>0.4</v>
      </c>
      <c r="M117" s="7">
        <f t="shared" si="114"/>
        <v>7.0000000000000007E-2</v>
      </c>
      <c r="N117" s="7">
        <f t="shared" si="114"/>
        <v>-3.4420000000000002</v>
      </c>
      <c r="O117" s="7">
        <f t="shared" si="114"/>
        <v>-0.17299999999999999</v>
      </c>
      <c r="P117" s="7">
        <f t="shared" si="114"/>
        <v>-1.169</v>
      </c>
      <c r="Q117" s="7">
        <f t="shared" si="114"/>
        <v>7.0000000000000007E-2</v>
      </c>
      <c r="R117" s="7">
        <f t="shared" si="114"/>
        <v>2.9459999999999997</v>
      </c>
      <c r="S117" s="7">
        <f t="shared" si="114"/>
        <v>1.4359999999999999</v>
      </c>
      <c r="T117" s="7">
        <f t="shared" si="114"/>
        <v>2.6970000000000001</v>
      </c>
      <c r="U117" s="7">
        <f t="shared" si="114"/>
        <v>-1.0999999999999999E-2</v>
      </c>
      <c r="V117" s="7">
        <f t="shared" si="114"/>
        <v>7.9326349728815349E-3</v>
      </c>
      <c r="W117" s="7">
        <f t="shared" si="114"/>
        <v>9.9278276347122066E-2</v>
      </c>
      <c r="X117" s="7">
        <f t="shared" si="114"/>
        <v>0.69197986353110341</v>
      </c>
      <c r="Y117" s="7">
        <f t="shared" si="114"/>
        <v>1.4956121666577196</v>
      </c>
      <c r="Z117" s="7">
        <f t="shared" si="114"/>
        <v>1.953394763375345</v>
      </c>
      <c r="AA117" s="7">
        <f t="shared" si="114"/>
        <v>1.4230014121703434</v>
      </c>
      <c r="AB117" s="7">
        <f t="shared" si="114"/>
        <v>1.0151148428269423</v>
      </c>
      <c r="AC117" s="7">
        <f t="shared" si="114"/>
        <v>0.5542240010170324</v>
      </c>
      <c r="AD117" s="7">
        <f t="shared" si="114"/>
        <v>0.1663001202505002</v>
      </c>
      <c r="AE117" s="7"/>
    </row>
    <row r="118" spans="1:31" outlineLevel="1">
      <c r="D118" s="70" t="s">
        <v>126</v>
      </c>
      <c r="G118" s="225">
        <v>0</v>
      </c>
      <c r="H118" s="225">
        <v>0</v>
      </c>
      <c r="I118" s="225">
        <v>0</v>
      </c>
      <c r="J118" s="225">
        <v>0</v>
      </c>
      <c r="K118" s="225">
        <v>0</v>
      </c>
      <c r="L118" s="225">
        <v>0</v>
      </c>
      <c r="M118" s="225">
        <v>0</v>
      </c>
      <c r="N118" s="225">
        <v>0</v>
      </c>
      <c r="O118" s="225">
        <v>0</v>
      </c>
      <c r="P118" s="225">
        <v>0</v>
      </c>
      <c r="Q118" s="225">
        <v>0</v>
      </c>
      <c r="R118" s="225">
        <v>0</v>
      </c>
      <c r="S118" s="225">
        <v>0</v>
      </c>
      <c r="T118" s="225">
        <v>0</v>
      </c>
      <c r="U118" s="225">
        <v>1.1930000000000001</v>
      </c>
      <c r="V118" s="79">
        <v>0</v>
      </c>
      <c r="W118" s="79">
        <v>0</v>
      </c>
      <c r="X118" s="79">
        <v>0</v>
      </c>
      <c r="Y118" s="79">
        <v>0</v>
      </c>
      <c r="Z118" s="79">
        <v>0</v>
      </c>
      <c r="AA118" s="79">
        <v>0</v>
      </c>
      <c r="AB118" s="79">
        <v>0</v>
      </c>
      <c r="AC118" s="79">
        <v>0</v>
      </c>
      <c r="AD118" s="79">
        <v>0</v>
      </c>
      <c r="AE118" s="7"/>
    </row>
    <row r="119" spans="1:31" outlineLevel="1">
      <c r="A119" s="110" t="s">
        <v>492</v>
      </c>
      <c r="D119" s="70" t="s">
        <v>492</v>
      </c>
      <c r="G119" s="225">
        <v>3.0129999999999999</v>
      </c>
      <c r="H119" s="225">
        <v>4.43</v>
      </c>
      <c r="I119" s="225">
        <v>0.19</v>
      </c>
      <c r="J119" s="225">
        <f>7.447-SUM(G119:I119)</f>
        <v>-0.18599999999999994</v>
      </c>
      <c r="K119" s="225">
        <v>0</v>
      </c>
      <c r="L119" s="225">
        <v>0</v>
      </c>
      <c r="M119" s="225">
        <f>2.14-SUM(K119:L119)</f>
        <v>2.14</v>
      </c>
      <c r="N119" s="225">
        <f>1.299-SUM(K119:M119)</f>
        <v>-0.84100000000000019</v>
      </c>
      <c r="O119" s="225">
        <v>0</v>
      </c>
      <c r="P119" s="225">
        <v>0</v>
      </c>
      <c r="Q119" s="225">
        <v>0</v>
      </c>
      <c r="R119" s="225">
        <f>1.127-SUM(O119:Q119)</f>
        <v>1.127</v>
      </c>
      <c r="S119" s="225">
        <v>0</v>
      </c>
      <c r="T119" s="225">
        <v>0</v>
      </c>
      <c r="U119" s="225">
        <v>3.8079999999999998</v>
      </c>
      <c r="V119" s="7">
        <f t="shared" ref="V119:AD119" si="115">V71</f>
        <v>0</v>
      </c>
      <c r="W119" s="7">
        <f t="shared" si="115"/>
        <v>0</v>
      </c>
      <c r="X119" s="7">
        <f t="shared" si="115"/>
        <v>0</v>
      </c>
      <c r="Y119" s="7">
        <f t="shared" si="115"/>
        <v>0</v>
      </c>
      <c r="Z119" s="7">
        <f t="shared" si="115"/>
        <v>0</v>
      </c>
      <c r="AA119" s="7">
        <f t="shared" si="115"/>
        <v>0</v>
      </c>
      <c r="AB119" s="7">
        <f t="shared" si="115"/>
        <v>0</v>
      </c>
      <c r="AC119" s="7">
        <f t="shared" si="115"/>
        <v>0</v>
      </c>
      <c r="AD119" s="7">
        <f t="shared" si="115"/>
        <v>0</v>
      </c>
      <c r="AE119" s="7"/>
    </row>
    <row r="120" spans="1:31" outlineLevel="1">
      <c r="A120" s="110" t="s">
        <v>498</v>
      </c>
      <c r="D120" s="70" t="s">
        <v>127</v>
      </c>
      <c r="G120" s="225">
        <v>0</v>
      </c>
      <c r="H120" s="225">
        <v>0</v>
      </c>
      <c r="I120" s="225">
        <v>0</v>
      </c>
      <c r="J120" s="225">
        <v>0</v>
      </c>
      <c r="K120" s="225">
        <v>0</v>
      </c>
      <c r="L120" s="225">
        <v>0</v>
      </c>
      <c r="M120" s="225">
        <v>0</v>
      </c>
      <c r="N120" s="225">
        <v>0</v>
      </c>
      <c r="O120" s="225">
        <v>0</v>
      </c>
      <c r="P120" s="225">
        <v>0</v>
      </c>
      <c r="Q120" s="225">
        <v>0</v>
      </c>
      <c r="R120" s="225">
        <v>0</v>
      </c>
      <c r="S120" s="225">
        <v>0.59699999999999998</v>
      </c>
      <c r="T120" s="225">
        <v>0</v>
      </c>
      <c r="U120" s="225">
        <v>-7.9909999999999997</v>
      </c>
      <c r="V120" s="79">
        <v>0</v>
      </c>
      <c r="W120" s="79">
        <v>0</v>
      </c>
      <c r="X120" s="79">
        <v>0</v>
      </c>
      <c r="Y120" s="79">
        <v>0</v>
      </c>
      <c r="Z120" s="79">
        <v>0</v>
      </c>
      <c r="AA120" s="79">
        <v>0</v>
      </c>
      <c r="AB120" s="79">
        <v>0</v>
      </c>
      <c r="AC120" s="79">
        <v>0</v>
      </c>
      <c r="AD120" s="79">
        <v>0</v>
      </c>
      <c r="AE120" s="7"/>
    </row>
    <row r="121" spans="1:31" s="3" customFormat="1" outlineLevel="1">
      <c r="A121" s="110"/>
      <c r="B121" s="143"/>
      <c r="D121" s="2" t="s">
        <v>197</v>
      </c>
      <c r="E121" s="2"/>
      <c r="F121" s="2"/>
      <c r="G121" s="8">
        <f>SUM(G114:G120)</f>
        <v>4.0249999999999968</v>
      </c>
      <c r="H121" s="8">
        <f t="shared" ref="H121:AD121" si="116">SUM(H114:H120)</f>
        <v>0.6830000000000056</v>
      </c>
      <c r="I121" s="8">
        <f t="shared" si="116"/>
        <v>-5.4959999999999889</v>
      </c>
      <c r="J121" s="8">
        <f t="shared" si="116"/>
        <v>-0.39700000000004332</v>
      </c>
      <c r="K121" s="8">
        <f t="shared" si="116"/>
        <v>1.6309999999999925</v>
      </c>
      <c r="L121" s="8">
        <f t="shared" si="116"/>
        <v>1.8930000000000171</v>
      </c>
      <c r="M121" s="8">
        <f t="shared" si="116"/>
        <v>-0.2040000000000024</v>
      </c>
      <c r="N121" s="8">
        <f t="shared" si="116"/>
        <v>3.109000000000095</v>
      </c>
      <c r="O121" s="8">
        <f t="shared" si="116"/>
        <v>5.1899999999999933</v>
      </c>
      <c r="P121" s="8">
        <f t="shared" si="116"/>
        <v>1.4490000000000038</v>
      </c>
      <c r="Q121" s="8">
        <f t="shared" si="116"/>
        <v>7.2430000000000163</v>
      </c>
      <c r="R121" s="8">
        <f t="shared" si="116"/>
        <v>11.792999999999946</v>
      </c>
      <c r="S121" s="8">
        <f t="shared" si="116"/>
        <v>12.939000000000012</v>
      </c>
      <c r="T121" s="8">
        <f t="shared" si="116"/>
        <v>12.791999999999938</v>
      </c>
      <c r="U121" s="8">
        <f t="shared" si="116"/>
        <v>11.919000000000054</v>
      </c>
      <c r="V121" s="8">
        <f t="shared" si="116"/>
        <v>12.445645135909114</v>
      </c>
      <c r="W121" s="8">
        <f t="shared" si="116"/>
        <v>13.613910052751361</v>
      </c>
      <c r="X121" s="8">
        <f t="shared" si="116"/>
        <v>17.320548514472861</v>
      </c>
      <c r="Y121" s="8">
        <f t="shared" si="116"/>
        <v>23.288987419818898</v>
      </c>
      <c r="Z121" s="8">
        <f t="shared" si="116"/>
        <v>28.893876517115178</v>
      </c>
      <c r="AA121" s="8">
        <f t="shared" si="116"/>
        <v>29.149196548810551</v>
      </c>
      <c r="AB121" s="8">
        <f t="shared" si="116"/>
        <v>30.357398082567808</v>
      </c>
      <c r="AC121" s="8">
        <f t="shared" si="116"/>
        <v>31.059416745201247</v>
      </c>
      <c r="AD121" s="8">
        <f t="shared" si="116"/>
        <v>37.615481217998465</v>
      </c>
      <c r="AE121" s="64"/>
    </row>
    <row r="122" spans="1:31" outlineLevel="1">
      <c r="A122" s="110" t="s">
        <v>128</v>
      </c>
      <c r="D122" s="70" t="s">
        <v>128</v>
      </c>
      <c r="G122" s="225">
        <f>3.013-58.103+0.425-1.057+50.553-0.309</f>
        <v>-5.4780000000000113</v>
      </c>
      <c r="H122" s="225">
        <f>28.035+4.538-2.262-26.238+9.23+2.728+4.43-0.001</f>
        <v>20.46</v>
      </c>
      <c r="I122" s="225">
        <f>0.19+4.124-8.825+0.309+9.725-7.565-1.494</f>
        <v>-3.5359999999999996</v>
      </c>
      <c r="J122" s="225">
        <f>7.447-82.033-1.229-4.983+80.784-0.691+2.856-SUM(G122:I122)</f>
        <v>-9.2949999999999839</v>
      </c>
      <c r="K122" s="225">
        <f>-10.816-3.025+0.651+4.638+3.175</f>
        <v>-5.3770000000000016</v>
      </c>
      <c r="L122" s="225">
        <f>28.566-1.049-4.88-9.969+0.721-1.585</f>
        <v>11.804000000000002</v>
      </c>
      <c r="M122" s="225">
        <f>7.1+1.933-1.555-7.519+1.322-3.686+2.14</f>
        <v>-0.26500000000000012</v>
      </c>
      <c r="N122" s="225">
        <f>1.299-20.334-7.733-6.432+45.416-2.581-5.998-0.563-SUM(K122:M122)</f>
        <v>-3.0880000000000063</v>
      </c>
      <c r="O122" s="225">
        <f>-7.403-19.735+3.115+38.926-0.794+0.246+4.234</f>
        <v>18.589000000000006</v>
      </c>
      <c r="P122" s="225">
        <f>37.463+16.075+2.125-38.293+0.144-0.655-0.581</f>
        <v>16.277999999999995</v>
      </c>
      <c r="Q122" s="225">
        <f>15.887+2.501-0.313-5.906+0.003+1.114</f>
        <v>13.286000000000005</v>
      </c>
      <c r="R122" s="225">
        <f>-117.266-10.89+7.181+123.619-2.626-1.289+7.529+1.127-SUM(O122:Q122)</f>
        <v>-40.768000000000015</v>
      </c>
      <c r="S122" s="225">
        <f>22.796-12.167-0.565-35.139+0.496+3.68</f>
        <v>-20.899000000000004</v>
      </c>
      <c r="T122" s="225">
        <f>36.224-12.019+0.264-30.462-2.474+1.871+13.833</f>
        <v>7.2369999999999983</v>
      </c>
      <c r="U122" s="225">
        <f>34.045-7.103-4.146+16.896-0.634+0.006-4.39</f>
        <v>34.673999999999999</v>
      </c>
      <c r="V122" s="74">
        <f t="shared" ref="V122:AD122" si="117">-V179+V267</f>
        <v>-29.559702560187578</v>
      </c>
      <c r="W122" s="74">
        <f t="shared" si="117"/>
        <v>-0.50279774870579141</v>
      </c>
      <c r="X122" s="74">
        <f t="shared" si="117"/>
        <v>0.98437698889999958</v>
      </c>
      <c r="Y122" s="74">
        <f t="shared" si="117"/>
        <v>0.42204783802931811</v>
      </c>
      <c r="Z122" s="74">
        <f t="shared" si="117"/>
        <v>9.1386039988409031</v>
      </c>
      <c r="AA122" s="74">
        <f t="shared" si="117"/>
        <v>0.79835570332606076</v>
      </c>
      <c r="AB122" s="74">
        <f t="shared" si="117"/>
        <v>2.0710489025442471</v>
      </c>
      <c r="AC122" s="74">
        <f t="shared" si="117"/>
        <v>1.2853331263700163</v>
      </c>
      <c r="AD122" s="74">
        <f t="shared" si="117"/>
        <v>10.359745417701179</v>
      </c>
      <c r="AE122" s="7"/>
    </row>
    <row r="123" spans="1:31" s="3" customFormat="1" outlineLevel="1">
      <c r="A123" s="110" t="s">
        <v>129</v>
      </c>
      <c r="B123" s="143"/>
      <c r="D123" s="2" t="s">
        <v>129</v>
      </c>
      <c r="E123" s="2"/>
      <c r="F123" s="2"/>
      <c r="G123" s="8">
        <f t="shared" ref="G123:S123" si="118">G121+G122</f>
        <v>-1.4530000000000145</v>
      </c>
      <c r="H123" s="8">
        <f t="shared" si="118"/>
        <v>21.143000000000008</v>
      </c>
      <c r="I123" s="8">
        <f t="shared" si="118"/>
        <v>-9.0319999999999894</v>
      </c>
      <c r="J123" s="8">
        <f t="shared" si="118"/>
        <v>-9.6920000000000268</v>
      </c>
      <c r="K123" s="8">
        <f t="shared" si="118"/>
        <v>-3.7460000000000093</v>
      </c>
      <c r="L123" s="8">
        <f t="shared" si="118"/>
        <v>13.697000000000019</v>
      </c>
      <c r="M123" s="8">
        <f t="shared" si="118"/>
        <v>-0.46900000000000253</v>
      </c>
      <c r="N123" s="8">
        <f t="shared" si="118"/>
        <v>2.1000000000088725E-2</v>
      </c>
      <c r="O123" s="8">
        <f t="shared" si="118"/>
        <v>23.779</v>
      </c>
      <c r="P123" s="8">
        <f t="shared" si="118"/>
        <v>17.727</v>
      </c>
      <c r="Q123" s="8">
        <f t="shared" si="118"/>
        <v>20.529000000000021</v>
      </c>
      <c r="R123" s="8">
        <f t="shared" si="118"/>
        <v>-28.975000000000069</v>
      </c>
      <c r="S123" s="8">
        <f t="shared" si="118"/>
        <v>-7.959999999999992</v>
      </c>
      <c r="T123" s="8">
        <f>T121+T122</f>
        <v>20.028999999999936</v>
      </c>
      <c r="U123" s="8">
        <f t="shared" ref="U123:Z123" si="119">U121+U122</f>
        <v>46.593000000000053</v>
      </c>
      <c r="V123" s="8">
        <f t="shared" si="119"/>
        <v>-17.114057424278464</v>
      </c>
      <c r="W123" s="8">
        <f t="shared" si="119"/>
        <v>13.111112304045569</v>
      </c>
      <c r="X123" s="8">
        <f t="shared" si="119"/>
        <v>18.304925503372861</v>
      </c>
      <c r="Y123" s="8">
        <f t="shared" si="119"/>
        <v>23.711035257848216</v>
      </c>
      <c r="Z123" s="8">
        <f t="shared" si="119"/>
        <v>38.032480515956081</v>
      </c>
      <c r="AA123" s="8">
        <f>AA121+AA122</f>
        <v>29.94755225213661</v>
      </c>
      <c r="AB123" s="8">
        <f>AB121+AB122</f>
        <v>32.428446985112053</v>
      </c>
      <c r="AC123" s="8">
        <f>AC121+AC122</f>
        <v>32.344749871571267</v>
      </c>
      <c r="AD123" s="8">
        <f>AD121+AD122</f>
        <v>47.975226635699642</v>
      </c>
      <c r="AE123" s="64"/>
    </row>
    <row r="124" spans="1:31" s="5" customFormat="1" outlineLevel="1">
      <c r="A124" s="109"/>
      <c r="B124" s="146"/>
      <c r="D124" s="71" t="s">
        <v>202</v>
      </c>
      <c r="E124" s="71"/>
      <c r="F124" s="71"/>
      <c r="G124" s="235">
        <f t="shared" ref="G124:T124" si="120">IFERROR(+G123/G108,"na")</f>
        <v>-2.5826978794504248E-2</v>
      </c>
      <c r="H124" s="235">
        <f t="shared" si="120"/>
        <v>0.36249078471376905</v>
      </c>
      <c r="I124" s="235">
        <f t="shared" si="120"/>
        <v>-0.14737941387637865</v>
      </c>
      <c r="J124" s="235">
        <f t="shared" si="120"/>
        <v>-0.1326383523426298</v>
      </c>
      <c r="K124" s="235">
        <f t="shared" si="120"/>
        <v>-4.9464552164899575E-2</v>
      </c>
      <c r="L124" s="235">
        <f t="shared" si="120"/>
        <v>0.18052773091522589</v>
      </c>
      <c r="M124" s="235">
        <f t="shared" si="120"/>
        <v>-6.0264960230266449E-3</v>
      </c>
      <c r="N124" s="235">
        <f t="shared" si="120"/>
        <v>2.61786631430461E-4</v>
      </c>
      <c r="O124" s="235">
        <f t="shared" si="120"/>
        <v>0.27204292464162727</v>
      </c>
      <c r="P124" s="235">
        <f t="shared" si="120"/>
        <v>0.19301626706735481</v>
      </c>
      <c r="Q124" s="235">
        <f t="shared" si="120"/>
        <v>0.19171826408539511</v>
      </c>
      <c r="R124" s="235">
        <f t="shared" si="120"/>
        <v>-0.23093169681995745</v>
      </c>
      <c r="S124" s="235">
        <f t="shared" si="120"/>
        <v>-4.845090997626144E-2</v>
      </c>
      <c r="T124" s="271">
        <f t="shared" si="120"/>
        <v>0.11478265852889731</v>
      </c>
      <c r="U124" s="169">
        <f t="shared" ref="U124:AD124" si="121">+U123/U108</f>
        <v>0.23276831077739335</v>
      </c>
      <c r="V124" s="169">
        <f t="shared" si="121"/>
        <v>-8.5498041276513656E-2</v>
      </c>
      <c r="W124" s="169">
        <f t="shared" si="121"/>
        <v>6.5500213839533444E-2</v>
      </c>
      <c r="X124" s="169">
        <f t="shared" si="121"/>
        <v>9.1447354502309841E-2</v>
      </c>
      <c r="Y124" s="169">
        <f t="shared" si="121"/>
        <v>0.1184550817451664</v>
      </c>
      <c r="Z124" s="169">
        <f t="shared" si="121"/>
        <v>0.19000185101567216</v>
      </c>
      <c r="AA124" s="169">
        <f t="shared" si="121"/>
        <v>0.14961133967865459</v>
      </c>
      <c r="AB124" s="169">
        <f t="shared" si="121"/>
        <v>0.16200534041291134</v>
      </c>
      <c r="AC124" s="169">
        <f t="shared" si="121"/>
        <v>0.16158720816695524</v>
      </c>
      <c r="AD124" s="169">
        <f t="shared" si="121"/>
        <v>0.23967360897891102</v>
      </c>
      <c r="AE124" s="72"/>
    </row>
    <row r="125" spans="1:31" outlineLevel="1">
      <c r="G125" s="79"/>
      <c r="H125" s="197"/>
      <c r="I125" s="79"/>
      <c r="J125" s="79"/>
      <c r="K125" s="79"/>
      <c r="L125" s="197"/>
      <c r="M125" s="79"/>
      <c r="N125" s="197"/>
      <c r="O125" s="197"/>
      <c r="P125" s="79"/>
      <c r="Q125" s="79"/>
      <c r="R125" s="197"/>
      <c r="S125" s="197"/>
      <c r="T125" s="79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:31" outlineLevel="1">
      <c r="A126" s="110" t="s">
        <v>130</v>
      </c>
      <c r="D126" s="70" t="s">
        <v>130</v>
      </c>
      <c r="G126" s="225">
        <v>-0.75</v>
      </c>
      <c r="H126" s="225">
        <v>-3.6920000000000002</v>
      </c>
      <c r="I126" s="225">
        <v>-0.85699999999999998</v>
      </c>
      <c r="J126" s="225">
        <f>-2.141-5.25-SUM(G126:I126)</f>
        <v>-2.0919999999999996</v>
      </c>
      <c r="K126" s="225">
        <v>-1.175</v>
      </c>
      <c r="L126" s="225">
        <v>-2.94</v>
      </c>
      <c r="M126" s="225">
        <v>-0.78</v>
      </c>
      <c r="N126" s="225">
        <f>-1.802-SUM(K126:M126)</f>
        <v>3.0930000000000004</v>
      </c>
      <c r="O126" s="225">
        <v>-0.35599999999999998</v>
      </c>
      <c r="P126" s="225">
        <v>-0.51800000000000002</v>
      </c>
      <c r="Q126" s="225">
        <v>-0.45800000000000002</v>
      </c>
      <c r="R126" s="225">
        <f>-4.991-SUM(O126:Q126)</f>
        <v>-3.6589999999999998</v>
      </c>
      <c r="S126" s="225">
        <v>-1.7649999999999999</v>
      </c>
      <c r="T126" s="225">
        <v>-1.111</v>
      </c>
      <c r="U126" s="225">
        <v>-0.81</v>
      </c>
      <c r="V126" s="88">
        <f t="shared" ref="V126:AD126" si="122">-V216-V235</f>
        <v>-1.6388477928617742</v>
      </c>
      <c r="W126" s="88">
        <f t="shared" si="122"/>
        <v>-1.8596345067082014</v>
      </c>
      <c r="X126" s="88">
        <f t="shared" si="122"/>
        <v>-2.0298612244449803</v>
      </c>
      <c r="Y126" s="88">
        <f t="shared" si="122"/>
        <v>-2.2034262877580879</v>
      </c>
      <c r="Z126" s="88">
        <f t="shared" si="122"/>
        <v>-2.3803526426700783</v>
      </c>
      <c r="AA126" s="88">
        <f t="shared" si="122"/>
        <v>-2.7914164558459729</v>
      </c>
      <c r="AB126" s="88">
        <f t="shared" si="122"/>
        <v>-3.0726747675198851</v>
      </c>
      <c r="AC126" s="88">
        <f t="shared" si="122"/>
        <v>-3.3606880239602015</v>
      </c>
      <c r="AD126" s="88">
        <f t="shared" si="122"/>
        <v>-3.6555494568760185</v>
      </c>
      <c r="AE126" s="7"/>
    </row>
    <row r="127" spans="1:31" outlineLevel="1">
      <c r="A127" s="110" t="s">
        <v>131</v>
      </c>
      <c r="D127" s="70" t="s">
        <v>258</v>
      </c>
      <c r="G127" s="225">
        <v>0</v>
      </c>
      <c r="H127" s="225">
        <v>-18.550999999999998</v>
      </c>
      <c r="I127" s="225">
        <v>0</v>
      </c>
      <c r="J127" s="225">
        <f>0.071-26.207-SUM(G127:I127)</f>
        <v>-7.5850000000000009</v>
      </c>
      <c r="K127" s="225">
        <f>0.128-14.476</f>
        <v>-14.348000000000001</v>
      </c>
      <c r="L127" s="225">
        <f>0.046</f>
        <v>4.5999999999999999E-2</v>
      </c>
      <c r="M127" s="225">
        <f>0.336-1.775</f>
        <v>-1.4389999999999998</v>
      </c>
      <c r="N127" s="225">
        <f>0.028-55.194-SUM(K127:M127)</f>
        <v>-39.425000000000004</v>
      </c>
      <c r="O127" s="225">
        <v>-6.6989999999999998</v>
      </c>
      <c r="P127" s="225">
        <v>0.254</v>
      </c>
      <c r="Q127" s="225">
        <v>-2E-3</v>
      </c>
      <c r="R127" s="225">
        <f>0.09-43.793-SUM(O127:Q127)</f>
        <v>-37.255999999999993</v>
      </c>
      <c r="S127" s="225">
        <f>0.089-10.194</f>
        <v>-10.105</v>
      </c>
      <c r="T127" s="225">
        <f>-85.956+0.043</f>
        <v>-85.912999999999997</v>
      </c>
      <c r="U127" s="225">
        <f>-148.143+0.421</f>
        <v>-147.72200000000001</v>
      </c>
      <c r="V127" s="88">
        <f t="shared" ref="V127:AD127" si="123">-V278</f>
        <v>-12.013324171316841</v>
      </c>
      <c r="W127" s="88">
        <f t="shared" si="123"/>
        <v>-36.440416652994422</v>
      </c>
      <c r="X127" s="88">
        <f t="shared" si="123"/>
        <v>-36.960994033751483</v>
      </c>
      <c r="Y127" s="88">
        <f t="shared" si="123"/>
        <v>-37.481571414508544</v>
      </c>
      <c r="Z127" s="88">
        <f t="shared" si="123"/>
        <v>-38.002148795265605</v>
      </c>
      <c r="AA127" s="88">
        <f t="shared" si="123"/>
        <v>-51.857516006184362</v>
      </c>
      <c r="AB127" s="88">
        <f t="shared" si="123"/>
        <v>-52.558293249511181</v>
      </c>
      <c r="AC127" s="88">
        <f t="shared" si="123"/>
        <v>-53.259070492837999</v>
      </c>
      <c r="AD127" s="88">
        <f t="shared" si="123"/>
        <v>-53.959847736164811</v>
      </c>
      <c r="AE127" s="7"/>
    </row>
    <row r="128" spans="1:31" outlineLevel="1">
      <c r="A128" s="110" t="s">
        <v>259</v>
      </c>
      <c r="D128" s="70" t="s">
        <v>259</v>
      </c>
      <c r="G128" s="225">
        <v>0</v>
      </c>
      <c r="H128" s="225">
        <v>0</v>
      </c>
      <c r="I128" s="225">
        <v>0</v>
      </c>
      <c r="J128" s="225">
        <f>-3-5.149-1.25-SUM(G128:I128)</f>
        <v>-9.3990000000000009</v>
      </c>
      <c r="K128" s="225">
        <v>-9.7420000000000009</v>
      </c>
      <c r="L128" s="225">
        <v>-0.40100000000000002</v>
      </c>
      <c r="M128" s="225">
        <v>-7.0000000000000001E-3</v>
      </c>
      <c r="N128" s="225">
        <f>-2.42-3.463-SUM(K128:M128)</f>
        <v>4.2670000000000003</v>
      </c>
      <c r="O128" s="225">
        <v>-4.117</v>
      </c>
      <c r="P128" s="225">
        <f>-3.83-0.654</f>
        <v>-4.484</v>
      </c>
      <c r="Q128" s="225">
        <v>-4.306</v>
      </c>
      <c r="R128" s="225">
        <f>-4.244-13.654-SUM(O128:Q128)</f>
        <v>-4.9909999999999997</v>
      </c>
      <c r="S128" s="225">
        <f>-3.42-3.205</f>
        <v>-6.625</v>
      </c>
      <c r="T128" s="225">
        <f>-2.134-0.624</f>
        <v>-2.758</v>
      </c>
      <c r="U128" s="225">
        <v>-1.879</v>
      </c>
      <c r="V128" s="88">
        <f t="shared" ref="V128:AD128" si="124">V255</f>
        <v>-6.6038999999999994</v>
      </c>
      <c r="W128" s="88">
        <f t="shared" si="124"/>
        <v>-8.7524932748604947</v>
      </c>
      <c r="X128" s="88">
        <f t="shared" si="124"/>
        <v>-10.856419251885342</v>
      </c>
      <c r="Y128" s="88">
        <f t="shared" si="124"/>
        <v>-12.381212830341084</v>
      </c>
      <c r="Z128" s="88">
        <f t="shared" si="124"/>
        <v>-12.140002881451339</v>
      </c>
      <c r="AA128" s="88">
        <f t="shared" si="124"/>
        <v>-11.926545107399589</v>
      </c>
      <c r="AB128" s="88">
        <f t="shared" si="124"/>
        <v>-11.732852797775969</v>
      </c>
      <c r="AC128" s="88">
        <f t="shared" si="124"/>
        <v>-11.629198505302838</v>
      </c>
      <c r="AD128" s="88">
        <f t="shared" si="124"/>
        <v>-11.665779670230974</v>
      </c>
      <c r="AE128" s="7"/>
    </row>
    <row r="129" spans="1:31" outlineLevel="1">
      <c r="A129" s="110" t="s">
        <v>216</v>
      </c>
      <c r="D129" s="70" t="s">
        <v>127</v>
      </c>
      <c r="G129" s="225">
        <v>-0.183</v>
      </c>
      <c r="H129" s="225">
        <v>0</v>
      </c>
      <c r="I129" s="225">
        <v>0</v>
      </c>
      <c r="J129" s="225">
        <f>+-0.135-SUM(G129:I129)</f>
        <v>4.7999999999999987E-2</v>
      </c>
      <c r="K129" s="225">
        <v>0</v>
      </c>
      <c r="L129" s="225">
        <v>0</v>
      </c>
      <c r="M129" s="225">
        <v>0</v>
      </c>
      <c r="N129" s="225">
        <v>0</v>
      </c>
      <c r="O129" s="225">
        <v>0</v>
      </c>
      <c r="P129" s="225">
        <v>0</v>
      </c>
      <c r="Q129" s="225">
        <v>0</v>
      </c>
      <c r="R129" s="225">
        <v>0</v>
      </c>
      <c r="S129" s="225">
        <v>0</v>
      </c>
      <c r="T129" s="225">
        <v>0</v>
      </c>
      <c r="U129" s="225">
        <v>0</v>
      </c>
      <c r="V129" s="79">
        <v>0</v>
      </c>
      <c r="W129" s="79">
        <v>0</v>
      </c>
      <c r="X129" s="79">
        <v>0</v>
      </c>
      <c r="Y129" s="79">
        <v>0</v>
      </c>
      <c r="Z129" s="79">
        <v>0</v>
      </c>
      <c r="AA129" s="79">
        <v>0</v>
      </c>
      <c r="AB129" s="79">
        <v>0</v>
      </c>
      <c r="AC129" s="79">
        <v>0</v>
      </c>
      <c r="AD129" s="79">
        <v>0</v>
      </c>
      <c r="AE129" s="7"/>
    </row>
    <row r="130" spans="1:31" s="3" customFormat="1" outlineLevel="1">
      <c r="A130" s="110" t="s">
        <v>178</v>
      </c>
      <c r="B130" s="143"/>
      <c r="D130" s="2" t="s">
        <v>132</v>
      </c>
      <c r="E130" s="2"/>
      <c r="F130" s="2"/>
      <c r="G130" s="8">
        <f t="shared" ref="G130:T130" si="125">SUM(G126:G129)</f>
        <v>-0.93300000000000005</v>
      </c>
      <c r="H130" s="8">
        <f t="shared" si="125"/>
        <v>-22.242999999999999</v>
      </c>
      <c r="I130" s="8">
        <f t="shared" si="125"/>
        <v>-0.85699999999999998</v>
      </c>
      <c r="J130" s="8">
        <f t="shared" si="125"/>
        <v>-19.028000000000002</v>
      </c>
      <c r="K130" s="8">
        <f t="shared" si="125"/>
        <v>-25.265000000000001</v>
      </c>
      <c r="L130" s="8">
        <f t="shared" si="125"/>
        <v>-3.2949999999999999</v>
      </c>
      <c r="M130" s="8">
        <f t="shared" si="125"/>
        <v>-2.226</v>
      </c>
      <c r="N130" s="8">
        <f t="shared" si="125"/>
        <v>-32.064999999999998</v>
      </c>
      <c r="O130" s="8">
        <f t="shared" si="125"/>
        <v>-11.172000000000001</v>
      </c>
      <c r="P130" s="8">
        <f t="shared" si="125"/>
        <v>-4.7480000000000002</v>
      </c>
      <c r="Q130" s="8">
        <f t="shared" si="125"/>
        <v>-4.766</v>
      </c>
      <c r="R130" s="8">
        <f t="shared" si="125"/>
        <v>-45.905999999999992</v>
      </c>
      <c r="S130" s="8">
        <f t="shared" si="125"/>
        <v>-18.495000000000001</v>
      </c>
      <c r="T130" s="8">
        <f t="shared" si="125"/>
        <v>-89.781999999999996</v>
      </c>
      <c r="U130" s="8">
        <f t="shared" ref="U130:AD130" si="126">SUM(U126:U129)</f>
        <v>-150.411</v>
      </c>
      <c r="V130" s="8">
        <f t="shared" si="126"/>
        <v>-20.256071964178616</v>
      </c>
      <c r="W130" s="8">
        <f t="shared" si="126"/>
        <v>-47.052544434563117</v>
      </c>
      <c r="X130" s="8">
        <f t="shared" si="126"/>
        <v>-49.847274510081803</v>
      </c>
      <c r="Y130" s="8">
        <f t="shared" si="126"/>
        <v>-52.066210532607712</v>
      </c>
      <c r="Z130" s="8">
        <f t="shared" si="126"/>
        <v>-52.522504319387018</v>
      </c>
      <c r="AA130" s="8">
        <f t="shared" si="126"/>
        <v>-66.575477569429921</v>
      </c>
      <c r="AB130" s="8">
        <f t="shared" si="126"/>
        <v>-67.363820814807042</v>
      </c>
      <c r="AC130" s="8">
        <f t="shared" si="126"/>
        <v>-68.248957022101038</v>
      </c>
      <c r="AD130" s="8">
        <f t="shared" si="126"/>
        <v>-69.281176863271796</v>
      </c>
      <c r="AE130" s="64"/>
    </row>
    <row r="131" spans="1:31" outlineLevel="1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:31" outlineLevel="1">
      <c r="A132" s="110" t="s">
        <v>133</v>
      </c>
      <c r="D132" s="70" t="s">
        <v>133</v>
      </c>
      <c r="G132" s="225">
        <f>-2.87+G25</f>
        <v>-2.5649999999999999</v>
      </c>
      <c r="H132" s="225">
        <f>-110.124+121.149+H25</f>
        <v>12.285000000000005</v>
      </c>
      <c r="I132" s="225">
        <f>-104.883+115.948+I25</f>
        <v>11.447999999999997</v>
      </c>
      <c r="J132" s="225">
        <f>5.25-221.001+259.349-SUM(G132:I132)+SUM(G25:J25)</f>
        <v>23.845999999999982</v>
      </c>
      <c r="K132" s="225">
        <f>-1.994-169.499+200.691+K25</f>
        <v>30.332000000000008</v>
      </c>
      <c r="L132" s="225">
        <f>-1.239-217.162+213.576+L25</f>
        <v>-5.2900000000000169</v>
      </c>
      <c r="M132" s="225">
        <f>-0.596-183.347+194.752+M25</f>
        <v>9.389999999999997</v>
      </c>
      <c r="N132" s="225">
        <f>-4.241-822.542+897.441-SUM(K132:M132)+SUM(K25:N25)</f>
        <v>40.143000000000029</v>
      </c>
      <c r="O132" s="225">
        <f>-12.392+O25</f>
        <v>-11.324999999999999</v>
      </c>
      <c r="P132" s="225">
        <f>-0.174-0.93+P25</f>
        <v>1.499999999999968E-2</v>
      </c>
      <c r="Q132" s="225">
        <f>-0.083-286.423+243.729+Q25</f>
        <v>-41.429000000000016</v>
      </c>
      <c r="R132" s="225">
        <f>-4.626-3.896-1150.192+1132.227-SUM(O132:Q132)+SUM(O25:R25)</f>
        <v>31.064000000000167</v>
      </c>
      <c r="S132" s="225">
        <f>-2.691+4.242+S25</f>
        <v>1.5110000000000001</v>
      </c>
      <c r="T132" s="225">
        <f>-0.642-87.791+T25</f>
        <v>-89.324999999999989</v>
      </c>
      <c r="U132" s="225">
        <f>-0.376-51.9+U25</f>
        <v>-51.308999999999997</v>
      </c>
      <c r="V132" s="89">
        <f t="shared" ref="V132:AD132" si="127">V155-U155+V162-U162</f>
        <v>25.536233442530285</v>
      </c>
      <c r="W132" s="89">
        <f t="shared" si="127"/>
        <v>11.590926496741684</v>
      </c>
      <c r="X132" s="89">
        <f t="shared" si="127"/>
        <v>11.371706965431649</v>
      </c>
      <c r="Y132" s="89">
        <f t="shared" si="127"/>
        <v>14.774206892486035</v>
      </c>
      <c r="Z132" s="89">
        <f t="shared" si="127"/>
        <v>32.464553838836004</v>
      </c>
      <c r="AA132" s="89">
        <f t="shared" si="127"/>
        <v>20.959679157495998</v>
      </c>
      <c r="AB132" s="89">
        <f t="shared" si="127"/>
        <v>25.826361137394969</v>
      </c>
      <c r="AC132" s="89">
        <f t="shared" si="127"/>
        <v>25.95359589094079</v>
      </c>
      <c r="AD132" s="89">
        <f t="shared" si="127"/>
        <v>59.215193863331081</v>
      </c>
      <c r="AE132" s="7"/>
    </row>
    <row r="133" spans="1:31" outlineLevel="1">
      <c r="A133" s="110" t="s">
        <v>260</v>
      </c>
      <c r="D133" s="70" t="s">
        <v>260</v>
      </c>
      <c r="G133" s="225">
        <v>-7.6999999999999999E-2</v>
      </c>
      <c r="H133" s="225">
        <v>-0.104</v>
      </c>
      <c r="I133" s="225">
        <v>0.18099999999999999</v>
      </c>
      <c r="J133" s="225">
        <f>-0.521-SUM(G133:I133)</f>
        <v>-0.52100000000000002</v>
      </c>
      <c r="K133" s="225">
        <v>-1.3029999999999999</v>
      </c>
      <c r="L133" s="225">
        <v>-1.214</v>
      </c>
      <c r="M133" s="225">
        <v>-2.1850000000000001</v>
      </c>
      <c r="N133" s="225">
        <f>-6.937-SUM(K133:M133)</f>
        <v>-2.2350000000000003</v>
      </c>
      <c r="O133" s="225">
        <v>-2.5270000000000001</v>
      </c>
      <c r="P133" s="225">
        <v>-2.7280000000000002</v>
      </c>
      <c r="Q133" s="225">
        <v>-2.246</v>
      </c>
      <c r="R133" s="225">
        <f>-9.706-SUM(O133:Q133)</f>
        <v>-2.2049999999999983</v>
      </c>
      <c r="S133" s="225">
        <v>-2.2850000000000001</v>
      </c>
      <c r="T133" s="225">
        <v>-2.133</v>
      </c>
      <c r="U133" s="225">
        <v>-2.5840000000000001</v>
      </c>
      <c r="V133" s="89">
        <f t="shared" ref="V133:AD133" si="128">V227</f>
        <v>-1.9371227165741451</v>
      </c>
      <c r="W133" s="89">
        <f t="shared" si="128"/>
        <v>-2.5941768934520333</v>
      </c>
      <c r="X133" s="89">
        <f t="shared" si="128"/>
        <v>-2.4639696791462429</v>
      </c>
      <c r="Y133" s="89">
        <f t="shared" si="128"/>
        <v>-2.424260331008619</v>
      </c>
      <c r="Z133" s="89">
        <f t="shared" si="128"/>
        <v>-2.3458976915671625</v>
      </c>
      <c r="AA133" s="89">
        <f t="shared" si="128"/>
        <v>-2.8784168144021463</v>
      </c>
      <c r="AB133" s="89">
        <f t="shared" si="128"/>
        <v>-2.9419001001342813</v>
      </c>
      <c r="AC133" s="89">
        <f t="shared" si="128"/>
        <v>-3.0779403935965339</v>
      </c>
      <c r="AD133" s="89">
        <f t="shared" si="128"/>
        <v>-3.1695826393688806</v>
      </c>
      <c r="AE133" s="7"/>
    </row>
    <row r="134" spans="1:31" outlineLevel="1">
      <c r="A134" s="110" t="s">
        <v>210</v>
      </c>
      <c r="D134" s="70" t="s">
        <v>210</v>
      </c>
      <c r="G134" s="225">
        <v>4.0309999999999997</v>
      </c>
      <c r="H134" s="225">
        <v>0</v>
      </c>
      <c r="I134" s="225">
        <v>6.9720000000000004</v>
      </c>
      <c r="J134" s="225">
        <f>12.228-SUM(G134:I134)</f>
        <v>1.2249999999999996</v>
      </c>
      <c r="K134" s="225">
        <v>0.10299999999999999</v>
      </c>
      <c r="L134" s="225">
        <v>0.157</v>
      </c>
      <c r="M134" s="225">
        <v>1.3089999999999999</v>
      </c>
      <c r="N134" s="225">
        <f>2.341-SUM(K134:M134)</f>
        <v>0.77200000000000024</v>
      </c>
      <c r="O134" s="225">
        <f>9.653-1.246</f>
        <v>8.407</v>
      </c>
      <c r="P134" s="225">
        <f>0.005-0.879</f>
        <v>-0.874</v>
      </c>
      <c r="Q134" s="225">
        <v>50.73</v>
      </c>
      <c r="R134" s="225">
        <f>103.597-2.125-SUM(O134:Q134)</f>
        <v>43.208999999999996</v>
      </c>
      <c r="S134" s="225">
        <v>80.94</v>
      </c>
      <c r="T134" s="225">
        <v>164.482</v>
      </c>
      <c r="U134" s="225">
        <v>248.37</v>
      </c>
      <c r="V134" s="165">
        <v>0</v>
      </c>
      <c r="W134" s="165">
        <f t="shared" ref="W134:Z135" si="129">V134</f>
        <v>0</v>
      </c>
      <c r="X134" s="165">
        <f t="shared" si="129"/>
        <v>0</v>
      </c>
      <c r="Y134" s="165">
        <f t="shared" si="129"/>
        <v>0</v>
      </c>
      <c r="Z134" s="165">
        <f t="shared" si="129"/>
        <v>0</v>
      </c>
      <c r="AA134" s="165">
        <f t="shared" ref="AA134:AD135" si="130">Z134</f>
        <v>0</v>
      </c>
      <c r="AB134" s="165">
        <f t="shared" si="130"/>
        <v>0</v>
      </c>
      <c r="AC134" s="165">
        <f t="shared" si="130"/>
        <v>0</v>
      </c>
      <c r="AD134" s="165">
        <f t="shared" si="130"/>
        <v>0</v>
      </c>
      <c r="AE134" s="79"/>
    </row>
    <row r="135" spans="1:31" outlineLevel="1">
      <c r="A135" s="110" t="s">
        <v>134</v>
      </c>
      <c r="D135" s="70" t="s">
        <v>134</v>
      </c>
      <c r="G135" s="225">
        <v>0</v>
      </c>
      <c r="H135" s="225">
        <v>0</v>
      </c>
      <c r="I135" s="225">
        <v>0</v>
      </c>
      <c r="J135" s="225">
        <v>0</v>
      </c>
      <c r="K135" s="225">
        <v>0</v>
      </c>
      <c r="L135" s="225">
        <v>0</v>
      </c>
      <c r="M135" s="225">
        <v>0</v>
      </c>
      <c r="N135" s="225">
        <v>0</v>
      </c>
      <c r="O135" s="225">
        <v>0</v>
      </c>
      <c r="P135" s="225">
        <v>0</v>
      </c>
      <c r="Q135" s="225">
        <v>0</v>
      </c>
      <c r="R135" s="225">
        <v>0</v>
      </c>
      <c r="S135" s="225">
        <v>0</v>
      </c>
      <c r="T135" s="225">
        <v>0</v>
      </c>
      <c r="U135" s="225">
        <v>0</v>
      </c>
      <c r="V135" s="165">
        <f>U135</f>
        <v>0</v>
      </c>
      <c r="W135" s="165">
        <f t="shared" si="129"/>
        <v>0</v>
      </c>
      <c r="X135" s="165">
        <f t="shared" si="129"/>
        <v>0</v>
      </c>
      <c r="Y135" s="165">
        <f t="shared" si="129"/>
        <v>0</v>
      </c>
      <c r="Z135" s="165">
        <f t="shared" si="129"/>
        <v>0</v>
      </c>
      <c r="AA135" s="165">
        <f t="shared" si="130"/>
        <v>0</v>
      </c>
      <c r="AB135" s="165">
        <f t="shared" si="130"/>
        <v>0</v>
      </c>
      <c r="AC135" s="165">
        <f t="shared" si="130"/>
        <v>0</v>
      </c>
      <c r="AD135" s="165">
        <f t="shared" si="130"/>
        <v>0</v>
      </c>
      <c r="AE135" s="7"/>
    </row>
    <row r="136" spans="1:31" outlineLevel="1">
      <c r="A136" s="110" t="s">
        <v>361</v>
      </c>
      <c r="D136" s="70" t="s">
        <v>127</v>
      </c>
      <c r="G136" s="225">
        <v>0</v>
      </c>
      <c r="H136" s="225">
        <v>-2.9750000000000001</v>
      </c>
      <c r="I136" s="225">
        <v>-5.4169999999999998</v>
      </c>
      <c r="J136" s="225">
        <f>-1.89-SUM(G136:I136)-2.28</f>
        <v>4.2219999999999995</v>
      </c>
      <c r="K136" s="225">
        <f>-1.297-0.517</f>
        <v>-1.8140000000000001</v>
      </c>
      <c r="L136" s="225">
        <v>-0.78100000000000003</v>
      </c>
      <c r="M136" s="225">
        <v>-0.16500000000000001</v>
      </c>
      <c r="N136" s="225">
        <f>-2.879-SUM(K136:M136)</f>
        <v>-0.11899999999999977</v>
      </c>
      <c r="O136" s="225">
        <v>-0.25</v>
      </c>
      <c r="P136" s="225">
        <v>0</v>
      </c>
      <c r="Q136" s="225">
        <v>-0.19500000000000001</v>
      </c>
      <c r="R136" s="225">
        <f>8.117-SUM(O136:Q136)</f>
        <v>8.5620000000000012</v>
      </c>
      <c r="S136" s="225">
        <v>-49.670999999999999</v>
      </c>
      <c r="T136" s="225">
        <v>49.670999999999999</v>
      </c>
      <c r="U136" s="225">
        <v>-11.467000000000001</v>
      </c>
      <c r="V136" s="79">
        <v>0</v>
      </c>
      <c r="W136" s="79">
        <v>0</v>
      </c>
      <c r="X136" s="79">
        <v>0</v>
      </c>
      <c r="Y136" s="79">
        <v>0</v>
      </c>
      <c r="Z136" s="79">
        <v>0</v>
      </c>
      <c r="AA136" s="79">
        <v>0</v>
      </c>
      <c r="AB136" s="79">
        <v>0</v>
      </c>
      <c r="AC136" s="79">
        <v>0</v>
      </c>
      <c r="AD136" s="79">
        <v>0</v>
      </c>
      <c r="AE136" s="7"/>
    </row>
    <row r="137" spans="1:31" s="3" customFormat="1" outlineLevel="1">
      <c r="A137" s="110" t="s">
        <v>179</v>
      </c>
      <c r="B137" s="143"/>
      <c r="D137" s="2" t="s">
        <v>135</v>
      </c>
      <c r="E137" s="2"/>
      <c r="F137" s="2"/>
      <c r="G137" s="8">
        <f t="shared" ref="G137:S137" si="131">SUM(G132:G136)</f>
        <v>1.3889999999999998</v>
      </c>
      <c r="H137" s="8">
        <f t="shared" si="131"/>
        <v>9.2060000000000066</v>
      </c>
      <c r="I137" s="8">
        <f t="shared" si="131"/>
        <v>13.183999999999996</v>
      </c>
      <c r="J137" s="8">
        <f t="shared" si="131"/>
        <v>28.771999999999984</v>
      </c>
      <c r="K137" s="8">
        <f t="shared" si="131"/>
        <v>27.318000000000008</v>
      </c>
      <c r="L137" s="8">
        <f t="shared" si="131"/>
        <v>-7.128000000000017</v>
      </c>
      <c r="M137" s="8">
        <f t="shared" si="131"/>
        <v>8.3489999999999966</v>
      </c>
      <c r="N137" s="8">
        <f t="shared" si="131"/>
        <v>38.561000000000028</v>
      </c>
      <c r="O137" s="8">
        <f t="shared" si="131"/>
        <v>-5.6950000000000003</v>
      </c>
      <c r="P137" s="8">
        <f t="shared" si="131"/>
        <v>-3.5870000000000006</v>
      </c>
      <c r="Q137" s="8">
        <f t="shared" si="131"/>
        <v>6.8599999999999781</v>
      </c>
      <c r="R137" s="8">
        <f t="shared" si="131"/>
        <v>80.630000000000166</v>
      </c>
      <c r="S137" s="8">
        <f t="shared" si="131"/>
        <v>30.494999999999997</v>
      </c>
      <c r="T137" s="8">
        <f t="shared" ref="T137:AD137" si="132">SUM(T132:T136)</f>
        <v>122.69500000000002</v>
      </c>
      <c r="U137" s="8">
        <f t="shared" si="132"/>
        <v>183.01</v>
      </c>
      <c r="V137" s="8">
        <f t="shared" si="132"/>
        <v>23.599110725956141</v>
      </c>
      <c r="W137" s="8">
        <f t="shared" si="132"/>
        <v>8.9967496032896506</v>
      </c>
      <c r="X137" s="8">
        <f t="shared" si="132"/>
        <v>8.907737286285407</v>
      </c>
      <c r="Y137" s="8">
        <f t="shared" si="132"/>
        <v>12.349946561477417</v>
      </c>
      <c r="Z137" s="8">
        <f t="shared" si="132"/>
        <v>30.11865614726884</v>
      </c>
      <c r="AA137" s="8">
        <f t="shared" si="132"/>
        <v>18.081262343093851</v>
      </c>
      <c r="AB137" s="8">
        <f t="shared" si="132"/>
        <v>22.884461037260689</v>
      </c>
      <c r="AC137" s="8">
        <f t="shared" si="132"/>
        <v>22.875655497344255</v>
      </c>
      <c r="AD137" s="8">
        <f t="shared" si="132"/>
        <v>56.045611223962197</v>
      </c>
      <c r="AE137" s="64"/>
    </row>
    <row r="138" spans="1:31" outlineLevel="1">
      <c r="A138" s="110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7"/>
      <c r="U138" s="56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:31" outlineLevel="1">
      <c r="A139" s="110" t="s">
        <v>136</v>
      </c>
      <c r="D139" s="70" t="s">
        <v>136</v>
      </c>
      <c r="G139" s="225">
        <v>5.8999999999999997E-2</v>
      </c>
      <c r="H139" s="225">
        <v>-0.442</v>
      </c>
      <c r="I139" s="225">
        <v>0.115</v>
      </c>
      <c r="J139" s="225">
        <f>-0.313-SUM(G139:I139)</f>
        <v>-4.4999999999999984E-2</v>
      </c>
      <c r="K139" s="225">
        <v>0.25700000000000001</v>
      </c>
      <c r="L139" s="225">
        <v>0.48799999999999999</v>
      </c>
      <c r="M139" s="225">
        <v>-0.59</v>
      </c>
      <c r="N139" s="225">
        <f>-2.345-SUM(K139:M139)</f>
        <v>-2.5</v>
      </c>
      <c r="O139" s="225">
        <v>-0.753</v>
      </c>
      <c r="P139" s="225">
        <v>0.23100000000000001</v>
      </c>
      <c r="Q139" s="225">
        <v>5.6000000000000001E-2</v>
      </c>
      <c r="R139" s="225">
        <f>0.628-SUM(O139:Q139)</f>
        <v>1.0940000000000001</v>
      </c>
      <c r="S139" s="225">
        <v>-0.375</v>
      </c>
      <c r="T139" s="225">
        <v>3.5489999999999999</v>
      </c>
      <c r="U139" s="225">
        <v>6.2290000000000001</v>
      </c>
      <c r="V139" s="79">
        <v>0</v>
      </c>
      <c r="W139" s="79">
        <v>0</v>
      </c>
      <c r="X139" s="79">
        <v>0</v>
      </c>
      <c r="Y139" s="79">
        <v>0</v>
      </c>
      <c r="Z139" s="79">
        <v>0</v>
      </c>
      <c r="AA139" s="79">
        <v>0</v>
      </c>
      <c r="AB139" s="79">
        <v>0</v>
      </c>
      <c r="AC139" s="79">
        <v>0</v>
      </c>
      <c r="AD139" s="79">
        <v>0</v>
      </c>
      <c r="AE139" s="7"/>
    </row>
    <row r="140" spans="1:31" s="3" customFormat="1" outlineLevel="1">
      <c r="A140" s="110"/>
      <c r="B140" s="143"/>
      <c r="D140" s="2" t="s">
        <v>137</v>
      </c>
      <c r="E140" s="2"/>
      <c r="F140" s="2"/>
      <c r="G140" s="8">
        <f t="shared" ref="G140:S140" si="133">SUM(G139,G137,G130,G123)</f>
        <v>-0.93800000000001482</v>
      </c>
      <c r="H140" s="8">
        <f t="shared" si="133"/>
        <v>7.6640000000000157</v>
      </c>
      <c r="I140" s="8">
        <f t="shared" si="133"/>
        <v>3.4100000000000072</v>
      </c>
      <c r="J140" s="8">
        <f t="shared" si="133"/>
        <v>6.9999999999534879E-3</v>
      </c>
      <c r="K140" s="8">
        <f t="shared" si="133"/>
        <v>-1.4359999999999999</v>
      </c>
      <c r="L140" s="8">
        <f t="shared" si="133"/>
        <v>3.7620000000000022</v>
      </c>
      <c r="M140" s="8">
        <f t="shared" si="133"/>
        <v>5.0639999999999947</v>
      </c>
      <c r="N140" s="8">
        <f t="shared" si="133"/>
        <v>4.0170000000001194</v>
      </c>
      <c r="O140" s="8">
        <f t="shared" si="133"/>
        <v>6.1589999999999989</v>
      </c>
      <c r="P140" s="8">
        <f t="shared" si="133"/>
        <v>9.6229999999999993</v>
      </c>
      <c r="Q140" s="8">
        <f t="shared" si="133"/>
        <v>22.678999999999998</v>
      </c>
      <c r="R140" s="8">
        <f t="shared" si="133"/>
        <v>6.8430000000000994</v>
      </c>
      <c r="S140" s="8">
        <f t="shared" si="133"/>
        <v>3.6650000000000045</v>
      </c>
      <c r="T140" s="8">
        <f t="shared" ref="T140:AD140" si="134">SUM(T139,T137,T130,T123)</f>
        <v>56.490999999999971</v>
      </c>
      <c r="U140" s="8">
        <f t="shared" si="134"/>
        <v>85.421000000000049</v>
      </c>
      <c r="V140" s="8">
        <f t="shared" si="134"/>
        <v>-13.771018662500939</v>
      </c>
      <c r="W140" s="8">
        <f t="shared" si="134"/>
        <v>-24.944682527227897</v>
      </c>
      <c r="X140" s="8">
        <f t="shared" si="134"/>
        <v>-22.634611720423532</v>
      </c>
      <c r="Y140" s="8">
        <f t="shared" si="134"/>
        <v>-16.005228713282079</v>
      </c>
      <c r="Z140" s="8">
        <f t="shared" si="134"/>
        <v>15.628632343837904</v>
      </c>
      <c r="AA140" s="8">
        <f t="shared" si="134"/>
        <v>-18.546662974199457</v>
      </c>
      <c r="AB140" s="8">
        <f t="shared" si="134"/>
        <v>-12.050912792434296</v>
      </c>
      <c r="AC140" s="8">
        <f t="shared" si="134"/>
        <v>-13.028551653185517</v>
      </c>
      <c r="AD140" s="8">
        <f t="shared" si="134"/>
        <v>34.739660996390043</v>
      </c>
      <c r="AE140" s="64"/>
    </row>
    <row r="141" spans="1:31">
      <c r="G141" s="7"/>
      <c r="H141" s="7"/>
      <c r="I141" s="7"/>
      <c r="J141" s="7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:31">
      <c r="C142" s="104"/>
      <c r="D142" s="105" t="s">
        <v>138</v>
      </c>
      <c r="E142" s="104"/>
      <c r="F142" s="104"/>
      <c r="G142" s="104"/>
      <c r="H142" s="104"/>
      <c r="I142" s="104"/>
      <c r="J142" s="104"/>
      <c r="K142" s="104"/>
      <c r="L142" s="104"/>
      <c r="M142" s="104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04"/>
      <c r="AA142" s="104"/>
      <c r="AB142" s="104"/>
      <c r="AC142" s="104"/>
      <c r="AD142" s="104"/>
    </row>
    <row r="143" spans="1:31" ht="5.0999999999999996" customHeight="1">
      <c r="B143" s="142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7"/>
    </row>
    <row r="144" spans="1:31" outlineLevel="1">
      <c r="A144" s="110" t="s">
        <v>236</v>
      </c>
      <c r="D144" s="70" t="s">
        <v>236</v>
      </c>
      <c r="G144" s="225"/>
      <c r="H144" s="225"/>
      <c r="I144" s="225">
        <f>10.289+10.742</f>
        <v>21.030999999999999</v>
      </c>
      <c r="J144" s="225">
        <f>10.482+4.24</f>
        <v>14.722</v>
      </c>
      <c r="K144" s="225">
        <f>9.046+5.512</f>
        <v>14.558</v>
      </c>
      <c r="L144" s="225">
        <f>12.808+5.464</f>
        <v>18.271999999999998</v>
      </c>
      <c r="M144" s="225">
        <f>15.732+5.483</f>
        <v>21.215</v>
      </c>
      <c r="N144" s="225">
        <f>20.59+7.848</f>
        <v>28.437999999999999</v>
      </c>
      <c r="O144" s="225">
        <f>26.749+8.145</f>
        <v>34.893999999999998</v>
      </c>
      <c r="P144" s="225">
        <f>36.372+8.098</f>
        <v>44.47</v>
      </c>
      <c r="Q144" s="225">
        <f>59.051+8.053</f>
        <v>67.103999999999999</v>
      </c>
      <c r="R144" s="225">
        <v>64.766999999999996</v>
      </c>
      <c r="S144" s="225">
        <f>68.432+49.671</f>
        <v>118.10300000000001</v>
      </c>
      <c r="T144" s="225">
        <v>124.923</v>
      </c>
      <c r="U144" s="225">
        <f>210.344+11.467</f>
        <v>221.81100000000001</v>
      </c>
      <c r="V144" s="7">
        <f t="shared" ref="V144:AD144" si="135">U144+V140</f>
        <v>208.03998133749906</v>
      </c>
      <c r="W144" s="7">
        <f t="shared" si="135"/>
        <v>183.09529881027117</v>
      </c>
      <c r="X144" s="7">
        <f t="shared" si="135"/>
        <v>160.46068708984765</v>
      </c>
      <c r="Y144" s="7">
        <f t="shared" si="135"/>
        <v>144.45545837656556</v>
      </c>
      <c r="Z144" s="7">
        <f t="shared" si="135"/>
        <v>160.08409072040345</v>
      </c>
      <c r="AA144" s="7">
        <f t="shared" si="135"/>
        <v>141.537427746204</v>
      </c>
      <c r="AB144" s="7">
        <f t="shared" si="135"/>
        <v>129.4865149537697</v>
      </c>
      <c r="AC144" s="7">
        <f t="shared" si="135"/>
        <v>116.45796330058418</v>
      </c>
      <c r="AD144" s="7">
        <f t="shared" si="135"/>
        <v>151.19762429697423</v>
      </c>
      <c r="AE144" s="7"/>
    </row>
    <row r="145" spans="1:31" outlineLevel="1">
      <c r="A145" s="110" t="s">
        <v>237</v>
      </c>
      <c r="D145" s="70" t="s">
        <v>237</v>
      </c>
      <c r="G145" s="225"/>
      <c r="H145" s="225"/>
      <c r="I145" s="225">
        <v>69.572999999999993</v>
      </c>
      <c r="J145" s="225">
        <v>129.97900000000001</v>
      </c>
      <c r="K145" s="225">
        <v>158.63900000000001</v>
      </c>
      <c r="L145" s="225">
        <v>129.483</v>
      </c>
      <c r="M145" s="225">
        <v>121.048</v>
      </c>
      <c r="N145" s="225">
        <v>220.13800000000001</v>
      </c>
      <c r="O145" s="225">
        <v>251.58500000000001</v>
      </c>
      <c r="P145" s="225">
        <v>206.15299999999999</v>
      </c>
      <c r="Q145" s="225">
        <v>186.34899999999999</v>
      </c>
      <c r="R145" s="225">
        <v>364.30799999999999</v>
      </c>
      <c r="S145" s="225">
        <v>345.23899999999998</v>
      </c>
      <c r="T145" s="225">
        <v>351.66300000000001</v>
      </c>
      <c r="U145" s="225">
        <v>358.54899999999998</v>
      </c>
      <c r="V145" s="206">
        <f t="shared" ref="V145:AD145" si="136">(V$172+SUM(V$156:V$159)-(V$157-$U$157))*U145/SUM(U$145:U$147)</f>
        <v>381.85786641246614</v>
      </c>
      <c r="W145" s="206">
        <f t="shared" si="136"/>
        <v>382.0781586675119</v>
      </c>
      <c r="X145" s="206">
        <f t="shared" si="136"/>
        <v>381.12029157442629</v>
      </c>
      <c r="Y145" s="206">
        <f t="shared" si="136"/>
        <v>380.60442089821237</v>
      </c>
      <c r="Z145" s="206">
        <f t="shared" si="136"/>
        <v>373.19548393659903</v>
      </c>
      <c r="AA145" s="206">
        <f t="shared" si="136"/>
        <v>372.31224117228004</v>
      </c>
      <c r="AB145" s="206">
        <f t="shared" si="136"/>
        <v>370.41951297665145</v>
      </c>
      <c r="AC145" s="206">
        <f t="shared" si="136"/>
        <v>369.14449468560235</v>
      </c>
      <c r="AD145" s="206">
        <f t="shared" si="136"/>
        <v>360.69264469223123</v>
      </c>
      <c r="AE145" s="7"/>
    </row>
    <row r="146" spans="1:31" outlineLevel="1">
      <c r="A146" s="110" t="s">
        <v>238</v>
      </c>
      <c r="D146" s="70" t="s">
        <v>238</v>
      </c>
      <c r="G146" s="225"/>
      <c r="H146" s="225"/>
      <c r="I146" s="225">
        <v>15.025</v>
      </c>
      <c r="J146" s="225">
        <v>12.391999999999999</v>
      </c>
      <c r="K146" s="225">
        <v>15.358000000000001</v>
      </c>
      <c r="L146" s="225">
        <v>16.428999999999998</v>
      </c>
      <c r="M146" s="225">
        <v>14.369</v>
      </c>
      <c r="N146" s="225">
        <v>23.376000000000001</v>
      </c>
      <c r="O146" s="225">
        <v>45.393000000000001</v>
      </c>
      <c r="P146" s="225">
        <v>28.048999999999999</v>
      </c>
      <c r="Q146" s="225">
        <v>25.201000000000001</v>
      </c>
      <c r="R146" s="225">
        <v>37.868000000000002</v>
      </c>
      <c r="S146" s="225">
        <v>51.71</v>
      </c>
      <c r="T146" s="225">
        <v>62.095999999999997</v>
      </c>
      <c r="U146" s="225">
        <v>79.551000000000002</v>
      </c>
      <c r="V146" s="206">
        <f t="shared" ref="V146:AD146" si="137">(V$172+SUM(V$156:V$159)-(V$157-$U$157))*U146/SUM(U$145:U$147)</f>
        <v>84.722520857618051</v>
      </c>
      <c r="W146" s="206">
        <f t="shared" si="137"/>
        <v>84.771396936427777</v>
      </c>
      <c r="X146" s="206">
        <f t="shared" si="137"/>
        <v>84.558875676789469</v>
      </c>
      <c r="Y146" s="206">
        <f t="shared" si="137"/>
        <v>84.44441983347798</v>
      </c>
      <c r="Z146" s="206">
        <f t="shared" si="137"/>
        <v>82.800604499358229</v>
      </c>
      <c r="AA146" s="206">
        <f t="shared" si="137"/>
        <v>82.604640084050018</v>
      </c>
      <c r="AB146" s="206">
        <f t="shared" si="137"/>
        <v>82.184701886787025</v>
      </c>
      <c r="AC146" s="206">
        <f t="shared" si="137"/>
        <v>81.901814526701656</v>
      </c>
      <c r="AD146" s="206">
        <f t="shared" si="137"/>
        <v>80.026608853773638</v>
      </c>
      <c r="AE146" s="7"/>
    </row>
    <row r="147" spans="1:31" outlineLevel="1">
      <c r="A147" s="110" t="s">
        <v>239</v>
      </c>
      <c r="D147" s="70" t="s">
        <v>239</v>
      </c>
      <c r="G147" s="225"/>
      <c r="H147" s="225"/>
      <c r="I147" s="225">
        <v>4.1289999999999996</v>
      </c>
      <c r="J147" s="225">
        <v>5.758</v>
      </c>
      <c r="K147" s="225">
        <v>6.3879999999999999</v>
      </c>
      <c r="L147" s="225">
        <v>11.435</v>
      </c>
      <c r="M147" s="225">
        <v>12.622999999999999</v>
      </c>
      <c r="N147" s="225">
        <v>15.231999999999999</v>
      </c>
      <c r="O147" s="225">
        <v>13.483000000000001</v>
      </c>
      <c r="P147" s="225">
        <v>10.993</v>
      </c>
      <c r="Q147" s="225">
        <v>12.042</v>
      </c>
      <c r="R147" s="225">
        <v>10.375999999999999</v>
      </c>
      <c r="S147" s="225">
        <v>10.397</v>
      </c>
      <c r="T147" s="225">
        <v>9.7569999999999997</v>
      </c>
      <c r="U147" s="225">
        <v>15.465999999999999</v>
      </c>
      <c r="V147" s="206">
        <f t="shared" ref="V147:AD147" si="138">(V$172+SUM(V$156:V$159)-(V$157-$U$157))*U147/SUM(U$145:U$147)</f>
        <v>16.471427230128104</v>
      </c>
      <c r="W147" s="206">
        <f t="shared" si="138"/>
        <v>16.480929529720456</v>
      </c>
      <c r="X147" s="206">
        <f t="shared" si="138"/>
        <v>16.439611962354039</v>
      </c>
      <c r="Y147" s="206">
        <f t="shared" si="138"/>
        <v>16.417359896727518</v>
      </c>
      <c r="Z147" s="206">
        <f t="shared" si="138"/>
        <v>16.097775630564982</v>
      </c>
      <c r="AA147" s="206">
        <f t="shared" si="138"/>
        <v>16.059676981306559</v>
      </c>
      <c r="AB147" s="206">
        <f t="shared" si="138"/>
        <v>15.978034209262596</v>
      </c>
      <c r="AC147" s="206">
        <f t="shared" si="138"/>
        <v>15.923036334803692</v>
      </c>
      <c r="AD147" s="206">
        <f t="shared" si="138"/>
        <v>15.558466047346531</v>
      </c>
      <c r="AE147" s="7"/>
    </row>
    <row r="148" spans="1:31" s="3" customFormat="1" outlineLevel="1">
      <c r="A148" s="110" t="s">
        <v>180</v>
      </c>
      <c r="B148" s="143"/>
      <c r="D148" s="2" t="s">
        <v>140</v>
      </c>
      <c r="E148" s="2"/>
      <c r="F148" s="2"/>
      <c r="G148" s="8">
        <f t="shared" ref="G148:O148" si="139">SUM(G144:G147)</f>
        <v>0</v>
      </c>
      <c r="H148" s="8">
        <f t="shared" si="139"/>
        <v>0</v>
      </c>
      <c r="I148" s="8">
        <f t="shared" si="139"/>
        <v>109.758</v>
      </c>
      <c r="J148" s="8">
        <f t="shared" si="139"/>
        <v>162.85100000000003</v>
      </c>
      <c r="K148" s="8">
        <f t="shared" si="139"/>
        <v>194.94300000000001</v>
      </c>
      <c r="L148" s="8">
        <f t="shared" si="139"/>
        <v>175.619</v>
      </c>
      <c r="M148" s="8">
        <f t="shared" si="139"/>
        <v>169.255</v>
      </c>
      <c r="N148" s="8">
        <f t="shared" si="139"/>
        <v>287.18399999999997</v>
      </c>
      <c r="O148" s="8">
        <f t="shared" si="139"/>
        <v>345.35499999999996</v>
      </c>
      <c r="P148" s="8">
        <f t="shared" ref="P148:Z148" si="140">SUM(P144:P147)</f>
        <v>289.66499999999996</v>
      </c>
      <c r="Q148" s="8">
        <f t="shared" si="140"/>
        <v>290.69599999999997</v>
      </c>
      <c r="R148" s="8">
        <f t="shared" si="140"/>
        <v>477.31899999999996</v>
      </c>
      <c r="S148" s="8">
        <f t="shared" si="140"/>
        <v>525.44900000000007</v>
      </c>
      <c r="T148" s="8">
        <f t="shared" si="140"/>
        <v>548.43899999999996</v>
      </c>
      <c r="U148" s="8">
        <f t="shared" si="140"/>
        <v>675.37700000000007</v>
      </c>
      <c r="V148" s="8">
        <f t="shared" si="140"/>
        <v>691.0917958377114</v>
      </c>
      <c r="W148" s="8">
        <f t="shared" si="140"/>
        <v>666.42578394393138</v>
      </c>
      <c r="X148" s="8">
        <f t="shared" si="140"/>
        <v>642.57946630341758</v>
      </c>
      <c r="Y148" s="8">
        <f t="shared" si="140"/>
        <v>625.92165900498344</v>
      </c>
      <c r="Z148" s="8">
        <f t="shared" si="140"/>
        <v>632.17795478692574</v>
      </c>
      <c r="AA148" s="8">
        <f>SUM(AA144:AA147)</f>
        <v>612.5139859838406</v>
      </c>
      <c r="AB148" s="8">
        <f>SUM(AB144:AB147)</f>
        <v>598.06876402647072</v>
      </c>
      <c r="AC148" s="8">
        <f>SUM(AC144:AC147)</f>
        <v>583.42730884769185</v>
      </c>
      <c r="AD148" s="8">
        <f>SUM(AD144:AD147)</f>
        <v>607.47534389032558</v>
      </c>
      <c r="AE148" s="64"/>
    </row>
    <row r="149" spans="1:31" outlineLevel="1">
      <c r="A149" s="110" t="s">
        <v>141</v>
      </c>
      <c r="D149" s="70" t="s">
        <v>240</v>
      </c>
      <c r="G149" s="225"/>
      <c r="H149" s="225"/>
      <c r="I149" s="225">
        <v>6.2130000000000001</v>
      </c>
      <c r="J149" s="225">
        <v>7.3570000000000002</v>
      </c>
      <c r="K149" s="225">
        <v>20.277000000000001</v>
      </c>
      <c r="L149" s="225">
        <v>20.577999999999999</v>
      </c>
      <c r="M149" s="225">
        <v>22.491</v>
      </c>
      <c r="N149" s="225">
        <v>27.428000000000001</v>
      </c>
      <c r="O149" s="225">
        <v>27.494</v>
      </c>
      <c r="P149" s="225">
        <v>25.187999999999999</v>
      </c>
      <c r="Q149" s="225">
        <v>22.012</v>
      </c>
      <c r="R149" s="225">
        <v>23.558</v>
      </c>
      <c r="S149" s="225">
        <v>25.509</v>
      </c>
      <c r="T149" s="225">
        <v>27.108000000000001</v>
      </c>
      <c r="U149" s="225">
        <v>28.805</v>
      </c>
      <c r="V149" s="89">
        <f t="shared" ref="V149:AD149" si="141">V220+V229</f>
        <v>34.928548456896593</v>
      </c>
      <c r="W149" s="89">
        <f t="shared" si="141"/>
        <v>34.902844529049943</v>
      </c>
      <c r="X149" s="89">
        <f t="shared" si="141"/>
        <v>35.6961249157537</v>
      </c>
      <c r="Y149" s="89">
        <f t="shared" si="141"/>
        <v>36.172016949622474</v>
      </c>
      <c r="Z149" s="89">
        <f t="shared" si="141"/>
        <v>42.046587718258372</v>
      </c>
      <c r="AA149" s="89">
        <f t="shared" si="141"/>
        <v>44.312251172714241</v>
      </c>
      <c r="AB149" s="89">
        <f t="shared" si="141"/>
        <v>47.260127400657268</v>
      </c>
      <c r="AC149" s="89">
        <f t="shared" si="141"/>
        <v>49.861621149793358</v>
      </c>
      <c r="AD149" s="89">
        <f t="shared" si="141"/>
        <v>57.047414180661221</v>
      </c>
      <c r="AE149" s="7"/>
    </row>
    <row r="150" spans="1:31" outlineLevel="1">
      <c r="A150" s="110" t="s">
        <v>143</v>
      </c>
      <c r="D150" s="70" t="s">
        <v>143</v>
      </c>
      <c r="G150" s="225"/>
      <c r="H150" s="225"/>
      <c r="I150" s="225">
        <v>36.676000000000002</v>
      </c>
      <c r="J150" s="225">
        <v>46.033000000000001</v>
      </c>
      <c r="K150" s="225">
        <v>55.533000000000001</v>
      </c>
      <c r="L150" s="225">
        <v>52.502000000000002</v>
      </c>
      <c r="M150" s="225">
        <v>59.337000000000003</v>
      </c>
      <c r="N150" s="225">
        <v>92.046999999999997</v>
      </c>
      <c r="O150" s="225">
        <v>101.035</v>
      </c>
      <c r="P150" s="225">
        <v>94.786000000000001</v>
      </c>
      <c r="Q150" s="225">
        <v>89.691999999999993</v>
      </c>
      <c r="R150" s="225">
        <v>108.926</v>
      </c>
      <c r="S150" s="225">
        <v>113.066</v>
      </c>
      <c r="T150" s="225">
        <v>147.90299999999999</v>
      </c>
      <c r="U150" s="225">
        <v>238.61799999999999</v>
      </c>
      <c r="V150" s="7">
        <f t="shared" ref="V150:AD150" si="142">V239</f>
        <v>237.28584079609459</v>
      </c>
      <c r="W150" s="7">
        <f t="shared" si="142"/>
        <v>251.25442007139532</v>
      </c>
      <c r="X150" s="7">
        <f t="shared" si="142"/>
        <v>264.92443789643073</v>
      </c>
      <c r="Y150" s="7">
        <f t="shared" si="142"/>
        <v>278.29287874662646</v>
      </c>
      <c r="Z150" s="7">
        <f t="shared" si="142"/>
        <v>291.35673761667988</v>
      </c>
      <c r="AA150" s="7">
        <f t="shared" si="142"/>
        <v>312.55843204612893</v>
      </c>
      <c r="AB150" s="7">
        <f t="shared" si="142"/>
        <v>333.24013909761919</v>
      </c>
      <c r="AC150" s="7">
        <f t="shared" si="142"/>
        <v>353.39924435934876</v>
      </c>
      <c r="AD150" s="7">
        <f t="shared" si="142"/>
        <v>373.03314192166789</v>
      </c>
      <c r="AE150" s="7"/>
    </row>
    <row r="151" spans="1:31" outlineLevel="1">
      <c r="A151" s="110" t="s">
        <v>142</v>
      </c>
      <c r="D151" s="70" t="s">
        <v>142</v>
      </c>
      <c r="G151" s="225"/>
      <c r="H151" s="225"/>
      <c r="I151" s="225">
        <v>22.75</v>
      </c>
      <c r="J151" s="225">
        <v>32.613999999999997</v>
      </c>
      <c r="K151" s="225">
        <v>49.375</v>
      </c>
      <c r="L151" s="225">
        <v>49.070999999999998</v>
      </c>
      <c r="M151" s="225">
        <v>46.381</v>
      </c>
      <c r="N151" s="225">
        <v>80.271000000000001</v>
      </c>
      <c r="O151" s="225">
        <v>97.382000000000005</v>
      </c>
      <c r="P151" s="225">
        <v>91.5</v>
      </c>
      <c r="Q151" s="225">
        <v>89.858000000000004</v>
      </c>
      <c r="R151" s="225">
        <v>110.068</v>
      </c>
      <c r="S151" s="225">
        <v>121.447</v>
      </c>
      <c r="T151" s="225">
        <v>186.995</v>
      </c>
      <c r="U151" s="225">
        <v>325.988</v>
      </c>
      <c r="V151" s="7">
        <f t="shared" ref="V151:AD151" si="143">U151+V273</f>
        <v>334.73817613075948</v>
      </c>
      <c r="W151" s="7">
        <f t="shared" si="143"/>
        <v>361.2803770607299</v>
      </c>
      <c r="X151" s="7">
        <f t="shared" si="143"/>
        <v>388.20175228969987</v>
      </c>
      <c r="Y151" s="7">
        <f t="shared" si="143"/>
        <v>415.50230181766943</v>
      </c>
      <c r="Z151" s="7">
        <f t="shared" si="143"/>
        <v>443.1820256446386</v>
      </c>
      <c r="AA151" s="7">
        <f t="shared" si="143"/>
        <v>480.95361927575033</v>
      </c>
      <c r="AB151" s="7">
        <f t="shared" si="143"/>
        <v>519.23563984782299</v>
      </c>
      <c r="AC151" s="7">
        <f t="shared" si="143"/>
        <v>558.02808736085672</v>
      </c>
      <c r="AD151" s="7">
        <f t="shared" si="143"/>
        <v>597.33096181485132</v>
      </c>
      <c r="AE151" s="7"/>
    </row>
    <row r="152" spans="1:31" outlineLevel="1">
      <c r="A152" s="110" t="s">
        <v>357</v>
      </c>
      <c r="D152" s="70" t="s">
        <v>127</v>
      </c>
      <c r="G152" s="225"/>
      <c r="H152" s="225"/>
      <c r="I152" s="225">
        <v>1.0389999999999999</v>
      </c>
      <c r="J152" s="225">
        <v>7.4429999999999996</v>
      </c>
      <c r="K152" s="225">
        <v>6.226</v>
      </c>
      <c r="L152" s="225">
        <v>6.1619999999999999</v>
      </c>
      <c r="M152" s="225">
        <v>6.3239999999999998</v>
      </c>
      <c r="N152" s="225">
        <v>1.954</v>
      </c>
      <c r="O152" s="225">
        <v>1.94</v>
      </c>
      <c r="P152" s="225">
        <v>1.8069999999999999</v>
      </c>
      <c r="Q152" s="225">
        <v>0.79600000000000004</v>
      </c>
      <c r="R152" s="225">
        <v>0.749</v>
      </c>
      <c r="S152" s="225">
        <v>2.0230000000000001</v>
      </c>
      <c r="T152" s="225">
        <v>1.9690000000000001</v>
      </c>
      <c r="U152" s="225">
        <v>1.272</v>
      </c>
      <c r="V152" s="74">
        <f t="shared" ref="V152:AD152" si="144">U152</f>
        <v>1.272</v>
      </c>
      <c r="W152" s="74">
        <f t="shared" si="144"/>
        <v>1.272</v>
      </c>
      <c r="X152" s="74">
        <f t="shared" si="144"/>
        <v>1.272</v>
      </c>
      <c r="Y152" s="74">
        <f t="shared" si="144"/>
        <v>1.272</v>
      </c>
      <c r="Z152" s="74">
        <f t="shared" si="144"/>
        <v>1.272</v>
      </c>
      <c r="AA152" s="74">
        <f t="shared" si="144"/>
        <v>1.272</v>
      </c>
      <c r="AB152" s="74">
        <f t="shared" si="144"/>
        <v>1.272</v>
      </c>
      <c r="AC152" s="74">
        <f t="shared" si="144"/>
        <v>1.272</v>
      </c>
      <c r="AD152" s="74">
        <f t="shared" si="144"/>
        <v>1.272</v>
      </c>
      <c r="AE152" s="7"/>
    </row>
    <row r="153" spans="1:31" s="3" customFormat="1" outlineLevel="1">
      <c r="A153" s="110" t="s">
        <v>182</v>
      </c>
      <c r="B153" s="143"/>
      <c r="D153" s="2" t="s">
        <v>144</v>
      </c>
      <c r="E153" s="2"/>
      <c r="F153" s="2"/>
      <c r="G153" s="8">
        <f t="shared" ref="G153:S153" si="145">SUM(G148:G152)</f>
        <v>0</v>
      </c>
      <c r="H153" s="8">
        <f t="shared" si="145"/>
        <v>0</v>
      </c>
      <c r="I153" s="8">
        <f t="shared" si="145"/>
        <v>176.43599999999998</v>
      </c>
      <c r="J153" s="8">
        <f t="shared" si="145"/>
        <v>256.29800000000006</v>
      </c>
      <c r="K153" s="8">
        <f t="shared" si="145"/>
        <v>326.35400000000004</v>
      </c>
      <c r="L153" s="8">
        <f t="shared" si="145"/>
        <v>303.93199999999996</v>
      </c>
      <c r="M153" s="8">
        <f t="shared" si="145"/>
        <v>303.78799999999995</v>
      </c>
      <c r="N153" s="8">
        <f t="shared" si="145"/>
        <v>488.88400000000001</v>
      </c>
      <c r="O153" s="8">
        <f t="shared" si="145"/>
        <v>573.2059999999999</v>
      </c>
      <c r="P153" s="8">
        <f t="shared" si="145"/>
        <v>502.94599999999997</v>
      </c>
      <c r="Q153" s="8">
        <f t="shared" si="145"/>
        <v>493.05399999999997</v>
      </c>
      <c r="R153" s="8">
        <f t="shared" si="145"/>
        <v>720.62</v>
      </c>
      <c r="S153" s="8">
        <f t="shared" si="145"/>
        <v>787.49400000000014</v>
      </c>
      <c r="T153" s="8">
        <f>SUM(T148:T152)</f>
        <v>912.41399999999999</v>
      </c>
      <c r="U153" s="8">
        <f t="shared" ref="U153:Z153" si="146">SUM(U148:U152)</f>
        <v>1270.06</v>
      </c>
      <c r="V153" s="8">
        <f t="shared" si="146"/>
        <v>1299.3163612214621</v>
      </c>
      <c r="W153" s="8">
        <f t="shared" si="146"/>
        <v>1315.1354256051065</v>
      </c>
      <c r="X153" s="8">
        <f t="shared" si="146"/>
        <v>1332.6737814053017</v>
      </c>
      <c r="Y153" s="8">
        <f t="shared" si="146"/>
        <v>1357.1608565189017</v>
      </c>
      <c r="Z153" s="8">
        <f t="shared" si="146"/>
        <v>1410.0353057665025</v>
      </c>
      <c r="AA153" s="8">
        <f>SUM(AA148:AA152)</f>
        <v>1451.6102884784341</v>
      </c>
      <c r="AB153" s="8">
        <f>SUM(AB148:AB152)</f>
        <v>1499.0766703725701</v>
      </c>
      <c r="AC153" s="8">
        <f>SUM(AC148:AC152)</f>
        <v>1545.9882617176906</v>
      </c>
      <c r="AD153" s="8">
        <f>SUM(AD148:AD152)</f>
        <v>1636.1588618075061</v>
      </c>
      <c r="AE153" s="64"/>
    </row>
    <row r="154" spans="1:31" outlineLevel="1"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spans="1:31" outlineLevel="1">
      <c r="A155" s="110" t="s">
        <v>183</v>
      </c>
      <c r="D155" s="70" t="s">
        <v>145</v>
      </c>
      <c r="G155" s="225"/>
      <c r="H155" s="225"/>
      <c r="I155" s="225">
        <v>52.576000000000001</v>
      </c>
      <c r="J155" s="225">
        <v>75.992999999999995</v>
      </c>
      <c r="K155" s="225">
        <v>102.27200000000001</v>
      </c>
      <c r="L155" s="225">
        <v>87.552000000000007</v>
      </c>
      <c r="M155" s="225">
        <f>98.474+3.506</f>
        <v>101.98</v>
      </c>
      <c r="N155" s="225">
        <f>142.123+5.114+3.629</f>
        <v>150.86599999999999</v>
      </c>
      <c r="O155" s="225">
        <f>137.971+5.155+3.807</f>
        <v>146.93299999999999</v>
      </c>
      <c r="P155" s="225">
        <v>137.298</v>
      </c>
      <c r="Q155" s="225">
        <f>91.402+5.09+4.013</f>
        <v>100.50500000000001</v>
      </c>
      <c r="R155" s="225">
        <v>133.28100000000001</v>
      </c>
      <c r="S155" s="225">
        <v>141.316</v>
      </c>
      <c r="T155" s="225">
        <v>50.512999999999998</v>
      </c>
      <c r="U155" s="225">
        <v>0.84899999999999998</v>
      </c>
      <c r="V155" s="74">
        <f t="shared" ref="V155:AD155" si="147">U155</f>
        <v>0.84899999999999998</v>
      </c>
      <c r="W155" s="74">
        <f t="shared" si="147"/>
        <v>0.84899999999999998</v>
      </c>
      <c r="X155" s="74">
        <f t="shared" si="147"/>
        <v>0.84899999999999998</v>
      </c>
      <c r="Y155" s="74">
        <f t="shared" si="147"/>
        <v>0.84899999999999998</v>
      </c>
      <c r="Z155" s="74">
        <f t="shared" si="147"/>
        <v>0.84899999999999998</v>
      </c>
      <c r="AA155" s="74">
        <f t="shared" si="147"/>
        <v>0.84899999999999998</v>
      </c>
      <c r="AB155" s="74">
        <f t="shared" si="147"/>
        <v>0.84899999999999998</v>
      </c>
      <c r="AC155" s="74">
        <f t="shared" si="147"/>
        <v>0.84899999999999998</v>
      </c>
      <c r="AD155" s="74">
        <f t="shared" si="147"/>
        <v>0.84899999999999998</v>
      </c>
      <c r="AE155" s="7"/>
    </row>
    <row r="156" spans="1:31" outlineLevel="1">
      <c r="A156" s="110" t="s">
        <v>146</v>
      </c>
      <c r="D156" s="70" t="s">
        <v>146</v>
      </c>
      <c r="G156" s="225"/>
      <c r="H156" s="225"/>
      <c r="I156" s="225">
        <v>85.138000000000005</v>
      </c>
      <c r="J156" s="225">
        <v>136.208</v>
      </c>
      <c r="K156" s="225">
        <v>161.38999999999999</v>
      </c>
      <c r="L156" s="225">
        <v>151.21799999999999</v>
      </c>
      <c r="M156" s="225">
        <v>139.261</v>
      </c>
      <c r="N156" s="225">
        <v>248.21799999999999</v>
      </c>
      <c r="O156" s="225">
        <v>314.964</v>
      </c>
      <c r="P156" s="225">
        <f>265.133+5.299+3.79</f>
        <v>274.22199999999998</v>
      </c>
      <c r="Q156" s="225">
        <v>254.185</v>
      </c>
      <c r="R156" s="225">
        <v>398.00299999999999</v>
      </c>
      <c r="S156" s="225">
        <v>370.03</v>
      </c>
      <c r="T156" s="225">
        <v>377.12700000000001</v>
      </c>
      <c r="U156" s="225">
        <v>446.56</v>
      </c>
      <c r="V156" s="74">
        <f t="shared" ref="V156:AD156" si="148">U156</f>
        <v>446.56</v>
      </c>
      <c r="W156" s="74">
        <f t="shared" si="148"/>
        <v>446.56</v>
      </c>
      <c r="X156" s="74">
        <f t="shared" si="148"/>
        <v>446.56</v>
      </c>
      <c r="Y156" s="74">
        <f t="shared" si="148"/>
        <v>446.56</v>
      </c>
      <c r="Z156" s="74">
        <f t="shared" si="148"/>
        <v>446.56</v>
      </c>
      <c r="AA156" s="74">
        <f t="shared" si="148"/>
        <v>446.56</v>
      </c>
      <c r="AB156" s="74">
        <f t="shared" si="148"/>
        <v>446.56</v>
      </c>
      <c r="AC156" s="74">
        <f t="shared" si="148"/>
        <v>446.56</v>
      </c>
      <c r="AD156" s="74">
        <f t="shared" si="148"/>
        <v>446.56</v>
      </c>
      <c r="AE156" s="7"/>
    </row>
    <row r="157" spans="1:31" outlineLevel="1">
      <c r="A157" s="110" t="s">
        <v>358</v>
      </c>
      <c r="D157" s="70" t="s">
        <v>241</v>
      </c>
      <c r="G157" s="225"/>
      <c r="H157" s="225"/>
      <c r="I157" s="225">
        <f>15.402+6.234</f>
        <v>21.635999999999999</v>
      </c>
      <c r="J157" s="225">
        <v>19.486999999999998</v>
      </c>
      <c r="K157" s="225">
        <v>14.111000000000001</v>
      </c>
      <c r="L157" s="225">
        <v>13.201000000000001</v>
      </c>
      <c r="M157" s="225">
        <v>17.27</v>
      </c>
      <c r="N157" s="225">
        <v>35.734000000000002</v>
      </c>
      <c r="O157" s="225">
        <v>40.146999999999998</v>
      </c>
      <c r="P157" s="225">
        <v>31.326000000000001</v>
      </c>
      <c r="Q157" s="225">
        <v>26.706</v>
      </c>
      <c r="R157" s="225">
        <v>22.125</v>
      </c>
      <c r="S157" s="225">
        <v>19.952000000000002</v>
      </c>
      <c r="T157" s="225">
        <v>26.437000000000001</v>
      </c>
      <c r="U157" s="225">
        <v>35.808</v>
      </c>
      <c r="V157" s="74">
        <f t="shared" ref="V157:AD157" si="149">V201*V206</f>
        <v>36.432594446673932</v>
      </c>
      <c r="W157" s="74">
        <f t="shared" si="149"/>
        <v>36.190606499760186</v>
      </c>
      <c r="X157" s="74">
        <f t="shared" si="149"/>
        <v>35.608711554852242</v>
      </c>
      <c r="Y157" s="74">
        <f t="shared" si="149"/>
        <v>34.526091473642452</v>
      </c>
      <c r="Z157" s="74">
        <f t="shared" si="149"/>
        <v>35.101397019196838</v>
      </c>
      <c r="AA157" s="74">
        <f t="shared" si="149"/>
        <v>35.541266033266126</v>
      </c>
      <c r="AB157" s="74">
        <f t="shared" si="149"/>
        <v>36.271502302635874</v>
      </c>
      <c r="AC157" s="74">
        <f t="shared" si="149"/>
        <v>36.969186540429433</v>
      </c>
      <c r="AD157" s="74">
        <f t="shared" si="149"/>
        <v>39.016260570191768</v>
      </c>
      <c r="AE157" s="7"/>
    </row>
    <row r="158" spans="1:31" outlineLevel="1">
      <c r="A158" s="110" t="s">
        <v>242</v>
      </c>
      <c r="D158" s="70" t="s">
        <v>242</v>
      </c>
      <c r="G158" s="225"/>
      <c r="H158" s="225"/>
      <c r="I158" s="225">
        <v>2.5579999999999998</v>
      </c>
      <c r="J158" s="225">
        <v>4.6319999999999997</v>
      </c>
      <c r="K158" s="225">
        <v>8.1910000000000007</v>
      </c>
      <c r="L158" s="225">
        <v>6.6369999999999996</v>
      </c>
      <c r="M158" s="225">
        <v>5.6740000000000004</v>
      </c>
      <c r="N158" s="225">
        <v>9.7370000000000001</v>
      </c>
      <c r="O158" s="225">
        <v>15.456</v>
      </c>
      <c r="P158" s="225">
        <v>14.233000000000001</v>
      </c>
      <c r="Q158" s="225">
        <v>15.081</v>
      </c>
      <c r="R158" s="225">
        <v>17.376000000000001</v>
      </c>
      <c r="S158" s="225">
        <v>20.885000000000002</v>
      </c>
      <c r="T158" s="225">
        <v>34.655999999999999</v>
      </c>
      <c r="U158" s="225">
        <v>34.616999999999997</v>
      </c>
      <c r="V158" s="74">
        <f t="shared" ref="V158:Z159" si="150">U158</f>
        <v>34.616999999999997</v>
      </c>
      <c r="W158" s="74">
        <f t="shared" si="150"/>
        <v>34.616999999999997</v>
      </c>
      <c r="X158" s="74">
        <f>W158</f>
        <v>34.616999999999997</v>
      </c>
      <c r="Y158" s="74">
        <f t="shared" si="150"/>
        <v>34.616999999999997</v>
      </c>
      <c r="Z158" s="74">
        <f t="shared" si="150"/>
        <v>34.616999999999997</v>
      </c>
      <c r="AA158" s="74">
        <f t="shared" ref="AA158:AD159" si="151">Z158</f>
        <v>34.616999999999997</v>
      </c>
      <c r="AB158" s="74">
        <f t="shared" si="151"/>
        <v>34.616999999999997</v>
      </c>
      <c r="AC158" s="74">
        <f t="shared" si="151"/>
        <v>34.616999999999997</v>
      </c>
      <c r="AD158" s="74">
        <f t="shared" si="151"/>
        <v>34.616999999999997</v>
      </c>
      <c r="AE158" s="7"/>
    </row>
    <row r="159" spans="1:31" outlineLevel="1">
      <c r="A159" s="110" t="s">
        <v>243</v>
      </c>
      <c r="D159" s="70" t="s">
        <v>243</v>
      </c>
      <c r="G159" s="225"/>
      <c r="H159" s="225"/>
      <c r="I159" s="225">
        <v>1.07</v>
      </c>
      <c r="J159" s="225">
        <v>0.39</v>
      </c>
      <c r="K159" s="225">
        <v>1.399</v>
      </c>
      <c r="L159" s="225">
        <v>1.177</v>
      </c>
      <c r="M159" s="225">
        <v>1.0900000000000001</v>
      </c>
      <c r="N159" s="225">
        <v>0.66</v>
      </c>
      <c r="O159" s="225">
        <v>0.40899999999999997</v>
      </c>
      <c r="P159" s="225">
        <v>0.55300000000000005</v>
      </c>
      <c r="Q159" s="225">
        <v>0</v>
      </c>
      <c r="R159" s="225">
        <v>0.76400000000000001</v>
      </c>
      <c r="S159" s="225">
        <v>1.4610000000000001</v>
      </c>
      <c r="T159" s="225">
        <v>2.4529999999999998</v>
      </c>
      <c r="U159" s="225">
        <v>5.7690000000000001</v>
      </c>
      <c r="V159" s="74">
        <f t="shared" si="150"/>
        <v>5.7690000000000001</v>
      </c>
      <c r="W159" s="74">
        <f t="shared" si="150"/>
        <v>5.7690000000000001</v>
      </c>
      <c r="X159" s="74">
        <f>W159</f>
        <v>5.7690000000000001</v>
      </c>
      <c r="Y159" s="74">
        <f t="shared" si="150"/>
        <v>5.7690000000000001</v>
      </c>
      <c r="Z159" s="74">
        <f t="shared" si="150"/>
        <v>5.7690000000000001</v>
      </c>
      <c r="AA159" s="74">
        <f t="shared" si="151"/>
        <v>5.7690000000000001</v>
      </c>
      <c r="AB159" s="74">
        <f t="shared" si="151"/>
        <v>5.7690000000000001</v>
      </c>
      <c r="AC159" s="74">
        <f t="shared" si="151"/>
        <v>5.7690000000000001</v>
      </c>
      <c r="AD159" s="74">
        <f t="shared" si="151"/>
        <v>5.7690000000000001</v>
      </c>
      <c r="AE159" s="7"/>
    </row>
    <row r="160" spans="1:31" s="3" customFormat="1" outlineLevel="1">
      <c r="A160" s="110" t="s">
        <v>184</v>
      </c>
      <c r="B160" s="143"/>
      <c r="D160" s="2" t="s">
        <v>147</v>
      </c>
      <c r="E160" s="2"/>
      <c r="F160" s="2"/>
      <c r="G160" s="8">
        <f t="shared" ref="G160:Z160" si="152">SUM(G155:G159)</f>
        <v>0</v>
      </c>
      <c r="H160" s="8">
        <f t="shared" si="152"/>
        <v>0</v>
      </c>
      <c r="I160" s="8">
        <f t="shared" si="152"/>
        <v>162.97799999999998</v>
      </c>
      <c r="J160" s="8">
        <f t="shared" si="152"/>
        <v>236.70999999999998</v>
      </c>
      <c r="K160" s="8">
        <f t="shared" si="152"/>
        <v>287.36299999999994</v>
      </c>
      <c r="L160" s="8">
        <f t="shared" si="152"/>
        <v>259.78499999999997</v>
      </c>
      <c r="M160" s="8">
        <f t="shared" si="152"/>
        <v>265.27499999999992</v>
      </c>
      <c r="N160" s="8">
        <f t="shared" si="152"/>
        <v>445.21499999999997</v>
      </c>
      <c r="O160" s="8">
        <f t="shared" si="152"/>
        <v>517.90899999999999</v>
      </c>
      <c r="P160" s="8">
        <f t="shared" si="152"/>
        <v>457.63200000000001</v>
      </c>
      <c r="Q160" s="8">
        <f t="shared" si="152"/>
        <v>396.47700000000003</v>
      </c>
      <c r="R160" s="8">
        <f t="shared" si="152"/>
        <v>571.54899999999998</v>
      </c>
      <c r="S160" s="8">
        <f t="shared" si="152"/>
        <v>553.64400000000001</v>
      </c>
      <c r="T160" s="8">
        <f t="shared" si="152"/>
        <v>491.18599999999998</v>
      </c>
      <c r="U160" s="8">
        <f t="shared" si="152"/>
        <v>523.60299999999995</v>
      </c>
      <c r="V160" s="8">
        <f t="shared" si="152"/>
        <v>524.22759444667395</v>
      </c>
      <c r="W160" s="8">
        <f t="shared" si="152"/>
        <v>523.98560649976014</v>
      </c>
      <c r="X160" s="8">
        <f t="shared" si="152"/>
        <v>523.40371155485218</v>
      </c>
      <c r="Y160" s="8">
        <f t="shared" si="152"/>
        <v>522.32109147364247</v>
      </c>
      <c r="Z160" s="8">
        <f t="shared" si="152"/>
        <v>522.8963970191968</v>
      </c>
      <c r="AA160" s="8">
        <f>SUM(AA155:AA159)</f>
        <v>523.33626603326616</v>
      </c>
      <c r="AB160" s="8">
        <f>SUM(AB155:AB159)</f>
        <v>524.06650230263585</v>
      </c>
      <c r="AC160" s="8">
        <f>SUM(AC155:AC159)</f>
        <v>524.76418654042936</v>
      </c>
      <c r="AD160" s="8">
        <f>SUM(AD155:AD159)</f>
        <v>526.81126057019173</v>
      </c>
      <c r="AE160" s="64"/>
    </row>
    <row r="161" spans="1:31" outlineLevel="1">
      <c r="A161" s="110" t="s">
        <v>359</v>
      </c>
      <c r="D161" s="70" t="s">
        <v>241</v>
      </c>
      <c r="G161" s="225"/>
      <c r="H161" s="225"/>
      <c r="I161" s="225">
        <v>9.4930000000000003</v>
      </c>
      <c r="J161" s="225">
        <v>7.8639999999999999</v>
      </c>
      <c r="K161" s="225">
        <v>21.920999999999999</v>
      </c>
      <c r="L161" s="225">
        <v>20.585000000000001</v>
      </c>
      <c r="M161" s="225">
        <v>25.408000000000001</v>
      </c>
      <c r="N161" s="225">
        <v>33.110999999999997</v>
      </c>
      <c r="O161" s="225">
        <v>33.786999999999999</v>
      </c>
      <c r="P161" s="225">
        <v>29.972999999999999</v>
      </c>
      <c r="Q161" s="225">
        <v>27.614000000000001</v>
      </c>
      <c r="R161" s="225">
        <v>28.858000000000001</v>
      </c>
      <c r="S161" s="225">
        <v>30.402999999999999</v>
      </c>
      <c r="T161" s="225">
        <v>41.534999999999997</v>
      </c>
      <c r="U161" s="225">
        <v>88.302999999999997</v>
      </c>
      <c r="V161" s="7">
        <f t="shared" ref="V161:AD161" si="153">V201-V157</f>
        <v>89.843258138534637</v>
      </c>
      <c r="W161" s="7">
        <f t="shared" si="153"/>
        <v>89.246512671702504</v>
      </c>
      <c r="X161" s="7">
        <f t="shared" si="153"/>
        <v>87.811552067362527</v>
      </c>
      <c r="Y161" s="7">
        <f t="shared" si="153"/>
        <v>85.141796676637881</v>
      </c>
      <c r="Z161" s="7">
        <f t="shared" si="153"/>
        <v>86.560507735314417</v>
      </c>
      <c r="AA161" s="7">
        <f t="shared" si="153"/>
        <v>87.645230522103958</v>
      </c>
      <c r="AB161" s="7">
        <f t="shared" si="153"/>
        <v>89.446002787914864</v>
      </c>
      <c r="AC161" s="7">
        <f t="shared" si="153"/>
        <v>91.16650131477715</v>
      </c>
      <c r="AD161" s="7">
        <f t="shared" si="153"/>
        <v>96.214612855497194</v>
      </c>
      <c r="AE161" s="7"/>
    </row>
    <row r="162" spans="1:31" outlineLevel="1">
      <c r="A162" s="110" t="s">
        <v>186</v>
      </c>
      <c r="D162" s="70" t="s">
        <v>244</v>
      </c>
      <c r="G162" s="225"/>
      <c r="H162" s="225"/>
      <c r="I162" s="225">
        <f>4.731+3.265</f>
        <v>7.9960000000000004</v>
      </c>
      <c r="J162" s="225">
        <f>4.382+3.151+4.966</f>
        <v>12.498999999999999</v>
      </c>
      <c r="K162" s="225">
        <f>7.559+3.226+5.003</f>
        <v>15.788</v>
      </c>
      <c r="L162" s="225">
        <f>15.925+3.348+5.04</f>
        <v>24.312999999999999</v>
      </c>
      <c r="M162" s="225">
        <f>14.893+5.076</f>
        <v>19.969000000000001</v>
      </c>
      <c r="N162" s="225">
        <v>14.573</v>
      </c>
      <c r="O162" s="225">
        <v>18.779</v>
      </c>
      <c r="P162" s="225">
        <v>13.936999999999999</v>
      </c>
      <c r="Q162" s="225">
        <v>15.157999999999999</v>
      </c>
      <c r="R162" s="225">
        <v>5.8819999999999997</v>
      </c>
      <c r="S162" s="225">
        <v>0.89500000000000002</v>
      </c>
      <c r="T162" s="225">
        <v>0.72299999999999998</v>
      </c>
      <c r="U162" s="225">
        <v>0.57899999999999996</v>
      </c>
      <c r="V162" s="89">
        <f t="shared" ref="V162:AD162" si="154">V187-V155</f>
        <v>26.115233442530286</v>
      </c>
      <c r="W162" s="89">
        <f t="shared" si="154"/>
        <v>37.70615993927197</v>
      </c>
      <c r="X162" s="89">
        <f t="shared" si="154"/>
        <v>49.077866904703619</v>
      </c>
      <c r="Y162" s="89">
        <f t="shared" si="154"/>
        <v>63.852073797189654</v>
      </c>
      <c r="Z162" s="89">
        <f t="shared" si="154"/>
        <v>96.316627636025657</v>
      </c>
      <c r="AA162" s="89">
        <f t="shared" si="154"/>
        <v>117.27630679352166</v>
      </c>
      <c r="AB162" s="89">
        <f t="shared" si="154"/>
        <v>143.10266793091662</v>
      </c>
      <c r="AC162" s="89">
        <f t="shared" si="154"/>
        <v>169.05626382185741</v>
      </c>
      <c r="AD162" s="89">
        <f t="shared" si="154"/>
        <v>228.27145768518849</v>
      </c>
      <c r="AE162" s="7"/>
    </row>
    <row r="163" spans="1:31" outlineLevel="1">
      <c r="A163" s="110" t="s">
        <v>360</v>
      </c>
      <c r="D163" s="70" t="s">
        <v>125</v>
      </c>
      <c r="G163" s="225"/>
      <c r="H163" s="225"/>
      <c r="I163" s="225">
        <v>3.4409999999999998</v>
      </c>
      <c r="J163" s="225">
        <v>3.7290000000000001</v>
      </c>
      <c r="K163" s="225">
        <v>3.2469999999999999</v>
      </c>
      <c r="L163" s="225">
        <v>3.17</v>
      </c>
      <c r="M163" s="225">
        <v>3.097</v>
      </c>
      <c r="N163" s="225">
        <v>5.8620000000000001</v>
      </c>
      <c r="O163" s="225">
        <v>6.1029999999999998</v>
      </c>
      <c r="P163" s="225">
        <v>4.883</v>
      </c>
      <c r="Q163" s="225">
        <v>5.4950000000000001</v>
      </c>
      <c r="R163" s="225">
        <v>12.584</v>
      </c>
      <c r="S163" s="225">
        <v>14.526999999999999</v>
      </c>
      <c r="T163" s="225">
        <v>24.617999999999999</v>
      </c>
      <c r="U163" s="225">
        <v>49.692999999999998</v>
      </c>
      <c r="V163" s="74">
        <f t="shared" ref="V163:AD163" si="155">U163+V117-V271</f>
        <v>51.224236905926652</v>
      </c>
      <c r="W163" s="74">
        <f t="shared" si="155"/>
        <v>55.944204804166873</v>
      </c>
      <c r="X163" s="74">
        <f t="shared" si="155"/>
        <v>61.322884141332409</v>
      </c>
      <c r="Y163" s="74">
        <f t="shared" si="155"/>
        <v>67.571205633365892</v>
      </c>
      <c r="Z163" s="74">
        <f t="shared" si="155"/>
        <v>74.343319573858324</v>
      </c>
      <c r="AA163" s="74">
        <f t="shared" si="155"/>
        <v>82.341917755645767</v>
      </c>
      <c r="AB163" s="74">
        <f t="shared" si="155"/>
        <v>90.02148878389545</v>
      </c>
      <c r="AC163" s="74">
        <f t="shared" si="155"/>
        <v>97.329028386140862</v>
      </c>
      <c r="AD163" s="74">
        <f t="shared" si="155"/>
        <v>104.33750352342537</v>
      </c>
      <c r="AE163" s="7"/>
    </row>
    <row r="164" spans="1:31" s="3" customFormat="1" outlineLevel="1">
      <c r="A164" s="110" t="s">
        <v>185</v>
      </c>
      <c r="B164" s="143"/>
      <c r="D164" s="2" t="s">
        <v>148</v>
      </c>
      <c r="E164" s="2"/>
      <c r="F164" s="2"/>
      <c r="G164" s="8">
        <f t="shared" ref="G164:S164" si="156">SUM(G160:G163)</f>
        <v>0</v>
      </c>
      <c r="H164" s="8">
        <f t="shared" si="156"/>
        <v>0</v>
      </c>
      <c r="I164" s="8">
        <f t="shared" si="156"/>
        <v>183.90799999999999</v>
      </c>
      <c r="J164" s="8">
        <f t="shared" si="156"/>
        <v>260.80199999999996</v>
      </c>
      <c r="K164" s="8">
        <f t="shared" si="156"/>
        <v>328.31899999999996</v>
      </c>
      <c r="L164" s="8">
        <f t="shared" si="156"/>
        <v>307.85299999999995</v>
      </c>
      <c r="M164" s="8">
        <f t="shared" si="156"/>
        <v>313.74899999999991</v>
      </c>
      <c r="N164" s="8">
        <f t="shared" si="156"/>
        <v>498.76099999999997</v>
      </c>
      <c r="O164" s="8">
        <f t="shared" si="156"/>
        <v>576.57799999999997</v>
      </c>
      <c r="P164" s="8">
        <f t="shared" si="156"/>
        <v>506.42500000000001</v>
      </c>
      <c r="Q164" s="8">
        <f t="shared" si="156"/>
        <v>444.74400000000003</v>
      </c>
      <c r="R164" s="8">
        <f t="shared" si="156"/>
        <v>618.87299999999982</v>
      </c>
      <c r="S164" s="8">
        <f t="shared" si="156"/>
        <v>599.46900000000005</v>
      </c>
      <c r="T164" s="8">
        <f>SUM(T160:T163)</f>
        <v>558.06200000000001</v>
      </c>
      <c r="U164" s="8">
        <f t="shared" ref="U164:Z164" si="157">SUM(U160:U163)</f>
        <v>662.17799999999988</v>
      </c>
      <c r="V164" s="8">
        <f t="shared" si="157"/>
        <v>691.41032293366561</v>
      </c>
      <c r="W164" s="8">
        <f t="shared" si="157"/>
        <v>706.88248391490151</v>
      </c>
      <c r="X164" s="8">
        <f t="shared" si="157"/>
        <v>721.61601466825073</v>
      </c>
      <c r="Y164" s="8">
        <f t="shared" si="157"/>
        <v>738.88616758083595</v>
      </c>
      <c r="Z164" s="8">
        <f t="shared" si="157"/>
        <v>780.11685196439532</v>
      </c>
      <c r="AA164" s="8">
        <f>SUM(AA160:AA163)</f>
        <v>810.59972110453748</v>
      </c>
      <c r="AB164" s="8">
        <f>SUM(AB160:AB163)</f>
        <v>846.63666180536279</v>
      </c>
      <c r="AC164" s="8">
        <f>SUM(AC160:AC163)</f>
        <v>882.31598006320485</v>
      </c>
      <c r="AD164" s="8">
        <f>SUM(AD160:AD163)</f>
        <v>955.63483463430271</v>
      </c>
      <c r="AE164" s="64"/>
    </row>
    <row r="165" spans="1:31" outlineLevel="1">
      <c r="A165" s="110" t="s">
        <v>187</v>
      </c>
      <c r="D165" s="70" t="s">
        <v>149</v>
      </c>
      <c r="G165" s="225"/>
      <c r="H165" s="225"/>
      <c r="I165" s="225">
        <f>10.529+0.475</f>
        <v>11.004</v>
      </c>
      <c r="J165" s="225">
        <f>17.826+0.493</f>
        <v>18.318999999999999</v>
      </c>
      <c r="K165" s="225">
        <f>18.178+0.488</f>
        <v>18.666</v>
      </c>
      <c r="L165" s="225">
        <f>18.542+0.305</f>
        <v>18.847000000000001</v>
      </c>
      <c r="M165" s="225">
        <f>20.799+0.305</f>
        <v>21.103999999999999</v>
      </c>
      <c r="N165" s="225">
        <f>20.612+0.243+0.307</f>
        <v>21.161999999999995</v>
      </c>
      <c r="O165" s="225">
        <f>31.429+0.006</f>
        <v>31.434999999999999</v>
      </c>
      <c r="P165" s="225">
        <f>31.994+0.006</f>
        <v>32</v>
      </c>
      <c r="Q165" s="225">
        <v>83.710999999999999</v>
      </c>
      <c r="R165" s="225">
        <v>135.35400000000001</v>
      </c>
      <c r="S165" s="225">
        <v>217.90700000000001</v>
      </c>
      <c r="T165" s="225">
        <v>383.69600000000003</v>
      </c>
      <c r="U165" s="225">
        <v>633.27099999999996</v>
      </c>
      <c r="V165" s="7">
        <f t="shared" ref="V165:AD165" si="158">U165+V134</f>
        <v>633.27099999999996</v>
      </c>
      <c r="W165" s="7">
        <f t="shared" si="158"/>
        <v>633.27099999999996</v>
      </c>
      <c r="X165" s="7">
        <f t="shared" si="158"/>
        <v>633.27099999999996</v>
      </c>
      <c r="Y165" s="7">
        <f t="shared" si="158"/>
        <v>633.27099999999996</v>
      </c>
      <c r="Z165" s="7">
        <f t="shared" si="158"/>
        <v>633.27099999999996</v>
      </c>
      <c r="AA165" s="7">
        <f t="shared" si="158"/>
        <v>633.27099999999996</v>
      </c>
      <c r="AB165" s="7">
        <f t="shared" si="158"/>
        <v>633.27099999999996</v>
      </c>
      <c r="AC165" s="7">
        <f t="shared" si="158"/>
        <v>633.27099999999996</v>
      </c>
      <c r="AD165" s="7">
        <f t="shared" si="158"/>
        <v>633.27099999999996</v>
      </c>
      <c r="AE165" s="7"/>
    </row>
    <row r="166" spans="1:31" outlineLevel="1">
      <c r="A166" s="110" t="s">
        <v>245</v>
      </c>
      <c r="D166" s="70" t="s">
        <v>245</v>
      </c>
      <c r="G166" s="225"/>
      <c r="H166" s="225"/>
      <c r="I166" s="225">
        <v>0</v>
      </c>
      <c r="J166" s="225">
        <v>0</v>
      </c>
      <c r="K166" s="225">
        <v>5.12</v>
      </c>
      <c r="L166" s="225">
        <v>5.12</v>
      </c>
      <c r="M166" s="225">
        <v>4.16</v>
      </c>
      <c r="N166" s="225">
        <v>6.7729999999999997</v>
      </c>
      <c r="O166" s="225">
        <v>5.8129999999999997</v>
      </c>
      <c r="P166" s="225">
        <v>5.8129999999999997</v>
      </c>
      <c r="Q166" s="225">
        <v>4.8529999999999998</v>
      </c>
      <c r="R166" s="225">
        <v>4.8529999999999998</v>
      </c>
      <c r="S166" s="225">
        <v>5.1150000000000002</v>
      </c>
      <c r="T166" s="225">
        <v>3.8079999999999998</v>
      </c>
      <c r="U166" s="225">
        <v>2.6139999999999999</v>
      </c>
      <c r="V166" s="7">
        <f t="shared" ref="V166:AD166" si="159">U166</f>
        <v>2.6139999999999999</v>
      </c>
      <c r="W166" s="7">
        <f t="shared" si="159"/>
        <v>2.6139999999999999</v>
      </c>
      <c r="X166" s="7">
        <f t="shared" si="159"/>
        <v>2.6139999999999999</v>
      </c>
      <c r="Y166" s="7">
        <f t="shared" si="159"/>
        <v>2.6139999999999999</v>
      </c>
      <c r="Z166" s="7">
        <f t="shared" si="159"/>
        <v>2.6139999999999999</v>
      </c>
      <c r="AA166" s="7">
        <f t="shared" si="159"/>
        <v>2.6139999999999999</v>
      </c>
      <c r="AB166" s="7">
        <f t="shared" si="159"/>
        <v>2.6139999999999999</v>
      </c>
      <c r="AC166" s="7">
        <f t="shared" si="159"/>
        <v>2.6139999999999999</v>
      </c>
      <c r="AD166" s="7">
        <f t="shared" si="159"/>
        <v>2.6139999999999999</v>
      </c>
      <c r="AE166" s="7"/>
    </row>
    <row r="167" spans="1:31" outlineLevel="1">
      <c r="A167" s="110" t="s">
        <v>246</v>
      </c>
      <c r="D167" s="70" t="s">
        <v>246</v>
      </c>
      <c r="G167" s="225"/>
      <c r="H167" s="225"/>
      <c r="I167" s="225">
        <v>-0.246</v>
      </c>
      <c r="J167" s="225">
        <v>-0.71499999999999997</v>
      </c>
      <c r="K167" s="225">
        <v>-0.748</v>
      </c>
      <c r="L167" s="225">
        <v>-0.51500000000000001</v>
      </c>
      <c r="M167" s="225">
        <v>-0.67200000000000004</v>
      </c>
      <c r="N167" s="225">
        <v>6.9000000000000006E-2</v>
      </c>
      <c r="O167" s="225">
        <v>-1.63</v>
      </c>
      <c r="P167" s="225">
        <v>-0.67900000000000005</v>
      </c>
      <c r="Q167" s="225">
        <v>-0.33400000000000002</v>
      </c>
      <c r="R167" s="225">
        <v>0.81699999999999995</v>
      </c>
      <c r="S167" s="225">
        <v>0.61399999999999999</v>
      </c>
      <c r="T167" s="225">
        <v>1.4350000000000001</v>
      </c>
      <c r="U167" s="225">
        <v>0.79400000000000004</v>
      </c>
      <c r="V167" s="74">
        <f t="shared" ref="V167:AD167" si="160">U167</f>
        <v>0.79400000000000004</v>
      </c>
      <c r="W167" s="74">
        <f t="shared" si="160"/>
        <v>0.79400000000000004</v>
      </c>
      <c r="X167" s="74">
        <f t="shared" si="160"/>
        <v>0.79400000000000004</v>
      </c>
      <c r="Y167" s="74">
        <f t="shared" si="160"/>
        <v>0.79400000000000004</v>
      </c>
      <c r="Z167" s="74">
        <f t="shared" si="160"/>
        <v>0.79400000000000004</v>
      </c>
      <c r="AA167" s="74">
        <f t="shared" si="160"/>
        <v>0.79400000000000004</v>
      </c>
      <c r="AB167" s="74">
        <f t="shared" si="160"/>
        <v>0.79400000000000004</v>
      </c>
      <c r="AC167" s="74">
        <f t="shared" si="160"/>
        <v>0.79400000000000004</v>
      </c>
      <c r="AD167" s="74">
        <f t="shared" si="160"/>
        <v>0.79400000000000004</v>
      </c>
      <c r="AE167" s="7"/>
    </row>
    <row r="168" spans="1:31" outlineLevel="1">
      <c r="A168" s="110" t="s">
        <v>150</v>
      </c>
      <c r="D168" s="70" t="s">
        <v>247</v>
      </c>
      <c r="G168" s="225"/>
      <c r="H168" s="225"/>
      <c r="I168" s="225">
        <v>-18.23</v>
      </c>
      <c r="J168" s="225">
        <f>-22.427+0.319</f>
        <v>-22.108000000000001</v>
      </c>
      <c r="K168" s="225">
        <f>-25.322+0.319</f>
        <v>-25.003</v>
      </c>
      <c r="L168" s="225">
        <f>0.307-27.68</f>
        <v>-27.373000000000001</v>
      </c>
      <c r="M168" s="225">
        <f>-34.86+0.307</f>
        <v>-34.552999999999997</v>
      </c>
      <c r="N168" s="225">
        <v>-37.881</v>
      </c>
      <c r="O168" s="225">
        <f>-39.297+0.307</f>
        <v>-38.989999999999995</v>
      </c>
      <c r="P168" s="225">
        <f>-40.92+0.307</f>
        <v>-40.613</v>
      </c>
      <c r="Q168" s="225">
        <f>-40.227+0.307</f>
        <v>-39.919999999999995</v>
      </c>
      <c r="R168" s="225">
        <v>-39.277000000000001</v>
      </c>
      <c r="S168" s="225">
        <v>-35.610999999999997</v>
      </c>
      <c r="T168" s="225">
        <v>-34.587000000000003</v>
      </c>
      <c r="U168" s="225">
        <f>-29.99+1.193</f>
        <v>-28.796999999999997</v>
      </c>
      <c r="V168" s="89">
        <f t="shared" ref="V168:AD168" si="161">U168+V135+V103</f>
        <v>-28.772961712203386</v>
      </c>
      <c r="W168" s="89">
        <f t="shared" si="161"/>
        <v>-28.426058309795053</v>
      </c>
      <c r="X168" s="89">
        <f t="shared" si="161"/>
        <v>-25.62123326294898</v>
      </c>
      <c r="Y168" s="89">
        <f t="shared" si="161"/>
        <v>-18.404311061933953</v>
      </c>
      <c r="Z168" s="89">
        <f t="shared" si="161"/>
        <v>-6.7605461978926797</v>
      </c>
      <c r="AA168" s="89">
        <f t="shared" si="161"/>
        <v>4.3315673738966627</v>
      </c>
      <c r="AB168" s="89">
        <f t="shared" si="161"/>
        <v>15.761008567207419</v>
      </c>
      <c r="AC168" s="89">
        <f t="shared" si="161"/>
        <v>26.993281654485941</v>
      </c>
      <c r="AD168" s="89">
        <f t="shared" si="161"/>
        <v>43.845027173203277</v>
      </c>
      <c r="AE168" s="7"/>
    </row>
    <row r="169" spans="1:31" s="3" customFormat="1" outlineLevel="1">
      <c r="A169" s="110"/>
      <c r="B169" s="143"/>
      <c r="D169" s="2" t="s">
        <v>151</v>
      </c>
      <c r="E169" s="2"/>
      <c r="F169" s="2"/>
      <c r="G169" s="8">
        <f t="shared" ref="G169:S169" si="162">SUM(G164:G168)</f>
        <v>0</v>
      </c>
      <c r="H169" s="8">
        <f t="shared" si="162"/>
        <v>0</v>
      </c>
      <c r="I169" s="8">
        <f t="shared" si="162"/>
        <v>176.43599999999998</v>
      </c>
      <c r="J169" s="8">
        <f t="shared" si="162"/>
        <v>256.298</v>
      </c>
      <c r="K169" s="8">
        <f t="shared" si="162"/>
        <v>326.35399999999998</v>
      </c>
      <c r="L169" s="8">
        <f t="shared" si="162"/>
        <v>303.93199999999996</v>
      </c>
      <c r="M169" s="8">
        <f t="shared" si="162"/>
        <v>303.7879999999999</v>
      </c>
      <c r="N169" s="8">
        <f t="shared" si="162"/>
        <v>488.88400000000001</v>
      </c>
      <c r="O169" s="8">
        <f t="shared" si="162"/>
        <v>573.2059999999999</v>
      </c>
      <c r="P169" s="8">
        <f t="shared" si="162"/>
        <v>502.94599999999997</v>
      </c>
      <c r="Q169" s="8">
        <f t="shared" si="162"/>
        <v>493.05400000000003</v>
      </c>
      <c r="R169" s="8">
        <f t="shared" si="162"/>
        <v>720.61999999999978</v>
      </c>
      <c r="S169" s="8">
        <f t="shared" si="162"/>
        <v>787.49400000000014</v>
      </c>
      <c r="T169" s="8">
        <f>SUM(T164:T168)</f>
        <v>912.41399999999999</v>
      </c>
      <c r="U169" s="8">
        <f t="shared" ref="U169:Z169" si="163">SUM(U164:U168)</f>
        <v>1270.06</v>
      </c>
      <c r="V169" s="8">
        <f t="shared" si="163"/>
        <v>1299.3163612214623</v>
      </c>
      <c r="W169" s="8">
        <f t="shared" si="163"/>
        <v>1315.1354256051065</v>
      </c>
      <c r="X169" s="8">
        <f t="shared" si="163"/>
        <v>1332.6737814053017</v>
      </c>
      <c r="Y169" s="8">
        <f t="shared" si="163"/>
        <v>1357.1608565189022</v>
      </c>
      <c r="Z169" s="8">
        <f t="shared" si="163"/>
        <v>1410.0353057665029</v>
      </c>
      <c r="AA169" s="8">
        <f>SUM(AA164:AA168)</f>
        <v>1451.6102884784343</v>
      </c>
      <c r="AB169" s="8">
        <f>SUM(AB164:AB168)</f>
        <v>1499.0766703725703</v>
      </c>
      <c r="AC169" s="8">
        <f>SUM(AC164:AC168)</f>
        <v>1545.9882617176909</v>
      </c>
      <c r="AD169" s="8">
        <f>SUM(AD164:AD168)</f>
        <v>1636.1588618075061</v>
      </c>
      <c r="AE169" s="64"/>
    </row>
    <row r="170" spans="1:31" s="95" customFormat="1" outlineLevel="1">
      <c r="A170" s="112"/>
      <c r="B170" s="145"/>
      <c r="D170" s="84" t="s">
        <v>120</v>
      </c>
      <c r="E170" s="93"/>
      <c r="F170" s="93"/>
      <c r="G170" s="85" t="b">
        <f t="shared" ref="G170:AD170" si="164">ABS(G169-G153)&lt;0.001</f>
        <v>1</v>
      </c>
      <c r="H170" s="85" t="b">
        <f t="shared" si="164"/>
        <v>1</v>
      </c>
      <c r="I170" s="85" t="b">
        <f t="shared" si="164"/>
        <v>1</v>
      </c>
      <c r="J170" s="85" t="b">
        <f t="shared" si="164"/>
        <v>1</v>
      </c>
      <c r="K170" s="85" t="b">
        <f t="shared" si="164"/>
        <v>1</v>
      </c>
      <c r="L170" s="85" t="b">
        <f t="shared" si="164"/>
        <v>1</v>
      </c>
      <c r="M170" s="85" t="b">
        <f t="shared" si="164"/>
        <v>1</v>
      </c>
      <c r="N170" s="85" t="b">
        <f t="shared" si="164"/>
        <v>1</v>
      </c>
      <c r="O170" s="85" t="b">
        <f t="shared" si="164"/>
        <v>1</v>
      </c>
      <c r="P170" s="85" t="b">
        <f t="shared" si="164"/>
        <v>1</v>
      </c>
      <c r="Q170" s="85" t="b">
        <f t="shared" si="164"/>
        <v>1</v>
      </c>
      <c r="R170" s="85" t="b">
        <f t="shared" si="164"/>
        <v>1</v>
      </c>
      <c r="S170" s="85" t="b">
        <f t="shared" si="164"/>
        <v>1</v>
      </c>
      <c r="T170" s="85" t="b">
        <f t="shared" si="164"/>
        <v>1</v>
      </c>
      <c r="U170" s="85" t="b">
        <f t="shared" si="164"/>
        <v>1</v>
      </c>
      <c r="V170" s="85" t="b">
        <f t="shared" si="164"/>
        <v>1</v>
      </c>
      <c r="W170" s="85" t="b">
        <f t="shared" si="164"/>
        <v>1</v>
      </c>
      <c r="X170" s="85" t="b">
        <f t="shared" si="164"/>
        <v>1</v>
      </c>
      <c r="Y170" s="85" t="b">
        <f t="shared" si="164"/>
        <v>1</v>
      </c>
      <c r="Z170" s="85" t="b">
        <f t="shared" si="164"/>
        <v>1</v>
      </c>
      <c r="AA170" s="85" t="b">
        <f t="shared" si="164"/>
        <v>1</v>
      </c>
      <c r="AB170" s="85" t="b">
        <f t="shared" si="164"/>
        <v>1</v>
      </c>
      <c r="AC170" s="85" t="b">
        <f t="shared" si="164"/>
        <v>1</v>
      </c>
      <c r="AD170" s="85" t="b">
        <f t="shared" si="164"/>
        <v>1</v>
      </c>
      <c r="AE170" s="94"/>
    </row>
    <row r="171" spans="1:31" outlineLevel="1"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7"/>
    </row>
    <row r="172" spans="1:31" outlineLevel="1">
      <c r="D172" t="s">
        <v>152</v>
      </c>
      <c r="G172" s="7"/>
      <c r="H172" s="7"/>
      <c r="I172" s="7">
        <f t="shared" ref="I172:U172" si="165">SUM(I145:I147)-SUM(I156:I159)</f>
        <v>-21.674999999999983</v>
      </c>
      <c r="J172" s="7">
        <f t="shared" si="165"/>
        <v>-12.587999999999965</v>
      </c>
      <c r="K172" s="7">
        <f t="shared" si="165"/>
        <v>-4.7059999999999604</v>
      </c>
      <c r="L172" s="7">
        <f t="shared" si="165"/>
        <v>-14.885999999999967</v>
      </c>
      <c r="M172" s="7">
        <f t="shared" si="165"/>
        <v>-15.255000000000024</v>
      </c>
      <c r="N172" s="7">
        <f t="shared" si="165"/>
        <v>-35.603000000000065</v>
      </c>
      <c r="O172" s="7">
        <f t="shared" si="165"/>
        <v>-60.514999999999986</v>
      </c>
      <c r="P172" s="7">
        <f t="shared" si="165"/>
        <v>-75.13900000000001</v>
      </c>
      <c r="Q172" s="7">
        <f t="shared" si="165"/>
        <v>-72.380000000000052</v>
      </c>
      <c r="R172" s="7">
        <f t="shared" si="165"/>
        <v>-25.716000000000008</v>
      </c>
      <c r="S172" s="7">
        <f t="shared" si="165"/>
        <v>-4.9820000000000277</v>
      </c>
      <c r="T172" s="7">
        <f t="shared" si="165"/>
        <v>-17.156999999999982</v>
      </c>
      <c r="U172" s="7">
        <f t="shared" si="165"/>
        <v>-69.188000000000045</v>
      </c>
      <c r="V172" s="69">
        <f t="shared" ref="V172:AD172" si="166">+V173*V79*4</f>
        <v>-39.702185499787646</v>
      </c>
      <c r="W172" s="69">
        <f t="shared" si="166"/>
        <v>-39.423514866339893</v>
      </c>
      <c r="X172" s="69">
        <f t="shared" si="166"/>
        <v>-40.635220786430189</v>
      </c>
      <c r="Y172" s="69">
        <f t="shared" si="166"/>
        <v>-41.287799371582061</v>
      </c>
      <c r="Z172" s="69">
        <f t="shared" si="166"/>
        <v>-50.660135933477775</v>
      </c>
      <c r="AA172" s="69">
        <f t="shared" si="166"/>
        <v>-51.777441762363352</v>
      </c>
      <c r="AB172" s="69">
        <f t="shared" si="166"/>
        <v>-54.171750927299001</v>
      </c>
      <c r="AC172" s="69">
        <f t="shared" si="166"/>
        <v>-55.784654452892305</v>
      </c>
      <c r="AD172" s="69">
        <f t="shared" si="166"/>
        <v>-66.476280406648655</v>
      </c>
      <c r="AE172" s="7"/>
    </row>
    <row r="173" spans="1:31" outlineLevel="1">
      <c r="D173" t="s">
        <v>227</v>
      </c>
      <c r="G173" s="87"/>
      <c r="H173" s="87"/>
      <c r="I173" s="87">
        <f t="shared" ref="I173:U173" si="167">IFERROR(+I172/(I79*4),"na")</f>
        <v>-5.4163667986086073E-2</v>
      </c>
      <c r="J173" s="87">
        <f t="shared" si="167"/>
        <v>-2.312491273964443E-2</v>
      </c>
      <c r="K173" s="87">
        <f t="shared" si="167"/>
        <v>-6.8962081113240255E-3</v>
      </c>
      <c r="L173" s="87">
        <f t="shared" si="167"/>
        <v>-2.3556033800677226E-2</v>
      </c>
      <c r="M173" s="87">
        <f t="shared" si="167"/>
        <v>-2.6392002989536666E-2</v>
      </c>
      <c r="N173" s="87">
        <f t="shared" si="167"/>
        <v>-4.1455718311171202E-2</v>
      </c>
      <c r="O173" s="87">
        <f t="shared" si="167"/>
        <v>-6.2638443225338972E-2</v>
      </c>
      <c r="P173" s="87">
        <f t="shared" si="167"/>
        <v>-8.2446388286619696E-2</v>
      </c>
      <c r="Q173" s="87">
        <f t="shared" si="167"/>
        <v>-9.5299539170506986E-2</v>
      </c>
      <c r="R173" s="87">
        <f t="shared" si="167"/>
        <v>-2.2202882334048223E-2</v>
      </c>
      <c r="S173" s="87">
        <f t="shared" si="167"/>
        <v>-4.0151256278167357E-3</v>
      </c>
      <c r="T173" s="87">
        <f t="shared" si="167"/>
        <v>-1.2421555311650201E-2</v>
      </c>
      <c r="U173" s="87">
        <f t="shared" si="167"/>
        <v>-4.7086013572923871E-2</v>
      </c>
      <c r="V173" s="213">
        <v>-0.02</v>
      </c>
      <c r="W173" s="213">
        <f>V173</f>
        <v>-0.02</v>
      </c>
      <c r="X173" s="213">
        <f t="shared" ref="X173:AD173" si="168">W173</f>
        <v>-0.02</v>
      </c>
      <c r="Y173" s="213">
        <f t="shared" si="168"/>
        <v>-0.02</v>
      </c>
      <c r="Z173" s="213">
        <f t="shared" si="168"/>
        <v>-0.02</v>
      </c>
      <c r="AA173" s="213">
        <f t="shared" si="168"/>
        <v>-0.02</v>
      </c>
      <c r="AB173" s="213">
        <f t="shared" si="168"/>
        <v>-0.02</v>
      </c>
      <c r="AC173" s="213">
        <f t="shared" si="168"/>
        <v>-0.02</v>
      </c>
      <c r="AD173" s="213">
        <f t="shared" si="168"/>
        <v>-0.02</v>
      </c>
      <c r="AE173" s="7"/>
    </row>
    <row r="174" spans="1:31" outlineLevel="1">
      <c r="D174" s="70" t="s">
        <v>488</v>
      </c>
      <c r="G174" s="87"/>
      <c r="H174" s="87"/>
      <c r="I174" s="73">
        <f t="shared" ref="I174:U174" si="169">I156/I79</f>
        <v>0.85100555755467588</v>
      </c>
      <c r="J174" s="73">
        <f t="shared" si="169"/>
        <v>1.0008891370961224</v>
      </c>
      <c r="K174" s="73">
        <f t="shared" si="169"/>
        <v>0.94600852281053449</v>
      </c>
      <c r="L174" s="73">
        <f t="shared" si="169"/>
        <v>0.95716681963477535</v>
      </c>
      <c r="M174" s="73">
        <f t="shared" si="169"/>
        <v>0.96371726734208052</v>
      </c>
      <c r="N174" s="73">
        <f t="shared" si="169"/>
        <v>1.156088586665424</v>
      </c>
      <c r="O174" s="73">
        <f t="shared" si="169"/>
        <v>1.304063761515371</v>
      </c>
      <c r="P174" s="73">
        <f t="shared" si="169"/>
        <v>1.203562117607816</v>
      </c>
      <c r="Q174" s="73">
        <f t="shared" si="169"/>
        <v>1.3386965108624096</v>
      </c>
      <c r="R174" s="73">
        <f t="shared" si="169"/>
        <v>1.3745238415925016</v>
      </c>
      <c r="S174" s="73">
        <f t="shared" si="169"/>
        <v>1.1928678731923068</v>
      </c>
      <c r="T174" s="73">
        <f t="shared" si="169"/>
        <v>1.0921498840162525</v>
      </c>
      <c r="U174" s="73">
        <f t="shared" si="169"/>
        <v>1.2156287345276564</v>
      </c>
      <c r="V174" s="87"/>
      <c r="W174" s="87"/>
      <c r="X174" s="87"/>
      <c r="Y174" s="87"/>
      <c r="Z174" s="87"/>
      <c r="AA174" s="87"/>
      <c r="AB174" s="87"/>
      <c r="AC174" s="87"/>
      <c r="AD174" s="87"/>
      <c r="AE174" s="7"/>
    </row>
    <row r="175" spans="1:31" outlineLevel="1">
      <c r="D175" s="70" t="s">
        <v>363</v>
      </c>
      <c r="G175" s="87"/>
      <c r="H175" s="87"/>
      <c r="I175" s="87">
        <f t="shared" ref="I175:AD175" si="170">(I145-I156)/(I79*4)</f>
        <v>-3.8895386030146764E-2</v>
      </c>
      <c r="J175" s="87">
        <f t="shared" si="170"/>
        <v>-1.144304746228513E-2</v>
      </c>
      <c r="K175" s="87">
        <f t="shared" si="170"/>
        <v>-4.031336275871736E-3</v>
      </c>
      <c r="L175" s="87">
        <f t="shared" si="170"/>
        <v>-3.4394088046333489E-2</v>
      </c>
      <c r="M175" s="87">
        <f t="shared" si="170"/>
        <v>-3.1509508387311071E-2</v>
      </c>
      <c r="N175" s="87">
        <f t="shared" si="170"/>
        <v>-3.2696024778183987E-2</v>
      </c>
      <c r="O175" s="87">
        <f t="shared" si="170"/>
        <v>-6.5602939654280087E-2</v>
      </c>
      <c r="P175" s="87">
        <f t="shared" si="170"/>
        <v>-7.4688819445054025E-2</v>
      </c>
      <c r="Q175" s="87">
        <f t="shared" si="170"/>
        <v>-8.9316655694535896E-2</v>
      </c>
      <c r="R175" s="87">
        <f t="shared" si="170"/>
        <v>-2.9091854108172131E-2</v>
      </c>
      <c r="S175" s="87">
        <f t="shared" si="170"/>
        <v>-1.9979722890245709E-2</v>
      </c>
      <c r="T175" s="87">
        <f t="shared" si="170"/>
        <v>-1.8435768750705895E-2</v>
      </c>
      <c r="U175" s="87">
        <f t="shared" si="170"/>
        <v>-5.9896038916670544E-2</v>
      </c>
      <c r="V175" s="87">
        <f t="shared" si="170"/>
        <v>-3.259373899599554E-2</v>
      </c>
      <c r="W175" s="87">
        <f t="shared" si="170"/>
        <v>-3.2712375622064693E-2</v>
      </c>
      <c r="X175" s="87">
        <f t="shared" si="170"/>
        <v>-3.2208368582275201E-2</v>
      </c>
      <c r="Y175" s="87">
        <f t="shared" si="170"/>
        <v>-3.1949186009261679E-2</v>
      </c>
      <c r="Z175" s="87">
        <f t="shared" si="170"/>
        <v>-2.8963410662670348E-2</v>
      </c>
      <c r="AA175" s="87">
        <f t="shared" si="170"/>
        <v>-2.8679577939939908E-2</v>
      </c>
      <c r="AB175" s="87">
        <f t="shared" si="170"/>
        <v>-2.8110772024161679E-2</v>
      </c>
      <c r="AC175" s="87">
        <f t="shared" si="170"/>
        <v>-2.775512587597783E-2</v>
      </c>
      <c r="AD175" s="87">
        <f t="shared" si="170"/>
        <v>-2.5833983123755136E-2</v>
      </c>
      <c r="AE175" s="7"/>
    </row>
    <row r="176" spans="1:31" outlineLevel="1">
      <c r="D176" s="70" t="s">
        <v>365</v>
      </c>
      <c r="G176" s="87"/>
      <c r="H176" s="87"/>
      <c r="I176" s="87">
        <f t="shared" ref="I176:AD176" si="171">I146/(I14*4)</f>
        <v>4.9862608187755529E-2</v>
      </c>
      <c r="J176" s="87">
        <f t="shared" si="171"/>
        <v>2.7535207825047443E-2</v>
      </c>
      <c r="K176" s="87">
        <f t="shared" si="171"/>
        <v>2.8516891402597309E-2</v>
      </c>
      <c r="L176" s="87">
        <f t="shared" si="171"/>
        <v>3.2668782412268137E-2</v>
      </c>
      <c r="M176" s="87">
        <f t="shared" si="171"/>
        <v>3.1567176639102967E-2</v>
      </c>
      <c r="N176" s="87">
        <f t="shared" si="171"/>
        <v>3.5298701063370332E-2</v>
      </c>
      <c r="O176" s="87">
        <f t="shared" si="171"/>
        <v>5.9607475457367512E-2</v>
      </c>
      <c r="P176" s="87">
        <f t="shared" si="171"/>
        <v>3.9999828871636618E-2</v>
      </c>
      <c r="Q176" s="87">
        <f t="shared" si="171"/>
        <v>4.3919484140815618E-2</v>
      </c>
      <c r="R176" s="87">
        <f t="shared" si="171"/>
        <v>3.92671677202064E-2</v>
      </c>
      <c r="S176" s="87">
        <f t="shared" si="171"/>
        <v>5.1196600490283441E-2</v>
      </c>
      <c r="T176" s="87">
        <f t="shared" si="171"/>
        <v>5.5189184000682581E-2</v>
      </c>
      <c r="U176" s="87">
        <f t="shared" si="171"/>
        <v>6.8675304135832949E-2</v>
      </c>
      <c r="V176" s="87">
        <f t="shared" si="171"/>
        <v>5.3348776516390514E-2</v>
      </c>
      <c r="W176" s="87">
        <f t="shared" si="171"/>
        <v>5.3824154246170125E-2</v>
      </c>
      <c r="X176" s="87">
        <f t="shared" si="171"/>
        <v>5.2153526573065122E-2</v>
      </c>
      <c r="Y176" s="87">
        <f t="shared" si="171"/>
        <v>5.1324047095940739E-2</v>
      </c>
      <c r="Z176" s="87">
        <f t="shared" si="171"/>
        <v>4.1066159025079395E-2</v>
      </c>
      <c r="AA176" s="87">
        <f t="shared" si="171"/>
        <v>4.0135319210931372E-2</v>
      </c>
      <c r="AB176" s="87">
        <f t="shared" si="171"/>
        <v>3.8214449208602216E-2</v>
      </c>
      <c r="AC176" s="87">
        <f t="shared" si="171"/>
        <v>3.7028454408284658E-2</v>
      </c>
      <c r="AD176" s="87">
        <f t="shared" si="171"/>
        <v>3.0399925335650415E-2</v>
      </c>
      <c r="AE176" s="7"/>
    </row>
    <row r="177" spans="1:31" outlineLevel="1">
      <c r="D177" s="70" t="s">
        <v>364</v>
      </c>
      <c r="G177" s="87"/>
      <c r="H177" s="87"/>
      <c r="I177" s="87">
        <f t="shared" ref="I177:AD177" si="172">(I147-I158-I159)/(I79*4)</f>
        <v>1.251949142377353E-3</v>
      </c>
      <c r="J177" s="87">
        <f t="shared" si="172"/>
        <v>1.3520762453430534E-3</v>
      </c>
      <c r="K177" s="87">
        <f t="shared" si="172"/>
        <v>-4.6922350982702343E-3</v>
      </c>
      <c r="L177" s="87">
        <f t="shared" si="172"/>
        <v>5.7299743646548728E-3</v>
      </c>
      <c r="M177" s="87">
        <f t="shared" si="172"/>
        <v>1.0136397608370701E-2</v>
      </c>
      <c r="N177" s="87">
        <f t="shared" si="172"/>
        <v>5.6298176567848874E-3</v>
      </c>
      <c r="O177" s="87">
        <f t="shared" si="172"/>
        <v>-2.4655832729531093E-3</v>
      </c>
      <c r="P177" s="87">
        <f t="shared" si="172"/>
        <v>-4.1618753346617399E-3</v>
      </c>
      <c r="Q177" s="87">
        <f t="shared" si="172"/>
        <v>-4.0013166556945355E-3</v>
      </c>
      <c r="R177" s="87">
        <f t="shared" si="172"/>
        <v>-6.703343383168082E-3</v>
      </c>
      <c r="S177" s="87">
        <f t="shared" si="172"/>
        <v>-9.6300152803656981E-3</v>
      </c>
      <c r="T177" s="87">
        <f t="shared" si="172"/>
        <v>-1.9802668350192728E-2</v>
      </c>
      <c r="U177" s="87">
        <f t="shared" si="172"/>
        <v>-1.695934928365124E-2</v>
      </c>
      <c r="V177" s="87">
        <f t="shared" si="172"/>
        <v>-1.2046980522016758E-2</v>
      </c>
      <c r="W177" s="87">
        <f t="shared" si="172"/>
        <v>-1.2127315664940814E-2</v>
      </c>
      <c r="X177" s="87">
        <f t="shared" si="172"/>
        <v>-1.1786025804315387E-2</v>
      </c>
      <c r="Y177" s="87">
        <f t="shared" si="172"/>
        <v>-1.1610519556908054E-2</v>
      </c>
      <c r="Z177" s="87">
        <f t="shared" si="172"/>
        <v>-9.5886929325764425E-3</v>
      </c>
      <c r="AA177" s="87">
        <f t="shared" si="172"/>
        <v>-9.396494763237246E-3</v>
      </c>
      <c r="AB177" s="87">
        <f t="shared" si="172"/>
        <v>-9.0113261517036879E-3</v>
      </c>
      <c r="AC177" s="87">
        <f t="shared" si="172"/>
        <v>-8.7704993084986149E-3</v>
      </c>
      <c r="AD177" s="87">
        <f t="shared" si="172"/>
        <v>-7.4695918004974091E-3</v>
      </c>
      <c r="AE177" s="7"/>
    </row>
    <row r="178" spans="1:31" outlineLevel="1"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spans="1:31" outlineLevel="1">
      <c r="D179" t="s">
        <v>198</v>
      </c>
      <c r="G179" s="7"/>
      <c r="H179" s="7">
        <f t="shared" ref="H179:U179" si="173">+H172-G172</f>
        <v>0</v>
      </c>
      <c r="I179" s="7">
        <f t="shared" si="173"/>
        <v>-21.674999999999983</v>
      </c>
      <c r="J179" s="7">
        <f t="shared" si="173"/>
        <v>9.0870000000000175</v>
      </c>
      <c r="K179" s="7">
        <f t="shared" si="173"/>
        <v>7.882000000000005</v>
      </c>
      <c r="L179" s="7">
        <f t="shared" si="173"/>
        <v>-10.180000000000007</v>
      </c>
      <c r="M179" s="7">
        <f t="shared" si="173"/>
        <v>-0.36900000000005662</v>
      </c>
      <c r="N179" s="7">
        <f t="shared" si="173"/>
        <v>-20.348000000000042</v>
      </c>
      <c r="O179" s="7">
        <f t="shared" si="173"/>
        <v>-24.911999999999921</v>
      </c>
      <c r="P179" s="7">
        <f t="shared" si="173"/>
        <v>-14.624000000000024</v>
      </c>
      <c r="Q179" s="7">
        <f t="shared" si="173"/>
        <v>2.7589999999999577</v>
      </c>
      <c r="R179" s="7">
        <f t="shared" si="173"/>
        <v>46.664000000000044</v>
      </c>
      <c r="S179" s="7">
        <f t="shared" si="173"/>
        <v>20.73399999999998</v>
      </c>
      <c r="T179" s="7">
        <f t="shared" si="173"/>
        <v>-12.174999999999955</v>
      </c>
      <c r="U179" s="7">
        <f t="shared" si="173"/>
        <v>-52.031000000000063</v>
      </c>
      <c r="V179" s="7">
        <f t="shared" ref="V179:AD179" si="174">+V172-U172</f>
        <v>29.485814500212399</v>
      </c>
      <c r="W179" s="7">
        <f t="shared" si="174"/>
        <v>0.27867063344775289</v>
      </c>
      <c r="X179" s="7">
        <f t="shared" si="174"/>
        <v>-1.2117059200902958</v>
      </c>
      <c r="Y179" s="7">
        <f t="shared" si="174"/>
        <v>-0.65257858515187195</v>
      </c>
      <c r="Z179" s="7">
        <f t="shared" si="174"/>
        <v>-9.3723365618957146</v>
      </c>
      <c r="AA179" s="7">
        <f t="shared" si="174"/>
        <v>-1.1173058288855771</v>
      </c>
      <c r="AB179" s="7">
        <f t="shared" si="174"/>
        <v>-2.3943091649356489</v>
      </c>
      <c r="AC179" s="7">
        <f t="shared" si="174"/>
        <v>-1.6129035255933033</v>
      </c>
      <c r="AD179" s="7">
        <f t="shared" si="174"/>
        <v>-10.69162595375635</v>
      </c>
      <c r="AE179" s="7"/>
    </row>
    <row r="180" spans="1:31" outlineLevel="1">
      <c r="D180" t="s">
        <v>231</v>
      </c>
      <c r="G180" s="7"/>
      <c r="H180" s="7">
        <f t="shared" ref="H180:U180" si="175">-H122</f>
        <v>-20.46</v>
      </c>
      <c r="I180" s="7">
        <f t="shared" si="175"/>
        <v>3.5359999999999996</v>
      </c>
      <c r="J180" s="7">
        <f t="shared" si="175"/>
        <v>9.2949999999999839</v>
      </c>
      <c r="K180" s="7">
        <f t="shared" si="175"/>
        <v>5.3770000000000016</v>
      </c>
      <c r="L180" s="7">
        <f t="shared" si="175"/>
        <v>-11.804000000000002</v>
      </c>
      <c r="M180" s="7">
        <f t="shared" si="175"/>
        <v>0.26500000000000012</v>
      </c>
      <c r="N180" s="7">
        <f t="shared" si="175"/>
        <v>3.0880000000000063</v>
      </c>
      <c r="O180" s="7">
        <f t="shared" si="175"/>
        <v>-18.589000000000006</v>
      </c>
      <c r="P180" s="7">
        <f t="shared" si="175"/>
        <v>-16.277999999999995</v>
      </c>
      <c r="Q180" s="7">
        <f t="shared" si="175"/>
        <v>-13.286000000000005</v>
      </c>
      <c r="R180" s="7">
        <f t="shared" si="175"/>
        <v>40.768000000000015</v>
      </c>
      <c r="S180" s="7">
        <f t="shared" si="175"/>
        <v>20.899000000000004</v>
      </c>
      <c r="T180" s="7">
        <f t="shared" si="175"/>
        <v>-7.2369999999999983</v>
      </c>
      <c r="U180" s="7">
        <f t="shared" si="175"/>
        <v>-34.673999999999999</v>
      </c>
      <c r="V180" s="206">
        <f t="shared" ref="V180:AD180" si="176">V179</f>
        <v>29.485814500212399</v>
      </c>
      <c r="W180" s="206">
        <f t="shared" si="176"/>
        <v>0.27867063344775289</v>
      </c>
      <c r="X180" s="206">
        <f t="shared" si="176"/>
        <v>-1.2117059200902958</v>
      </c>
      <c r="Y180" s="206">
        <f t="shared" si="176"/>
        <v>-0.65257858515187195</v>
      </c>
      <c r="Z180" s="206">
        <f t="shared" si="176"/>
        <v>-9.3723365618957146</v>
      </c>
      <c r="AA180" s="206">
        <f t="shared" si="176"/>
        <v>-1.1173058288855771</v>
      </c>
      <c r="AB180" s="206">
        <f t="shared" si="176"/>
        <v>-2.3943091649356489</v>
      </c>
      <c r="AC180" s="206">
        <f t="shared" si="176"/>
        <v>-1.6129035255933033</v>
      </c>
      <c r="AD180" s="206">
        <f t="shared" si="176"/>
        <v>-10.69162595375635</v>
      </c>
      <c r="AE180" s="7"/>
    </row>
    <row r="181" spans="1:31" outlineLevel="1">
      <c r="D181" s="84" t="s">
        <v>221</v>
      </c>
      <c r="G181" s="7"/>
      <c r="H181" s="7">
        <f t="shared" ref="H181:S181" si="177">H179-H180</f>
        <v>20.46</v>
      </c>
      <c r="I181" s="7">
        <f t="shared" si="177"/>
        <v>-25.210999999999984</v>
      </c>
      <c r="J181" s="7">
        <f t="shared" si="177"/>
        <v>-0.20799999999996643</v>
      </c>
      <c r="K181" s="7">
        <f t="shared" si="177"/>
        <v>2.5050000000000034</v>
      </c>
      <c r="L181" s="7">
        <f t="shared" si="177"/>
        <v>1.6239999999999952</v>
      </c>
      <c r="M181" s="7">
        <f t="shared" si="177"/>
        <v>-0.63400000000005674</v>
      </c>
      <c r="N181" s="7">
        <f t="shared" si="177"/>
        <v>-23.43600000000005</v>
      </c>
      <c r="O181" s="7">
        <f t="shared" si="177"/>
        <v>-6.3229999999999151</v>
      </c>
      <c r="P181" s="7">
        <f t="shared" si="177"/>
        <v>1.6539999999999715</v>
      </c>
      <c r="Q181" s="7">
        <f t="shared" si="177"/>
        <v>16.044999999999963</v>
      </c>
      <c r="R181" s="7">
        <f t="shared" si="177"/>
        <v>5.8960000000000292</v>
      </c>
      <c r="S181" s="7">
        <f t="shared" si="177"/>
        <v>-0.16500000000002402</v>
      </c>
      <c r="T181" s="7">
        <f>T179-T180</f>
        <v>-4.9379999999999562</v>
      </c>
      <c r="U181" s="7">
        <f>U179-U180</f>
        <v>-17.357000000000063</v>
      </c>
      <c r="V181" s="7">
        <f t="shared" ref="V181:AD181" si="178">V179-V180</f>
        <v>0</v>
      </c>
      <c r="W181" s="7">
        <f t="shared" si="178"/>
        <v>0</v>
      </c>
      <c r="X181" s="7">
        <f t="shared" si="178"/>
        <v>0</v>
      </c>
      <c r="Y181" s="7">
        <f t="shared" si="178"/>
        <v>0</v>
      </c>
      <c r="Z181" s="7">
        <f t="shared" si="178"/>
        <v>0</v>
      </c>
      <c r="AA181" s="7">
        <f t="shared" si="178"/>
        <v>0</v>
      </c>
      <c r="AB181" s="7">
        <f t="shared" si="178"/>
        <v>0</v>
      </c>
      <c r="AC181" s="7">
        <f t="shared" si="178"/>
        <v>0</v>
      </c>
      <c r="AD181" s="7">
        <f t="shared" si="178"/>
        <v>0</v>
      </c>
      <c r="AE181" s="7"/>
    </row>
    <row r="182" spans="1:31" outlineLevel="1">
      <c r="D182" s="84" t="s">
        <v>366</v>
      </c>
      <c r="G182" s="7"/>
      <c r="H182" s="7">
        <f t="shared" ref="H182:P182" si="179">H267</f>
        <v>0.80800000000000294</v>
      </c>
      <c r="I182" s="7">
        <f t="shared" si="179"/>
        <v>0</v>
      </c>
      <c r="J182" s="7">
        <f t="shared" si="179"/>
        <v>-3.9839999999999978</v>
      </c>
      <c r="K182" s="7">
        <f t="shared" si="179"/>
        <v>-2.8810000000000033</v>
      </c>
      <c r="L182" s="7">
        <f t="shared" si="179"/>
        <v>0</v>
      </c>
      <c r="M182" s="7">
        <f t="shared" si="179"/>
        <v>-0.35099999999999998</v>
      </c>
      <c r="N182" s="7">
        <f t="shared" si="179"/>
        <v>-3.4460000000000002</v>
      </c>
      <c r="O182" s="7">
        <f t="shared" si="179"/>
        <v>-0.38000000000000023</v>
      </c>
      <c r="P182" s="7">
        <f t="shared" si="179"/>
        <v>0</v>
      </c>
      <c r="Q182" s="7">
        <f>Q267</f>
        <v>0</v>
      </c>
      <c r="R182" s="7">
        <f>R267</f>
        <v>3.6090000000000009</v>
      </c>
      <c r="S182" s="7">
        <f>S267</f>
        <v>-0.35399999999999959</v>
      </c>
      <c r="T182" s="7">
        <f>T267</f>
        <v>5.6920000000000019</v>
      </c>
      <c r="U182" s="7">
        <f>U267</f>
        <v>-1.1810000000000005</v>
      </c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1:31"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7"/>
    </row>
    <row r="184" spans="1:31">
      <c r="B184" s="141" t="s">
        <v>189</v>
      </c>
      <c r="C184" s="52" t="s">
        <v>189</v>
      </c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</row>
    <row r="185" spans="1:31">
      <c r="C185" s="104"/>
      <c r="D185" s="105" t="s">
        <v>155</v>
      </c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</row>
    <row r="186" spans="1:31" ht="5.0999999999999996" customHeight="1"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"/>
    </row>
    <row r="187" spans="1:31" s="3" customFormat="1" outlineLevel="1">
      <c r="A187" s="110"/>
      <c r="B187" s="36"/>
      <c r="C187"/>
      <c r="D187" s="237" t="s">
        <v>156</v>
      </c>
      <c r="E187"/>
      <c r="F187"/>
      <c r="G187" s="74">
        <f t="shared" ref="G187:U187" si="180">G162+G155</f>
        <v>0</v>
      </c>
      <c r="H187" s="74">
        <f t="shared" si="180"/>
        <v>0</v>
      </c>
      <c r="I187" s="74">
        <f t="shared" si="180"/>
        <v>60.572000000000003</v>
      </c>
      <c r="J187" s="74">
        <f t="shared" si="180"/>
        <v>88.49199999999999</v>
      </c>
      <c r="K187" s="74">
        <f t="shared" si="180"/>
        <v>118.06</v>
      </c>
      <c r="L187" s="74">
        <f t="shared" si="180"/>
        <v>111.86500000000001</v>
      </c>
      <c r="M187" s="74">
        <f t="shared" si="180"/>
        <v>121.94900000000001</v>
      </c>
      <c r="N187" s="74">
        <f t="shared" si="180"/>
        <v>165.43899999999999</v>
      </c>
      <c r="O187" s="74">
        <f t="shared" si="180"/>
        <v>165.71199999999999</v>
      </c>
      <c r="P187" s="74">
        <f t="shared" si="180"/>
        <v>151.23500000000001</v>
      </c>
      <c r="Q187" s="74">
        <f t="shared" si="180"/>
        <v>115.66300000000001</v>
      </c>
      <c r="R187" s="74">
        <f t="shared" si="180"/>
        <v>139.16300000000001</v>
      </c>
      <c r="S187" s="74">
        <f t="shared" si="180"/>
        <v>142.21100000000001</v>
      </c>
      <c r="T187" s="74">
        <f t="shared" si="180"/>
        <v>51.235999999999997</v>
      </c>
      <c r="U187" s="74">
        <f t="shared" si="180"/>
        <v>1.4279999999999999</v>
      </c>
      <c r="V187" s="98">
        <f t="shared" ref="V187:AD187" si="181">+V194*V195*4</f>
        <v>26.964233442530286</v>
      </c>
      <c r="W187" s="98">
        <f t="shared" si="181"/>
        <v>38.555159939271967</v>
      </c>
      <c r="X187" s="98">
        <f t="shared" si="181"/>
        <v>49.926866904703616</v>
      </c>
      <c r="Y187" s="98">
        <f t="shared" si="181"/>
        <v>64.70107379718965</v>
      </c>
      <c r="Z187" s="98">
        <f t="shared" si="181"/>
        <v>97.165627636025661</v>
      </c>
      <c r="AA187" s="98">
        <f t="shared" si="181"/>
        <v>118.12530679352166</v>
      </c>
      <c r="AB187" s="98">
        <f t="shared" si="181"/>
        <v>143.95166793091661</v>
      </c>
      <c r="AC187" s="98">
        <f t="shared" si="181"/>
        <v>169.9052638218574</v>
      </c>
      <c r="AD187" s="98">
        <f t="shared" si="181"/>
        <v>229.12045768518848</v>
      </c>
      <c r="AE187" s="64"/>
    </row>
    <row r="188" spans="1:31" s="3" customFormat="1" outlineLevel="1">
      <c r="A188" s="110"/>
      <c r="B188" s="36"/>
      <c r="C188"/>
      <c r="D188" s="148" t="s">
        <v>159</v>
      </c>
      <c r="E188"/>
      <c r="F188"/>
      <c r="G188" s="7"/>
      <c r="H188" s="7">
        <f>AVERAGE(G187:H187)</f>
        <v>0</v>
      </c>
      <c r="I188" s="7">
        <f t="shared" ref="I188:U188" si="182">AVERAGE(H187:I187)</f>
        <v>30.286000000000001</v>
      </c>
      <c r="J188" s="7">
        <f t="shared" si="182"/>
        <v>74.531999999999996</v>
      </c>
      <c r="K188" s="7">
        <f t="shared" si="182"/>
        <v>103.276</v>
      </c>
      <c r="L188" s="7">
        <f t="shared" si="182"/>
        <v>114.96250000000001</v>
      </c>
      <c r="M188" s="7">
        <f t="shared" si="182"/>
        <v>116.90700000000001</v>
      </c>
      <c r="N188" s="7">
        <f t="shared" si="182"/>
        <v>143.69400000000002</v>
      </c>
      <c r="O188" s="7">
        <f t="shared" si="182"/>
        <v>165.57549999999998</v>
      </c>
      <c r="P188" s="7">
        <f t="shared" si="182"/>
        <v>158.4735</v>
      </c>
      <c r="Q188" s="7">
        <f t="shared" si="182"/>
        <v>133.44900000000001</v>
      </c>
      <c r="R188" s="7">
        <f t="shared" si="182"/>
        <v>127.41300000000001</v>
      </c>
      <c r="S188" s="7">
        <f t="shared" si="182"/>
        <v>140.68700000000001</v>
      </c>
      <c r="T188" s="7">
        <f t="shared" si="182"/>
        <v>96.723500000000001</v>
      </c>
      <c r="U188" s="7">
        <f t="shared" si="182"/>
        <v>26.331999999999997</v>
      </c>
      <c r="V188" s="7">
        <f t="shared" ref="V188:AD188" si="183">AVERAGE(U187:V187)</f>
        <v>14.196116721265144</v>
      </c>
      <c r="W188" s="7">
        <f t="shared" si="183"/>
        <v>32.759696690901123</v>
      </c>
      <c r="X188" s="7">
        <f t="shared" si="183"/>
        <v>44.241013421987788</v>
      </c>
      <c r="Y188" s="7">
        <f t="shared" si="183"/>
        <v>57.313970350946633</v>
      </c>
      <c r="Z188" s="7">
        <f t="shared" si="183"/>
        <v>80.933350716607663</v>
      </c>
      <c r="AA188" s="7">
        <f t="shared" si="183"/>
        <v>107.64546721477366</v>
      </c>
      <c r="AB188" s="7">
        <f t="shared" si="183"/>
        <v>131.03848736221914</v>
      </c>
      <c r="AC188" s="7">
        <f t="shared" si="183"/>
        <v>156.92846587638701</v>
      </c>
      <c r="AD188" s="7">
        <f t="shared" si="183"/>
        <v>199.51286075352294</v>
      </c>
      <c r="AE188" s="64"/>
    </row>
    <row r="189" spans="1:31" s="3" customFormat="1" outlineLevel="1">
      <c r="A189" s="110"/>
      <c r="B189" s="36"/>
      <c r="C189"/>
      <c r="D189" s="237" t="s">
        <v>109</v>
      </c>
      <c r="E189"/>
      <c r="F189"/>
      <c r="G189" s="74">
        <f t="shared" ref="G189:S189" si="184">G208</f>
        <v>1.2480000000000002</v>
      </c>
      <c r="H189" s="74">
        <f t="shared" si="184"/>
        <v>2.1419999999999999</v>
      </c>
      <c r="I189" s="74">
        <f t="shared" si="184"/>
        <v>1.6080000000000001</v>
      </c>
      <c r="J189" s="74">
        <f t="shared" si="184"/>
        <v>0.80600000000000005</v>
      </c>
      <c r="K189" s="74">
        <f t="shared" si="184"/>
        <v>2.9910000000000001</v>
      </c>
      <c r="L189" s="74">
        <f t="shared" si="184"/>
        <v>2.3809999999999998</v>
      </c>
      <c r="M189" s="74">
        <f t="shared" si="184"/>
        <v>2.8730000000000002</v>
      </c>
      <c r="N189" s="74">
        <f t="shared" si="184"/>
        <v>4.7249999999999996</v>
      </c>
      <c r="O189" s="74">
        <f t="shared" si="184"/>
        <v>4.22</v>
      </c>
      <c r="P189" s="74">
        <f t="shared" si="184"/>
        <v>4.1859999999999999</v>
      </c>
      <c r="Q189" s="74">
        <f t="shared" si="184"/>
        <v>4.6970000000000001</v>
      </c>
      <c r="R189" s="74">
        <f t="shared" si="184"/>
        <v>1.8220000000000027</v>
      </c>
      <c r="S189" s="74">
        <f t="shared" si="184"/>
        <v>1.8720000000000001</v>
      </c>
      <c r="T189" s="74">
        <f>T208</f>
        <v>1.0780000000000001</v>
      </c>
      <c r="U189" s="74">
        <f>U208</f>
        <v>1.329</v>
      </c>
      <c r="V189" s="98">
        <f t="shared" ref="V189:AD189" si="185">V188*V190/4</f>
        <v>0.15970631311423286</v>
      </c>
      <c r="W189" s="98">
        <f t="shared" si="185"/>
        <v>0.3685465877726376</v>
      </c>
      <c r="X189" s="98">
        <f t="shared" si="185"/>
        <v>0.49771140099736261</v>
      </c>
      <c r="Y189" s="98">
        <f t="shared" si="185"/>
        <v>0.64478216644814956</v>
      </c>
      <c r="Z189" s="98">
        <f t="shared" si="185"/>
        <v>0.91050019556183615</v>
      </c>
      <c r="AA189" s="98">
        <f t="shared" si="185"/>
        <v>1.2110115061662037</v>
      </c>
      <c r="AB189" s="98">
        <f t="shared" si="185"/>
        <v>1.4741829828249653</v>
      </c>
      <c r="AC189" s="98">
        <f t="shared" si="185"/>
        <v>1.7654452411093537</v>
      </c>
      <c r="AD189" s="98">
        <f t="shared" si="185"/>
        <v>2.244519683477133</v>
      </c>
      <c r="AE189" s="64"/>
    </row>
    <row r="190" spans="1:31" s="3" customFormat="1" outlineLevel="1">
      <c r="A190" s="110"/>
      <c r="B190" s="36"/>
      <c r="C190"/>
      <c r="D190" s="148" t="s">
        <v>160</v>
      </c>
      <c r="E190"/>
      <c r="F190"/>
      <c r="G190" s="238" t="str">
        <f t="shared" ref="G190:S190" si="186">IFERROR(G189*4/G188,"na")</f>
        <v>na</v>
      </c>
      <c r="H190" s="238" t="str">
        <f t="shared" si="186"/>
        <v>na</v>
      </c>
      <c r="I190" s="238">
        <f t="shared" si="186"/>
        <v>0.21237535494948162</v>
      </c>
      <c r="J190" s="238">
        <f t="shared" si="186"/>
        <v>4.3256587774378796E-2</v>
      </c>
      <c r="K190" s="238">
        <f t="shared" si="186"/>
        <v>0.11584492040745188</v>
      </c>
      <c r="L190" s="238">
        <f t="shared" si="186"/>
        <v>8.2844405784494937E-2</v>
      </c>
      <c r="M190" s="238">
        <f t="shared" si="186"/>
        <v>9.8300358404543778E-2</v>
      </c>
      <c r="N190" s="238">
        <f t="shared" si="186"/>
        <v>0.13152950018789927</v>
      </c>
      <c r="O190" s="238">
        <f t="shared" si="186"/>
        <v>0.10194744995485444</v>
      </c>
      <c r="P190" s="238">
        <f t="shared" si="186"/>
        <v>0.10565804377388018</v>
      </c>
      <c r="Q190" s="238">
        <f t="shared" si="186"/>
        <v>0.14078786652578887</v>
      </c>
      <c r="R190" s="238">
        <f t="shared" si="186"/>
        <v>5.7199814775572434E-2</v>
      </c>
      <c r="S190" s="238">
        <f t="shared" si="186"/>
        <v>5.3224533894389671E-2</v>
      </c>
      <c r="T190" s="238">
        <f>IFERROR(T189*4/T188,"na")</f>
        <v>4.4580686182778745E-2</v>
      </c>
      <c r="U190" s="238">
        <f>IFERROR(U189*4/U188,"na")</f>
        <v>0.20188363967795839</v>
      </c>
      <c r="V190" s="212">
        <v>4.4999999999999998E-2</v>
      </c>
      <c r="W190" s="212">
        <f t="shared" ref="W190:AD190" si="187">MAX(V190-0.001,0.045)</f>
        <v>4.4999999999999998E-2</v>
      </c>
      <c r="X190" s="212">
        <f t="shared" si="187"/>
        <v>4.4999999999999998E-2</v>
      </c>
      <c r="Y190" s="212">
        <f t="shared" si="187"/>
        <v>4.4999999999999998E-2</v>
      </c>
      <c r="Z190" s="212">
        <f t="shared" si="187"/>
        <v>4.4999999999999998E-2</v>
      </c>
      <c r="AA190" s="212">
        <f t="shared" si="187"/>
        <v>4.4999999999999998E-2</v>
      </c>
      <c r="AB190" s="212">
        <f t="shared" si="187"/>
        <v>4.4999999999999998E-2</v>
      </c>
      <c r="AC190" s="212">
        <f t="shared" si="187"/>
        <v>4.4999999999999998E-2</v>
      </c>
      <c r="AD190" s="212">
        <f t="shared" si="187"/>
        <v>4.4999999999999998E-2</v>
      </c>
      <c r="AE190" s="64"/>
    </row>
    <row r="191" spans="1:31" s="3" customFormat="1" ht="5.0999999999999996" customHeight="1" outlineLevel="1">
      <c r="A191" s="110"/>
      <c r="B191" s="36"/>
      <c r="C191"/>
      <c r="D191" s="148"/>
      <c r="E191"/>
      <c r="F191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98"/>
      <c r="W191" s="98"/>
      <c r="X191" s="98"/>
      <c r="Y191" s="98"/>
      <c r="Z191" s="98"/>
      <c r="AA191" s="98"/>
      <c r="AB191" s="98"/>
      <c r="AC191" s="98"/>
      <c r="AD191" s="98"/>
      <c r="AE191" s="64"/>
    </row>
    <row r="192" spans="1:31" s="3" customFormat="1" ht="15" customHeight="1" outlineLevel="1">
      <c r="A192" s="110"/>
      <c r="B192" s="36"/>
      <c r="C192"/>
      <c r="D192" s="148" t="s">
        <v>236</v>
      </c>
      <c r="E192"/>
      <c r="F192"/>
      <c r="G192" s="74">
        <f>G144</f>
        <v>0</v>
      </c>
      <c r="H192" s="74">
        <f t="shared" ref="H192:AD192" si="188">H144</f>
        <v>0</v>
      </c>
      <c r="I192" s="74">
        <f t="shared" si="188"/>
        <v>21.030999999999999</v>
      </c>
      <c r="J192" s="74">
        <f t="shared" si="188"/>
        <v>14.722</v>
      </c>
      <c r="K192" s="74">
        <f t="shared" si="188"/>
        <v>14.558</v>
      </c>
      <c r="L192" s="74">
        <f t="shared" si="188"/>
        <v>18.271999999999998</v>
      </c>
      <c r="M192" s="74">
        <f t="shared" si="188"/>
        <v>21.215</v>
      </c>
      <c r="N192" s="74">
        <f t="shared" si="188"/>
        <v>28.437999999999999</v>
      </c>
      <c r="O192" s="74">
        <f t="shared" si="188"/>
        <v>34.893999999999998</v>
      </c>
      <c r="P192" s="74">
        <f t="shared" si="188"/>
        <v>44.47</v>
      </c>
      <c r="Q192" s="74">
        <f t="shared" si="188"/>
        <v>67.103999999999999</v>
      </c>
      <c r="R192" s="74">
        <f t="shared" si="188"/>
        <v>64.766999999999996</v>
      </c>
      <c r="S192" s="74">
        <f t="shared" si="188"/>
        <v>118.10300000000001</v>
      </c>
      <c r="T192" s="74">
        <f t="shared" si="188"/>
        <v>124.923</v>
      </c>
      <c r="U192" s="74">
        <f t="shared" si="188"/>
        <v>221.81100000000001</v>
      </c>
      <c r="V192" s="74">
        <f t="shared" si="188"/>
        <v>208.03998133749906</v>
      </c>
      <c r="W192" s="74">
        <f t="shared" si="188"/>
        <v>183.09529881027117</v>
      </c>
      <c r="X192" s="74">
        <f t="shared" si="188"/>
        <v>160.46068708984765</v>
      </c>
      <c r="Y192" s="74">
        <f t="shared" si="188"/>
        <v>144.45545837656556</v>
      </c>
      <c r="Z192" s="74">
        <f t="shared" si="188"/>
        <v>160.08409072040345</v>
      </c>
      <c r="AA192" s="74">
        <f t="shared" si="188"/>
        <v>141.537427746204</v>
      </c>
      <c r="AB192" s="74">
        <f t="shared" si="188"/>
        <v>129.4865149537697</v>
      </c>
      <c r="AC192" s="74">
        <f t="shared" si="188"/>
        <v>116.45796330058418</v>
      </c>
      <c r="AD192" s="74">
        <f t="shared" si="188"/>
        <v>151.19762429697423</v>
      </c>
      <c r="AE192" s="64"/>
    </row>
    <row r="193" spans="1:31" s="3" customFormat="1" outlineLevel="1">
      <c r="A193" s="110"/>
      <c r="B193" s="36"/>
      <c r="C193"/>
      <c r="D193" s="148" t="s">
        <v>157</v>
      </c>
      <c r="E193"/>
      <c r="F193"/>
      <c r="G193" s="7">
        <f t="shared" ref="G193:AD193" si="189">+G187-G144</f>
        <v>0</v>
      </c>
      <c r="H193" s="7">
        <f t="shared" si="189"/>
        <v>0</v>
      </c>
      <c r="I193" s="7">
        <f t="shared" si="189"/>
        <v>39.541000000000004</v>
      </c>
      <c r="J193" s="7">
        <f t="shared" si="189"/>
        <v>73.77</v>
      </c>
      <c r="K193" s="7">
        <f t="shared" si="189"/>
        <v>103.50200000000001</v>
      </c>
      <c r="L193" s="7">
        <f t="shared" si="189"/>
        <v>93.593000000000018</v>
      </c>
      <c r="M193" s="7">
        <f t="shared" si="189"/>
        <v>100.73400000000001</v>
      </c>
      <c r="N193" s="7">
        <f t="shared" si="189"/>
        <v>137.001</v>
      </c>
      <c r="O193" s="7">
        <f t="shared" si="189"/>
        <v>130.81799999999998</v>
      </c>
      <c r="P193" s="7">
        <f t="shared" si="189"/>
        <v>106.76500000000001</v>
      </c>
      <c r="Q193" s="7">
        <f t="shared" si="189"/>
        <v>48.559000000000012</v>
      </c>
      <c r="R193" s="7">
        <f t="shared" si="189"/>
        <v>74.396000000000015</v>
      </c>
      <c r="S193" s="7">
        <f t="shared" si="189"/>
        <v>24.108000000000004</v>
      </c>
      <c r="T193" s="7">
        <f t="shared" si="189"/>
        <v>-73.687000000000012</v>
      </c>
      <c r="U193" s="7">
        <f t="shared" si="189"/>
        <v>-220.38300000000001</v>
      </c>
      <c r="V193" s="7">
        <f t="shared" si="189"/>
        <v>-181.07574789496877</v>
      </c>
      <c r="W193" s="7">
        <f t="shared" si="189"/>
        <v>-144.54013887099921</v>
      </c>
      <c r="X193" s="7">
        <f t="shared" si="189"/>
        <v>-110.53382018514404</v>
      </c>
      <c r="Y193" s="7">
        <f t="shared" si="189"/>
        <v>-79.754384579375909</v>
      </c>
      <c r="Z193" s="7">
        <f t="shared" si="189"/>
        <v>-62.918463084377791</v>
      </c>
      <c r="AA193" s="7">
        <f t="shared" si="189"/>
        <v>-23.412120952682343</v>
      </c>
      <c r="AB193" s="7">
        <f t="shared" si="189"/>
        <v>14.465152977146914</v>
      </c>
      <c r="AC193" s="7">
        <f t="shared" si="189"/>
        <v>53.44730052127322</v>
      </c>
      <c r="AD193" s="7">
        <f t="shared" si="189"/>
        <v>77.922833388214258</v>
      </c>
      <c r="AE193" s="64"/>
    </row>
    <row r="194" spans="1:31" s="3" customFormat="1" outlineLevel="1">
      <c r="A194" s="110"/>
      <c r="B194" s="36"/>
      <c r="C194"/>
      <c r="D194" s="148" t="s">
        <v>103</v>
      </c>
      <c r="E194"/>
      <c r="F194"/>
      <c r="G194" s="90">
        <f t="shared" ref="G194:AD194" si="190">+G85</f>
        <v>5.6069999999999967</v>
      </c>
      <c r="H194" s="90">
        <f t="shared" si="190"/>
        <v>5.3310000000000057</v>
      </c>
      <c r="I194" s="90">
        <f t="shared" si="190"/>
        <v>-0.25199999999998829</v>
      </c>
      <c r="J194" s="90">
        <f t="shared" si="190"/>
        <v>5.7079999999999593</v>
      </c>
      <c r="K194" s="90">
        <f t="shared" si="190"/>
        <v>8.1899999999999924</v>
      </c>
      <c r="L194" s="90">
        <f t="shared" si="190"/>
        <v>5.5520000000000174</v>
      </c>
      <c r="M194" s="90">
        <f t="shared" si="190"/>
        <v>6.0469999999999979</v>
      </c>
      <c r="N194" s="90">
        <f t="shared" si="190"/>
        <v>12.007000000000096</v>
      </c>
      <c r="O194" s="90">
        <f t="shared" si="190"/>
        <v>12.627999999999993</v>
      </c>
      <c r="P194" s="90">
        <f t="shared" si="190"/>
        <v>11.072000000000005</v>
      </c>
      <c r="Q194" s="90">
        <f t="shared" si="190"/>
        <v>14.246000000000016</v>
      </c>
      <c r="R194" s="90">
        <f t="shared" si="190"/>
        <v>21.336999999999946</v>
      </c>
      <c r="S194" s="90">
        <f t="shared" si="190"/>
        <v>17.813000000000013</v>
      </c>
      <c r="T194" s="90">
        <f t="shared" si="190"/>
        <v>19.872999999999937</v>
      </c>
      <c r="U194" s="90">
        <f t="shared" si="190"/>
        <v>25.139000000000053</v>
      </c>
      <c r="V194" s="90">
        <f t="shared" si="190"/>
        <v>26.964233442530286</v>
      </c>
      <c r="W194" s="90">
        <f t="shared" si="190"/>
        <v>29.657815337901511</v>
      </c>
      <c r="X194" s="90">
        <f t="shared" si="190"/>
        <v>31.20429181543976</v>
      </c>
      <c r="Y194" s="90">
        <f t="shared" si="190"/>
        <v>32.350536898594825</v>
      </c>
      <c r="Z194" s="90">
        <f t="shared" si="190"/>
        <v>40.485678181677358</v>
      </c>
      <c r="AA194" s="90">
        <f t="shared" si="190"/>
        <v>42.187609569114883</v>
      </c>
      <c r="AB194" s="90">
        <f t="shared" si="190"/>
        <v>44.984896228411444</v>
      </c>
      <c r="AC194" s="90">
        <f t="shared" si="190"/>
        <v>47.195906617182615</v>
      </c>
      <c r="AD194" s="90">
        <f t="shared" si="190"/>
        <v>57.280114421297128</v>
      </c>
      <c r="AE194" s="64"/>
    </row>
    <row r="195" spans="1:31" s="3" customFormat="1" outlineLevel="1">
      <c r="A195" s="110"/>
      <c r="B195" s="36"/>
      <c r="C195"/>
      <c r="D195" s="148" t="s">
        <v>158</v>
      </c>
      <c r="E195"/>
      <c r="F195"/>
      <c r="G195" s="149">
        <f t="shared" ref="G195:S195" si="191">+G187/(G194*4)</f>
        <v>0</v>
      </c>
      <c r="H195" s="149">
        <f t="shared" si="191"/>
        <v>0</v>
      </c>
      <c r="I195" s="149">
        <f t="shared" si="191"/>
        <v>-60.091269841272634</v>
      </c>
      <c r="J195" s="149">
        <f t="shared" si="191"/>
        <v>3.8757883672039517</v>
      </c>
      <c r="K195" s="149">
        <f t="shared" si="191"/>
        <v>3.6037851037851074</v>
      </c>
      <c r="L195" s="149">
        <f t="shared" si="191"/>
        <v>5.0371487752161226</v>
      </c>
      <c r="M195" s="149">
        <f t="shared" si="191"/>
        <v>5.0417148999503905</v>
      </c>
      <c r="N195" s="149">
        <f t="shared" si="191"/>
        <v>3.4446364620637686</v>
      </c>
      <c r="O195" s="149">
        <f t="shared" si="191"/>
        <v>3.2806461830852092</v>
      </c>
      <c r="P195" s="149">
        <f t="shared" si="191"/>
        <v>3.4148076228323689</v>
      </c>
      <c r="Q195" s="149">
        <f t="shared" si="191"/>
        <v>2.0297451916327369</v>
      </c>
      <c r="R195" s="149">
        <f t="shared" si="191"/>
        <v>1.6305361578478741</v>
      </c>
      <c r="S195" s="149">
        <f t="shared" si="191"/>
        <v>1.9958878347274449</v>
      </c>
      <c r="T195" s="149">
        <f>+T187/(T194*4)</f>
        <v>0.64454284707895337</v>
      </c>
      <c r="U195" s="149">
        <f>+U187/(U194*4)</f>
        <v>1.4201042205338289E-2</v>
      </c>
      <c r="V195" s="259">
        <v>0.25</v>
      </c>
      <c r="W195" s="259">
        <f>V195+0.075</f>
        <v>0.32500000000000001</v>
      </c>
      <c r="X195" s="259">
        <f>W195+0.075</f>
        <v>0.4</v>
      </c>
      <c r="Y195" s="259">
        <f t="shared" ref="Y195:AD195" si="192">X195+0.1</f>
        <v>0.5</v>
      </c>
      <c r="Z195" s="259">
        <f t="shared" si="192"/>
        <v>0.6</v>
      </c>
      <c r="AA195" s="259">
        <f t="shared" si="192"/>
        <v>0.7</v>
      </c>
      <c r="AB195" s="259">
        <f t="shared" si="192"/>
        <v>0.79999999999999993</v>
      </c>
      <c r="AC195" s="259">
        <f t="shared" si="192"/>
        <v>0.89999999999999991</v>
      </c>
      <c r="AD195" s="259">
        <f t="shared" si="192"/>
        <v>0.99999999999999989</v>
      </c>
      <c r="AE195" s="64"/>
    </row>
    <row r="196" spans="1:31" s="3" customFormat="1" outlineLevel="1">
      <c r="A196" s="110"/>
      <c r="B196" s="36"/>
      <c r="C196"/>
      <c r="D196" s="148" t="s">
        <v>84</v>
      </c>
      <c r="E196"/>
      <c r="F196"/>
      <c r="G196" s="149">
        <f t="shared" ref="G196:S196" si="193">+G193/(G194*4)</f>
        <v>0</v>
      </c>
      <c r="H196" s="149">
        <f t="shared" si="193"/>
        <v>0</v>
      </c>
      <c r="I196" s="149">
        <f t="shared" si="193"/>
        <v>-39.227182539684364</v>
      </c>
      <c r="J196" s="149">
        <f t="shared" si="193"/>
        <v>3.2309915907498477</v>
      </c>
      <c r="K196" s="149">
        <f t="shared" si="193"/>
        <v>3.1594017094017128</v>
      </c>
      <c r="L196" s="149">
        <f t="shared" si="193"/>
        <v>4.2143822046109385</v>
      </c>
      <c r="M196" s="149">
        <f t="shared" si="193"/>
        <v>4.1646270878121401</v>
      </c>
      <c r="N196" s="149">
        <f t="shared" si="193"/>
        <v>2.8525235279420111</v>
      </c>
      <c r="O196" s="149">
        <f t="shared" si="193"/>
        <v>2.5898400380107707</v>
      </c>
      <c r="P196" s="149">
        <f t="shared" si="193"/>
        <v>2.4106981575144504</v>
      </c>
      <c r="Q196" s="149">
        <f t="shared" si="193"/>
        <v>0.85215148111750594</v>
      </c>
      <c r="R196" s="149">
        <f t="shared" si="193"/>
        <v>0.87167830529128043</v>
      </c>
      <c r="S196" s="149">
        <f t="shared" si="193"/>
        <v>0.33834839723797205</v>
      </c>
      <c r="T196" s="149">
        <f>+T193/(T194*4)</f>
        <v>-0.92697378352538928</v>
      </c>
      <c r="U196" s="149">
        <f>+U193/(U194*4)</f>
        <v>-2.1916444568200757</v>
      </c>
      <c r="V196" s="149">
        <f t="shared" ref="V196:AD196" si="194">+V193/(V194*4)</f>
        <v>-1.6788512482739513</v>
      </c>
      <c r="W196" s="149">
        <f t="shared" si="194"/>
        <v>-1.2183983987374372</v>
      </c>
      <c r="X196" s="149">
        <f t="shared" si="194"/>
        <v>-0.88556584490768941</v>
      </c>
      <c r="Y196" s="149">
        <f t="shared" si="194"/>
        <v>-0.61632968279144784</v>
      </c>
      <c r="Z196" s="149">
        <f t="shared" si="194"/>
        <v>-0.38852296608466386</v>
      </c>
      <c r="AA196" s="149">
        <f t="shared" si="194"/>
        <v>-0.13873813420458717</v>
      </c>
      <c r="AB196" s="149">
        <f t="shared" si="194"/>
        <v>8.0388942678115208E-2</v>
      </c>
      <c r="AC196" s="149">
        <f t="shared" si="194"/>
        <v>0.28311406831739228</v>
      </c>
      <c r="AD196" s="149">
        <f t="shared" si="194"/>
        <v>0.34009548590933869</v>
      </c>
      <c r="AE196" s="64"/>
    </row>
    <row r="197" spans="1:31" s="3" customFormat="1" outlineLevel="1">
      <c r="A197" s="110"/>
      <c r="B197" s="36"/>
      <c r="C197"/>
      <c r="D197" s="148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 s="7"/>
      <c r="V197" s="7"/>
      <c r="W197" s="7"/>
      <c r="X197"/>
      <c r="Y197"/>
      <c r="Z197"/>
      <c r="AA197"/>
      <c r="AB197"/>
      <c r="AC197"/>
      <c r="AD197"/>
      <c r="AE197" s="64"/>
    </row>
    <row r="198" spans="1:31" s="3" customFormat="1" outlineLevel="1">
      <c r="A198" s="110" t="s">
        <v>267</v>
      </c>
      <c r="B198" s="36"/>
      <c r="C198"/>
      <c r="D198" s="148" t="s">
        <v>267</v>
      </c>
      <c r="E198"/>
      <c r="F198"/>
      <c r="G198" s="225"/>
      <c r="H198" s="225"/>
      <c r="I198" s="225">
        <f>4.931+14.462</f>
        <v>19.393000000000001</v>
      </c>
      <c r="J198" s="225">
        <v>19.286000000000001</v>
      </c>
      <c r="K198" s="225">
        <f>0.609+14.577</f>
        <v>15.186</v>
      </c>
      <c r="L198" s="225">
        <f>0.597+14.057</f>
        <v>14.654</v>
      </c>
      <c r="M198" s="225">
        <f>6.1+15.202</f>
        <v>21.302</v>
      </c>
      <c r="N198" s="225">
        <f>21.189+13.826</f>
        <v>35.015000000000001</v>
      </c>
      <c r="O198" s="225">
        <f>23.036+17.58</f>
        <v>40.616</v>
      </c>
      <c r="P198" s="225">
        <f>21.527+12.707</f>
        <v>34.234000000000002</v>
      </c>
      <c r="Q198" s="225">
        <f>17.635+12.486</f>
        <v>30.121000000000002</v>
      </c>
      <c r="R198" s="225">
        <f>15.206+15.71</f>
        <v>30.916</v>
      </c>
      <c r="S198" s="225">
        <f>11.741+20.971</f>
        <v>32.712000000000003</v>
      </c>
      <c r="T198" s="225">
        <f>23.751+26.598</f>
        <v>50.349000000000004</v>
      </c>
      <c r="U198" s="225">
        <f>46.786+31.393+27.974</f>
        <v>106.15300000000001</v>
      </c>
      <c r="V198" s="7">
        <f>V258</f>
        <v>102.53577582868317</v>
      </c>
      <c r="W198" s="7">
        <f t="shared" ref="W198:AD198" si="195">W258</f>
        <v>102.84286590082826</v>
      </c>
      <c r="X198" s="7">
        <f t="shared" si="195"/>
        <v>101.17545261519143</v>
      </c>
      <c r="Y198" s="7">
        <f t="shared" si="195"/>
        <v>98.112668370341808</v>
      </c>
      <c r="Z198" s="7">
        <f t="shared" si="195"/>
        <v>95.420516693624862</v>
      </c>
      <c r="AA198" s="7">
        <f t="shared" si="195"/>
        <v>96.386455580040902</v>
      </c>
      <c r="AB198" s="7">
        <f t="shared" si="195"/>
        <v>97.720309532753745</v>
      </c>
      <c r="AC198" s="7">
        <f t="shared" si="195"/>
        <v>99.332040534612915</v>
      </c>
      <c r="AD198" s="7">
        <f t="shared" si="195"/>
        <v>101.08141312821712</v>
      </c>
      <c r="AE198" s="64"/>
    </row>
    <row r="199" spans="1:31" s="3" customFormat="1" outlineLevel="1">
      <c r="A199" s="110" t="s">
        <v>270</v>
      </c>
      <c r="B199" s="36"/>
      <c r="C199"/>
      <c r="D199" s="148" t="s">
        <v>270</v>
      </c>
      <c r="E199"/>
      <c r="F199"/>
      <c r="G199" s="225"/>
      <c r="H199" s="225"/>
      <c r="I199" s="225">
        <v>0.76300000000000001</v>
      </c>
      <c r="J199" s="225">
        <v>1.389</v>
      </c>
      <c r="K199" s="225">
        <v>14.705</v>
      </c>
      <c r="L199" s="225">
        <v>14.653</v>
      </c>
      <c r="M199" s="225">
        <v>17.093</v>
      </c>
      <c r="N199" s="225">
        <v>19.600000000000001</v>
      </c>
      <c r="O199" s="225">
        <v>19.760999999999999</v>
      </c>
      <c r="P199" s="225">
        <v>18.353999999999999</v>
      </c>
      <c r="Q199" s="225">
        <v>15.978999999999999</v>
      </c>
      <c r="R199" s="225">
        <v>15.61</v>
      </c>
      <c r="S199" s="225">
        <v>16.056000000000001</v>
      </c>
      <c r="T199" s="225">
        <v>16.637</v>
      </c>
      <c r="U199" s="225">
        <v>17.373000000000001</v>
      </c>
      <c r="V199" s="7">
        <f t="shared" ref="V199:AD199" si="196">V229-U229+U199</f>
        <v>23.155076756525418</v>
      </c>
      <c r="W199" s="7">
        <f t="shared" si="196"/>
        <v>22.009253270634463</v>
      </c>
      <c r="X199" s="7">
        <f t="shared" si="196"/>
        <v>21.659811007023372</v>
      </c>
      <c r="Y199" s="7">
        <f t="shared" si="196"/>
        <v>20.970219779938553</v>
      </c>
      <c r="Z199" s="7">
        <f t="shared" si="196"/>
        <v>25.65638806088641</v>
      </c>
      <c r="AA199" s="7">
        <f t="shared" si="196"/>
        <v>26.215040975329199</v>
      </c>
      <c r="AB199" s="7">
        <f t="shared" si="196"/>
        <v>27.412195557797023</v>
      </c>
      <c r="AC199" s="7">
        <f t="shared" si="196"/>
        <v>28.218647320593675</v>
      </c>
      <c r="AD199" s="7">
        <f t="shared" si="196"/>
        <v>33.564460297471854</v>
      </c>
      <c r="AE199" s="64"/>
    </row>
    <row r="200" spans="1:31" s="3" customFormat="1" outlineLevel="1">
      <c r="A200" s="110"/>
      <c r="B200" s="36"/>
      <c r="C200"/>
      <c r="D200" s="148" t="s">
        <v>127</v>
      </c>
      <c r="E200"/>
      <c r="F200"/>
      <c r="G200" s="7">
        <f t="shared" ref="G200:U200" si="197">G157+G161-SUM(G198:G199)</f>
        <v>0</v>
      </c>
      <c r="H200" s="7">
        <f t="shared" si="197"/>
        <v>0</v>
      </c>
      <c r="I200" s="7">
        <f t="shared" si="197"/>
        <v>10.972999999999995</v>
      </c>
      <c r="J200" s="7">
        <f t="shared" si="197"/>
        <v>6.6759999999999984</v>
      </c>
      <c r="K200" s="7">
        <f t="shared" si="197"/>
        <v>6.1409999999999982</v>
      </c>
      <c r="L200" s="7">
        <f t="shared" si="197"/>
        <v>4.4789999999999992</v>
      </c>
      <c r="M200" s="7">
        <f t="shared" si="197"/>
        <v>4.2830000000000013</v>
      </c>
      <c r="N200" s="7">
        <f t="shared" si="197"/>
        <v>14.229999999999997</v>
      </c>
      <c r="O200" s="7">
        <f t="shared" si="197"/>
        <v>13.557000000000002</v>
      </c>
      <c r="P200" s="7">
        <f t="shared" si="197"/>
        <v>8.7109999999999985</v>
      </c>
      <c r="Q200" s="7">
        <f t="shared" si="197"/>
        <v>8.2199999999999989</v>
      </c>
      <c r="R200" s="7">
        <f t="shared" si="197"/>
        <v>4.4570000000000078</v>
      </c>
      <c r="S200" s="7">
        <f t="shared" si="197"/>
        <v>1.5870000000000033</v>
      </c>
      <c r="T200" s="7">
        <f t="shared" si="197"/>
        <v>0.98599999999999</v>
      </c>
      <c r="U200" s="7">
        <f t="shared" si="197"/>
        <v>0.58499999999997954</v>
      </c>
      <c r="V200" s="165">
        <f t="shared" ref="V200:AD200" si="198">U200</f>
        <v>0.58499999999997954</v>
      </c>
      <c r="W200" s="165">
        <f t="shared" si="198"/>
        <v>0.58499999999997954</v>
      </c>
      <c r="X200" s="165">
        <f t="shared" si="198"/>
        <v>0.58499999999997954</v>
      </c>
      <c r="Y200" s="165">
        <f t="shared" si="198"/>
        <v>0.58499999999997954</v>
      </c>
      <c r="Z200" s="165">
        <f t="shared" si="198"/>
        <v>0.58499999999997954</v>
      </c>
      <c r="AA200" s="165">
        <f t="shared" si="198"/>
        <v>0.58499999999997954</v>
      </c>
      <c r="AB200" s="165">
        <f t="shared" si="198"/>
        <v>0.58499999999997954</v>
      </c>
      <c r="AC200" s="165">
        <f t="shared" si="198"/>
        <v>0.58499999999997954</v>
      </c>
      <c r="AD200" s="165">
        <f t="shared" si="198"/>
        <v>0.58499999999997954</v>
      </c>
      <c r="AE200" s="64"/>
    </row>
    <row r="201" spans="1:31" s="3" customFormat="1" outlineLevel="1">
      <c r="A201" s="110"/>
      <c r="B201" s="36"/>
      <c r="C201"/>
      <c r="D201" s="150" t="s">
        <v>269</v>
      </c>
      <c r="E201" s="2"/>
      <c r="F201" s="2"/>
      <c r="G201" s="163">
        <f t="shared" ref="G201:S201" si="199">SUM(G198:G200)</f>
        <v>0</v>
      </c>
      <c r="H201" s="163">
        <f t="shared" si="199"/>
        <v>0</v>
      </c>
      <c r="I201" s="163">
        <f t="shared" si="199"/>
        <v>31.128999999999998</v>
      </c>
      <c r="J201" s="163">
        <f t="shared" si="199"/>
        <v>27.350999999999999</v>
      </c>
      <c r="K201" s="163">
        <f t="shared" si="199"/>
        <v>36.031999999999996</v>
      </c>
      <c r="L201" s="163">
        <f t="shared" si="199"/>
        <v>33.786000000000001</v>
      </c>
      <c r="M201" s="163">
        <f t="shared" si="199"/>
        <v>42.677999999999997</v>
      </c>
      <c r="N201" s="163">
        <f t="shared" si="199"/>
        <v>68.844999999999999</v>
      </c>
      <c r="O201" s="163">
        <f t="shared" si="199"/>
        <v>73.933999999999997</v>
      </c>
      <c r="P201" s="163">
        <f t="shared" si="199"/>
        <v>61.298999999999999</v>
      </c>
      <c r="Q201" s="163">
        <f t="shared" si="199"/>
        <v>54.32</v>
      </c>
      <c r="R201" s="163">
        <f t="shared" si="199"/>
        <v>50.983000000000004</v>
      </c>
      <c r="S201" s="163">
        <f t="shared" si="199"/>
        <v>50.355000000000004</v>
      </c>
      <c r="T201" s="163">
        <f>SUM(T198:T200)</f>
        <v>67.971999999999994</v>
      </c>
      <c r="U201" s="163">
        <f t="shared" ref="U201:AD201" si="200">SUM(U198:U200)</f>
        <v>124.11099999999999</v>
      </c>
      <c r="V201" s="163">
        <f t="shared" si="200"/>
        <v>126.27585258520857</v>
      </c>
      <c r="W201" s="163">
        <f t="shared" si="200"/>
        <v>125.4371191714627</v>
      </c>
      <c r="X201" s="163">
        <f t="shared" si="200"/>
        <v>123.42026362221478</v>
      </c>
      <c r="Y201" s="163">
        <f t="shared" si="200"/>
        <v>119.66788815028033</v>
      </c>
      <c r="Z201" s="163">
        <f t="shared" si="200"/>
        <v>121.66190475451126</v>
      </c>
      <c r="AA201" s="163">
        <f t="shared" si="200"/>
        <v>123.18649655537008</v>
      </c>
      <c r="AB201" s="163">
        <f t="shared" si="200"/>
        <v>125.71750509055074</v>
      </c>
      <c r="AC201" s="163">
        <f t="shared" si="200"/>
        <v>128.13568785520658</v>
      </c>
      <c r="AD201" s="163">
        <f t="shared" si="200"/>
        <v>135.23087342568897</v>
      </c>
      <c r="AE201" s="64"/>
    </row>
    <row r="202" spans="1:31" s="3" customFormat="1" outlineLevel="1">
      <c r="A202" s="110"/>
      <c r="B202" s="36"/>
      <c r="C202"/>
      <c r="D202" s="148" t="s">
        <v>271</v>
      </c>
      <c r="E202"/>
      <c r="F202"/>
      <c r="G202" s="73">
        <f t="shared" ref="G202:AD202" si="201">IFERROR(G199/G79,"na")</f>
        <v>0</v>
      </c>
      <c r="H202" s="73">
        <f t="shared" si="201"/>
        <v>0</v>
      </c>
      <c r="I202" s="73">
        <f t="shared" si="201"/>
        <v>7.6266442765183309E-3</v>
      </c>
      <c r="J202" s="73">
        <f t="shared" si="201"/>
        <v>1.0206706004247284E-2</v>
      </c>
      <c r="K202" s="73">
        <f t="shared" si="201"/>
        <v>8.6195274353608714E-2</v>
      </c>
      <c r="L202" s="73">
        <f t="shared" si="201"/>
        <v>9.2749311643510454E-2</v>
      </c>
      <c r="M202" s="73">
        <f t="shared" si="201"/>
        <v>0.11828738304822013</v>
      </c>
      <c r="N202" s="73">
        <f t="shared" si="201"/>
        <v>9.12880463892317E-2</v>
      </c>
      <c r="O202" s="73">
        <f t="shared" si="201"/>
        <v>8.181761722388986E-2</v>
      </c>
      <c r="P202" s="73">
        <f t="shared" si="201"/>
        <v>8.055582377261436E-2</v>
      </c>
      <c r="Q202" s="73">
        <f t="shared" si="201"/>
        <v>8.4155365371955226E-2</v>
      </c>
      <c r="R202" s="73">
        <f t="shared" si="201"/>
        <v>5.3909938285035409E-2</v>
      </c>
      <c r="S202" s="73">
        <f t="shared" si="201"/>
        <v>5.1759821019851583E-2</v>
      </c>
      <c r="T202" s="73">
        <f t="shared" si="201"/>
        <v>4.8180314908183162E-2</v>
      </c>
      <c r="U202" s="73">
        <f t="shared" si="201"/>
        <v>4.7292901300942707E-2</v>
      </c>
      <c r="V202" s="73">
        <f t="shared" si="201"/>
        <v>4.6657535780541388E-2</v>
      </c>
      <c r="W202" s="73">
        <f t="shared" si="201"/>
        <v>4.4662183664249858E-2</v>
      </c>
      <c r="X202" s="73">
        <f t="shared" si="201"/>
        <v>4.2642437939958713E-2</v>
      </c>
      <c r="Y202" s="73">
        <f t="shared" si="201"/>
        <v>4.0632283820623533E-2</v>
      </c>
      <c r="Z202" s="73">
        <f t="shared" si="201"/>
        <v>4.0515308675169788E-2</v>
      </c>
      <c r="AA202" s="73">
        <f t="shared" si="201"/>
        <v>4.0504188825157016E-2</v>
      </c>
      <c r="AB202" s="73">
        <f t="shared" si="201"/>
        <v>4.0481904444381663E-2</v>
      </c>
      <c r="AC202" s="73">
        <f t="shared" si="201"/>
        <v>4.0467971125533221E-2</v>
      </c>
      <c r="AD202" s="73">
        <f t="shared" si="201"/>
        <v>4.0392705599231922E-2</v>
      </c>
      <c r="AE202" s="64"/>
    </row>
    <row r="203" spans="1:31" s="3" customFormat="1" outlineLevel="1">
      <c r="A203" s="110"/>
      <c r="B203" s="36"/>
      <c r="C203"/>
      <c r="D203" s="148" t="s">
        <v>272</v>
      </c>
      <c r="E203"/>
      <c r="F203"/>
      <c r="G203" s="73" t="str">
        <f t="shared" ref="G203:AD203" si="202">IFERROR(G199/G149,"na")</f>
        <v>na</v>
      </c>
      <c r="H203" s="73" t="str">
        <f t="shared" si="202"/>
        <v>na</v>
      </c>
      <c r="I203" s="73">
        <f t="shared" si="202"/>
        <v>0.12280701754385966</v>
      </c>
      <c r="J203" s="73">
        <f t="shared" si="202"/>
        <v>0.18879978252004892</v>
      </c>
      <c r="K203" s="73">
        <f t="shared" si="202"/>
        <v>0.72520589830842819</v>
      </c>
      <c r="L203" s="73">
        <f t="shared" si="202"/>
        <v>0.71207114394013027</v>
      </c>
      <c r="M203" s="73">
        <f t="shared" si="202"/>
        <v>0.75999288604330617</v>
      </c>
      <c r="N203" s="73">
        <f t="shared" si="202"/>
        <v>0.71459822079626667</v>
      </c>
      <c r="O203" s="73">
        <f t="shared" si="202"/>
        <v>0.71873863388375647</v>
      </c>
      <c r="P203" s="73">
        <f t="shared" si="202"/>
        <v>0.72868032396379223</v>
      </c>
      <c r="Q203" s="73">
        <f t="shared" si="202"/>
        <v>0.72592222424132291</v>
      </c>
      <c r="R203" s="73">
        <f t="shared" si="202"/>
        <v>0.66261991680108667</v>
      </c>
      <c r="S203" s="73">
        <f t="shared" si="202"/>
        <v>0.62942490885569802</v>
      </c>
      <c r="T203" s="73">
        <f t="shared" si="202"/>
        <v>0.61373026412867049</v>
      </c>
      <c r="U203" s="73">
        <f t="shared" si="202"/>
        <v>0.60312445755945154</v>
      </c>
      <c r="V203" s="73">
        <f t="shared" si="202"/>
        <v>0.66292696889765768</v>
      </c>
      <c r="W203" s="73">
        <f t="shared" si="202"/>
        <v>0.63058623351790055</v>
      </c>
      <c r="X203" s="73">
        <f t="shared" si="202"/>
        <v>0.60678325891515161</v>
      </c>
      <c r="Y203" s="73">
        <f t="shared" si="202"/>
        <v>0.57973598235188872</v>
      </c>
      <c r="Z203" s="73">
        <f t="shared" si="202"/>
        <v>0.61018954101108525</v>
      </c>
      <c r="AA203" s="73">
        <f t="shared" si="202"/>
        <v>0.59159804075743727</v>
      </c>
      <c r="AB203" s="73">
        <f t="shared" si="202"/>
        <v>0.580027965760748</v>
      </c>
      <c r="AC203" s="73">
        <f t="shared" si="202"/>
        <v>0.56593922680170661</v>
      </c>
      <c r="AD203" s="73">
        <f t="shared" si="202"/>
        <v>0.5883607658565887</v>
      </c>
      <c r="AE203" s="64"/>
    </row>
    <row r="204" spans="1:31" s="3" customFormat="1" outlineLevel="1">
      <c r="A204" s="110"/>
      <c r="B204" s="36"/>
      <c r="C204"/>
      <c r="D204" s="148" t="s">
        <v>273</v>
      </c>
      <c r="E204"/>
      <c r="F204"/>
      <c r="G204" s="240">
        <f t="shared" ref="G204:U204" si="203">-G199/(G133*4)</f>
        <v>0</v>
      </c>
      <c r="H204" s="240">
        <f t="shared" si="203"/>
        <v>0</v>
      </c>
      <c r="I204" s="240">
        <f t="shared" si="203"/>
        <v>-1.0538674033149171</v>
      </c>
      <c r="J204" s="240">
        <f t="shared" si="203"/>
        <v>0.66650671785028792</v>
      </c>
      <c r="K204" s="240">
        <f t="shared" si="203"/>
        <v>2.8213737528779741</v>
      </c>
      <c r="L204" s="240">
        <f t="shared" si="203"/>
        <v>3.0175041186161451</v>
      </c>
      <c r="M204" s="240">
        <f t="shared" si="203"/>
        <v>1.955720823798627</v>
      </c>
      <c r="N204" s="240">
        <f t="shared" si="203"/>
        <v>2.1923937360178969</v>
      </c>
      <c r="O204" s="240">
        <f t="shared" si="203"/>
        <v>1.9549861495844874</v>
      </c>
      <c r="P204" s="240">
        <f t="shared" si="203"/>
        <v>1.6820014662756597</v>
      </c>
      <c r="Q204" s="240">
        <f t="shared" si="203"/>
        <v>1.7786064113980409</v>
      </c>
      <c r="R204" s="240">
        <f t="shared" si="203"/>
        <v>1.7698412698412711</v>
      </c>
      <c r="S204" s="240">
        <f t="shared" si="203"/>
        <v>1.7566739606126915</v>
      </c>
      <c r="T204" s="240">
        <f t="shared" si="203"/>
        <v>1.9499531176746367</v>
      </c>
      <c r="U204" s="240">
        <f t="shared" si="203"/>
        <v>1.6808243034055728</v>
      </c>
      <c r="V204" s="100">
        <v>1.8</v>
      </c>
      <c r="W204" s="100">
        <v>1.8</v>
      </c>
      <c r="X204" s="100">
        <v>1.8</v>
      </c>
      <c r="Y204" s="100">
        <v>1.8</v>
      </c>
      <c r="Z204" s="100">
        <v>1.8</v>
      </c>
      <c r="AA204" s="100">
        <v>1.8</v>
      </c>
      <c r="AB204" s="100">
        <v>1.8</v>
      </c>
      <c r="AC204" s="100">
        <v>1.8</v>
      </c>
      <c r="AD204" s="100">
        <v>1.8</v>
      </c>
      <c r="AE204" s="64"/>
    </row>
    <row r="205" spans="1:31" s="3" customFormat="1" outlineLevel="1">
      <c r="A205" s="110"/>
      <c r="B205" s="36"/>
      <c r="C205"/>
      <c r="D205" s="148" t="s">
        <v>160</v>
      </c>
      <c r="E205"/>
      <c r="F205"/>
      <c r="G205" s="73" t="str">
        <f t="shared" ref="G205:S205" si="204">IFERROR(G209*4/SUM(G198:G199),"na")</f>
        <v>na</v>
      </c>
      <c r="H205" s="73" t="str">
        <f t="shared" si="204"/>
        <v>na</v>
      </c>
      <c r="I205" s="73">
        <f t="shared" si="204"/>
        <v>-7.6007144274657656E-2</v>
      </c>
      <c r="J205" s="73">
        <f t="shared" si="204"/>
        <v>0.44053204353083436</v>
      </c>
      <c r="K205" s="73">
        <f t="shared" si="204"/>
        <v>-9.9561740992271955E-2</v>
      </c>
      <c r="L205" s="73">
        <f t="shared" si="204"/>
        <v>0.17811444364827517</v>
      </c>
      <c r="M205" s="73">
        <f t="shared" si="204"/>
        <v>0.25274124234926426</v>
      </c>
      <c r="N205" s="73">
        <f t="shared" si="204"/>
        <v>-0.28182733681223099</v>
      </c>
      <c r="O205" s="73">
        <f t="shared" si="204"/>
        <v>1.4045083392682628E-2</v>
      </c>
      <c r="P205" s="73">
        <f t="shared" si="204"/>
        <v>8.3669278162319314E-4</v>
      </c>
      <c r="Q205" s="73">
        <f t="shared" si="204"/>
        <v>-7.8698481561822131E-2</v>
      </c>
      <c r="R205" s="73">
        <f t="shared" si="204"/>
        <v>5.3217555775265123E-2</v>
      </c>
      <c r="S205" s="73">
        <f t="shared" si="204"/>
        <v>4.8228346456692904E-2</v>
      </c>
      <c r="T205" s="73">
        <f>IFERROR(T209*4/SUM(T198:T199),"na")</f>
        <v>9.201922789836682E-2</v>
      </c>
      <c r="U205" s="73">
        <f>IFERROR(U209*4/SUM(U198:U199),"na")</f>
        <v>-2.4869258293800489E-2</v>
      </c>
      <c r="V205" s="212">
        <f t="shared" ref="V205:AD205" si="205">V190+0.005</f>
        <v>4.9999999999999996E-2</v>
      </c>
      <c r="W205" s="212">
        <f t="shared" si="205"/>
        <v>4.9999999999999996E-2</v>
      </c>
      <c r="X205" s="212">
        <f t="shared" si="205"/>
        <v>4.9999999999999996E-2</v>
      </c>
      <c r="Y205" s="212">
        <f t="shared" si="205"/>
        <v>4.9999999999999996E-2</v>
      </c>
      <c r="Z205" s="212">
        <f t="shared" si="205"/>
        <v>4.9999999999999996E-2</v>
      </c>
      <c r="AA205" s="212">
        <f t="shared" si="205"/>
        <v>4.9999999999999996E-2</v>
      </c>
      <c r="AB205" s="212">
        <f t="shared" si="205"/>
        <v>4.9999999999999996E-2</v>
      </c>
      <c r="AC205" s="212">
        <f t="shared" si="205"/>
        <v>4.9999999999999996E-2</v>
      </c>
      <c r="AD205" s="212">
        <f t="shared" si="205"/>
        <v>4.9999999999999996E-2</v>
      </c>
      <c r="AE205" s="64"/>
    </row>
    <row r="206" spans="1:31" s="3" customFormat="1" outlineLevel="1">
      <c r="A206" s="110"/>
      <c r="B206" s="36"/>
      <c r="C206"/>
      <c r="D206" s="148" t="s">
        <v>362</v>
      </c>
      <c r="E206"/>
      <c r="F206"/>
      <c r="G206" s="73"/>
      <c r="H206" s="73"/>
      <c r="I206" s="73">
        <f t="shared" ref="I206:U206" si="206">I157/SUM(I157,I161)</f>
        <v>0.69504320729866043</v>
      </c>
      <c r="J206" s="73">
        <f t="shared" si="206"/>
        <v>0.71247851998098788</v>
      </c>
      <c r="K206" s="73">
        <f t="shared" si="206"/>
        <v>0.39162411190053292</v>
      </c>
      <c r="L206" s="73">
        <f t="shared" si="206"/>
        <v>0.39072396850766589</v>
      </c>
      <c r="M206" s="73">
        <f t="shared" si="206"/>
        <v>0.40465813768217818</v>
      </c>
      <c r="N206" s="73">
        <f t="shared" si="206"/>
        <v>0.51905003994480359</v>
      </c>
      <c r="O206" s="73">
        <f t="shared" si="206"/>
        <v>0.54301133443341354</v>
      </c>
      <c r="P206" s="73">
        <f t="shared" si="206"/>
        <v>0.51103606910390054</v>
      </c>
      <c r="Q206" s="73">
        <f t="shared" si="206"/>
        <v>0.49164212076583208</v>
      </c>
      <c r="R206" s="73">
        <f t="shared" si="206"/>
        <v>0.43396818547358917</v>
      </c>
      <c r="S206" s="73">
        <f t="shared" si="206"/>
        <v>0.39622678979247344</v>
      </c>
      <c r="T206" s="73">
        <f t="shared" si="206"/>
        <v>0.3889395633496146</v>
      </c>
      <c r="U206" s="73">
        <f t="shared" si="206"/>
        <v>0.28851592526045233</v>
      </c>
      <c r="V206" s="248">
        <f>U206</f>
        <v>0.28851592526045233</v>
      </c>
      <c r="W206" s="248">
        <f t="shared" ref="W206:AD206" si="207">V206</f>
        <v>0.28851592526045233</v>
      </c>
      <c r="X206" s="248">
        <f t="shared" si="207"/>
        <v>0.28851592526045233</v>
      </c>
      <c r="Y206" s="248">
        <f t="shared" si="207"/>
        <v>0.28851592526045233</v>
      </c>
      <c r="Z206" s="248">
        <f t="shared" si="207"/>
        <v>0.28851592526045233</v>
      </c>
      <c r="AA206" s="248">
        <f t="shared" si="207"/>
        <v>0.28851592526045233</v>
      </c>
      <c r="AB206" s="248">
        <f t="shared" si="207"/>
        <v>0.28851592526045233</v>
      </c>
      <c r="AC206" s="248">
        <f t="shared" si="207"/>
        <v>0.28851592526045233</v>
      </c>
      <c r="AD206" s="248">
        <f t="shared" si="207"/>
        <v>0.28851592526045233</v>
      </c>
      <c r="AE206" s="64"/>
    </row>
    <row r="207" spans="1:31" s="3" customFormat="1" outlineLevel="1">
      <c r="A207" s="110"/>
      <c r="B207" s="36"/>
      <c r="C207"/>
      <c r="D207" s="148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64"/>
    </row>
    <row r="208" spans="1:31" s="3" customFormat="1" outlineLevel="1">
      <c r="A208" s="110" t="s">
        <v>263</v>
      </c>
      <c r="B208" s="36"/>
      <c r="C208"/>
      <c r="D208" s="148" t="s">
        <v>263</v>
      </c>
      <c r="E208"/>
      <c r="F208"/>
      <c r="G208" s="233">
        <v>1.2480000000000002</v>
      </c>
      <c r="H208" s="233">
        <v>2.1419999999999999</v>
      </c>
      <c r="I208" s="233">
        <v>1.6080000000000001</v>
      </c>
      <c r="J208" s="233">
        <f>5.804-SUM(G208:I208)</f>
        <v>0.80600000000000005</v>
      </c>
      <c r="K208" s="233">
        <v>2.9910000000000001</v>
      </c>
      <c r="L208" s="233">
        <v>2.3809999999999998</v>
      </c>
      <c r="M208" s="233">
        <f>2.873</f>
        <v>2.8730000000000002</v>
      </c>
      <c r="N208" s="233">
        <f>12.97-SUM(K208:M208)</f>
        <v>4.7249999999999996</v>
      </c>
      <c r="O208" s="233">
        <v>4.22</v>
      </c>
      <c r="P208" s="233">
        <v>4.1859999999999999</v>
      </c>
      <c r="Q208" s="233">
        <v>4.6970000000000001</v>
      </c>
      <c r="R208" s="233">
        <f>14.925-SUM(O208:Q208)</f>
        <v>1.8220000000000027</v>
      </c>
      <c r="S208" s="233">
        <v>1.8720000000000001</v>
      </c>
      <c r="T208" s="233">
        <v>1.0780000000000001</v>
      </c>
      <c r="U208" s="233">
        <v>1.329</v>
      </c>
      <c r="V208" s="7">
        <f t="shared" ref="V208:AD208" si="208">V189</f>
        <v>0.15970631311423286</v>
      </c>
      <c r="W208" s="7">
        <f t="shared" si="208"/>
        <v>0.3685465877726376</v>
      </c>
      <c r="X208" s="7">
        <f t="shared" si="208"/>
        <v>0.49771140099736261</v>
      </c>
      <c r="Y208" s="7">
        <f t="shared" si="208"/>
        <v>0.64478216644814956</v>
      </c>
      <c r="Z208" s="7">
        <f t="shared" si="208"/>
        <v>0.91050019556183615</v>
      </c>
      <c r="AA208" s="7">
        <f t="shared" si="208"/>
        <v>1.2110115061662037</v>
      </c>
      <c r="AB208" s="7">
        <f t="shared" si="208"/>
        <v>1.4741829828249653</v>
      </c>
      <c r="AC208" s="7">
        <f t="shared" si="208"/>
        <v>1.7654452411093537</v>
      </c>
      <c r="AD208" s="7">
        <f t="shared" si="208"/>
        <v>2.244519683477133</v>
      </c>
      <c r="AE208" s="64"/>
    </row>
    <row r="209" spans="1:31" s="3" customFormat="1" outlineLevel="1">
      <c r="A209" s="110" t="s">
        <v>264</v>
      </c>
      <c r="B209" s="36"/>
      <c r="C209"/>
      <c r="D209" s="148" t="s">
        <v>264</v>
      </c>
      <c r="E209"/>
      <c r="F209"/>
      <c r="G209" s="7">
        <f t="shared" ref="G209:U209" si="209">G24-G208</f>
        <v>-0.30500000000000027</v>
      </c>
      <c r="H209" s="7">
        <f t="shared" si="209"/>
        <v>-1.2599999999999998</v>
      </c>
      <c r="I209" s="7">
        <f t="shared" si="209"/>
        <v>-0.38300000000000001</v>
      </c>
      <c r="J209" s="7">
        <f t="shared" si="209"/>
        <v>2.2770000000000001</v>
      </c>
      <c r="K209" s="7">
        <f t="shared" si="209"/>
        <v>-0.74400000000000022</v>
      </c>
      <c r="L209" s="7">
        <f t="shared" si="209"/>
        <v>1.3050000000000002</v>
      </c>
      <c r="M209" s="7">
        <f t="shared" si="209"/>
        <v>2.4260000000000002</v>
      </c>
      <c r="N209" s="7">
        <f t="shared" si="209"/>
        <v>-3.847999999999999</v>
      </c>
      <c r="O209" s="7">
        <f t="shared" si="209"/>
        <v>0.21199999999999974</v>
      </c>
      <c r="P209" s="7">
        <f t="shared" si="209"/>
        <v>1.1000000000000121E-2</v>
      </c>
      <c r="Q209" s="7">
        <f t="shared" si="209"/>
        <v>-0.90700000000000003</v>
      </c>
      <c r="R209" s="7">
        <f t="shared" si="209"/>
        <v>0.61899999999999622</v>
      </c>
      <c r="S209" s="7">
        <f t="shared" si="209"/>
        <v>0.58799999999999986</v>
      </c>
      <c r="T209" s="7">
        <f t="shared" si="209"/>
        <v>1.5410000000000001</v>
      </c>
      <c r="U209" s="7">
        <f t="shared" si="209"/>
        <v>-0.7679999999999999</v>
      </c>
      <c r="V209" s="239">
        <f t="shared" ref="V209:AD209" si="210">SUM(V198:V199)*V205/4</f>
        <v>1.5711356573151072</v>
      </c>
      <c r="W209" s="239">
        <f t="shared" si="210"/>
        <v>1.5606514896432839</v>
      </c>
      <c r="X209" s="239">
        <f t="shared" si="210"/>
        <v>1.5354407952776847</v>
      </c>
      <c r="Y209" s="239">
        <f t="shared" si="210"/>
        <v>1.4885361018785044</v>
      </c>
      <c r="Z209" s="239">
        <f t="shared" si="210"/>
        <v>1.5134613094313909</v>
      </c>
      <c r="AA209" s="239">
        <f t="shared" si="210"/>
        <v>1.5325187069421262</v>
      </c>
      <c r="AB209" s="239">
        <f t="shared" si="210"/>
        <v>1.5641563136318843</v>
      </c>
      <c r="AC209" s="239">
        <f t="shared" si="210"/>
        <v>1.5943835981900822</v>
      </c>
      <c r="AD209" s="239">
        <f t="shared" si="210"/>
        <v>1.6830734178211122</v>
      </c>
      <c r="AE209" s="64"/>
    </row>
    <row r="210" spans="1:31" s="3" customFormat="1" outlineLevel="1">
      <c r="A210" s="110"/>
      <c r="B210" s="36"/>
      <c r="C210"/>
      <c r="D210" s="148" t="s">
        <v>265</v>
      </c>
      <c r="E210"/>
      <c r="F210"/>
      <c r="G210" s="7">
        <f t="shared" ref="G210:U210" si="211">G25+G24-SUM(G208:G209)</f>
        <v>0.30500000000000005</v>
      </c>
      <c r="H210" s="7">
        <f t="shared" si="211"/>
        <v>1.2599999999999998</v>
      </c>
      <c r="I210" s="7">
        <f t="shared" si="211"/>
        <v>0.38300000000000001</v>
      </c>
      <c r="J210" s="7">
        <f t="shared" si="211"/>
        <v>-0.53199999999999914</v>
      </c>
      <c r="K210" s="7">
        <f t="shared" si="211"/>
        <v>1.1339999999999999</v>
      </c>
      <c r="L210" s="7">
        <f t="shared" si="211"/>
        <v>-0.46499999999999986</v>
      </c>
      <c r="M210" s="7">
        <f t="shared" si="211"/>
        <v>-1.4190000000000005</v>
      </c>
      <c r="N210" s="7">
        <f t="shared" si="211"/>
        <v>4.6669999999999998</v>
      </c>
      <c r="O210" s="7">
        <f t="shared" si="211"/>
        <v>1.0670000000000002</v>
      </c>
      <c r="P210" s="7">
        <f t="shared" si="211"/>
        <v>1.1189999999999998</v>
      </c>
      <c r="Q210" s="7">
        <f t="shared" si="211"/>
        <v>1.3479999999999999</v>
      </c>
      <c r="R210" s="7">
        <f t="shared" si="211"/>
        <v>1.2780000000000022</v>
      </c>
      <c r="S210" s="7">
        <f t="shared" si="211"/>
        <v>-4.0000000000000036E-2</v>
      </c>
      <c r="T210" s="7">
        <f t="shared" si="211"/>
        <v>-0.89200000000000013</v>
      </c>
      <c r="U210" s="7">
        <f t="shared" si="211"/>
        <v>0.96699999999999997</v>
      </c>
      <c r="V210" s="79">
        <v>0</v>
      </c>
      <c r="W210" s="79">
        <f t="shared" ref="W210:AD210" si="212">V210</f>
        <v>0</v>
      </c>
      <c r="X210" s="79">
        <f t="shared" si="212"/>
        <v>0</v>
      </c>
      <c r="Y210" s="79">
        <f t="shared" si="212"/>
        <v>0</v>
      </c>
      <c r="Z210" s="79">
        <f t="shared" si="212"/>
        <v>0</v>
      </c>
      <c r="AA210" s="79">
        <f t="shared" si="212"/>
        <v>0</v>
      </c>
      <c r="AB210" s="79">
        <f t="shared" si="212"/>
        <v>0</v>
      </c>
      <c r="AC210" s="79">
        <f t="shared" si="212"/>
        <v>0</v>
      </c>
      <c r="AD210" s="79">
        <f t="shared" si="212"/>
        <v>0</v>
      </c>
      <c r="AE210" s="64"/>
    </row>
    <row r="211" spans="1:31" s="3" customFormat="1" outlineLevel="1">
      <c r="A211" s="110"/>
      <c r="B211" s="36"/>
      <c r="C211"/>
      <c r="D211" s="150" t="s">
        <v>266</v>
      </c>
      <c r="E211" s="2"/>
      <c r="F211" s="2"/>
      <c r="G211" s="163">
        <f t="shared" ref="G211:S211" si="213">SUM(G208:G210)</f>
        <v>1.248</v>
      </c>
      <c r="H211" s="163">
        <f t="shared" si="213"/>
        <v>2.1419999999999999</v>
      </c>
      <c r="I211" s="163">
        <f t="shared" si="213"/>
        <v>1.6080000000000001</v>
      </c>
      <c r="J211" s="163">
        <f t="shared" si="213"/>
        <v>2.551000000000001</v>
      </c>
      <c r="K211" s="163">
        <f t="shared" si="213"/>
        <v>3.3809999999999998</v>
      </c>
      <c r="L211" s="163">
        <f t="shared" si="213"/>
        <v>3.2210000000000001</v>
      </c>
      <c r="M211" s="163">
        <f t="shared" si="213"/>
        <v>3.88</v>
      </c>
      <c r="N211" s="163">
        <f t="shared" si="213"/>
        <v>5.5440000000000005</v>
      </c>
      <c r="O211" s="163">
        <f>SUM(O208:O210)</f>
        <v>5.4989999999999997</v>
      </c>
      <c r="P211" s="163">
        <f t="shared" si="213"/>
        <v>5.3159999999999998</v>
      </c>
      <c r="Q211" s="163">
        <f t="shared" si="213"/>
        <v>5.1379999999999999</v>
      </c>
      <c r="R211" s="163">
        <f t="shared" si="213"/>
        <v>3.7190000000000012</v>
      </c>
      <c r="S211" s="163">
        <f t="shared" si="213"/>
        <v>2.42</v>
      </c>
      <c r="T211" s="163">
        <f>SUM(T208:T210)</f>
        <v>1.7270000000000001</v>
      </c>
      <c r="U211" s="163">
        <f t="shared" ref="U211:AD211" si="214">SUM(U208:U210)</f>
        <v>1.528</v>
      </c>
      <c r="V211" s="163">
        <f t="shared" si="214"/>
        <v>1.7308419704293401</v>
      </c>
      <c r="W211" s="163">
        <f t="shared" si="214"/>
        <v>1.9291980774159216</v>
      </c>
      <c r="X211" s="163">
        <f t="shared" si="214"/>
        <v>2.0331521962750472</v>
      </c>
      <c r="Y211" s="163">
        <f t="shared" si="214"/>
        <v>2.1333182683266538</v>
      </c>
      <c r="Z211" s="163">
        <f t="shared" si="214"/>
        <v>2.423961504993227</v>
      </c>
      <c r="AA211" s="163">
        <f t="shared" si="214"/>
        <v>2.7435302131083299</v>
      </c>
      <c r="AB211" s="163">
        <f t="shared" si="214"/>
        <v>3.0383392964568499</v>
      </c>
      <c r="AC211" s="163">
        <f t="shared" si="214"/>
        <v>3.359828839299436</v>
      </c>
      <c r="AD211" s="163">
        <f t="shared" si="214"/>
        <v>3.9275931012982452</v>
      </c>
      <c r="AE211" s="64"/>
    </row>
    <row r="212" spans="1:31" s="3" customFormat="1">
      <c r="A212" s="110"/>
      <c r="B212" s="36"/>
      <c r="C212"/>
      <c r="D212" s="148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64"/>
    </row>
    <row r="213" spans="1:31">
      <c r="C213" s="104"/>
      <c r="D213" s="105" t="s">
        <v>163</v>
      </c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</row>
    <row r="214" spans="1:31" ht="5.0999999999999996" customHeight="1"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"/>
    </row>
    <row r="215" spans="1:31" s="3" customFormat="1" outlineLevel="1">
      <c r="A215" s="110"/>
      <c r="B215" s="143"/>
      <c r="D215" s="3" t="s">
        <v>341</v>
      </c>
      <c r="H215" s="64"/>
      <c r="I215" s="64"/>
      <c r="J215" s="64">
        <f t="shared" ref="J215:AD215" si="215">+I220</f>
        <v>6.2130000000000001</v>
      </c>
      <c r="K215" s="64">
        <f t="shared" si="215"/>
        <v>7.3570000000000002</v>
      </c>
      <c r="L215" s="64">
        <f t="shared" si="215"/>
        <v>5.8482065840349602</v>
      </c>
      <c r="M215" s="64">
        <f t="shared" si="215"/>
        <v>6.2002298589503049</v>
      </c>
      <c r="N215" s="64">
        <f t="shared" si="215"/>
        <v>5.7190608052301641</v>
      </c>
      <c r="O215" s="64">
        <f t="shared" si="215"/>
        <v>8.2729999999999997</v>
      </c>
      <c r="P215" s="64">
        <f t="shared" si="215"/>
        <v>8.1041743153427284</v>
      </c>
      <c r="Q215" s="64">
        <f t="shared" si="215"/>
        <v>7.1787463885329892</v>
      </c>
      <c r="R215" s="64">
        <f t="shared" si="215"/>
        <v>6.3331363486089511</v>
      </c>
      <c r="S215" s="64">
        <f t="shared" si="215"/>
        <v>8.18</v>
      </c>
      <c r="T215" s="64">
        <f t="shared" si="215"/>
        <v>9.7545826530612221</v>
      </c>
      <c r="U215" s="64">
        <f t="shared" si="215"/>
        <v>10.783495677564748</v>
      </c>
      <c r="V215" s="64">
        <f t="shared" si="215"/>
        <v>11.758320094147521</v>
      </c>
      <c r="W215" s="64">
        <f t="shared" si="215"/>
        <v>12.099791794518699</v>
      </c>
      <c r="X215" s="64">
        <f t="shared" si="215"/>
        <v>13.219911352563006</v>
      </c>
      <c r="Y215" s="64">
        <f t="shared" si="215"/>
        <v>14.362634002877854</v>
      </c>
      <c r="Z215" s="64">
        <f t="shared" si="215"/>
        <v>15.528117263831444</v>
      </c>
      <c r="AA215" s="64">
        <f t="shared" si="215"/>
        <v>16.716519751519485</v>
      </c>
      <c r="AB215" s="64">
        <f t="shared" si="215"/>
        <v>18.423530291532568</v>
      </c>
      <c r="AC215" s="64">
        <f t="shared" si="215"/>
        <v>20.174251937007764</v>
      </c>
      <c r="AD215" s="64">
        <f t="shared" si="215"/>
        <v>21.969293923347205</v>
      </c>
    </row>
    <row r="216" spans="1:31" outlineLevel="1">
      <c r="A216" s="109" t="s">
        <v>388</v>
      </c>
      <c r="D216" s="70" t="s">
        <v>130</v>
      </c>
      <c r="H216" s="7"/>
      <c r="I216" s="7"/>
      <c r="J216" s="7">
        <f t="shared" ref="J216:U216" si="216">-J126</f>
        <v>2.0919999999999996</v>
      </c>
      <c r="K216" s="7">
        <f t="shared" si="216"/>
        <v>1.175</v>
      </c>
      <c r="L216" s="7">
        <f t="shared" si="216"/>
        <v>2.94</v>
      </c>
      <c r="M216" s="7">
        <f t="shared" si="216"/>
        <v>0.78</v>
      </c>
      <c r="N216" s="7">
        <f t="shared" si="216"/>
        <v>-3.0930000000000004</v>
      </c>
      <c r="O216" s="7">
        <f t="shared" si="216"/>
        <v>0.35599999999999998</v>
      </c>
      <c r="P216" s="7">
        <f t="shared" si="216"/>
        <v>0.51800000000000002</v>
      </c>
      <c r="Q216" s="7">
        <f t="shared" si="216"/>
        <v>0.45800000000000002</v>
      </c>
      <c r="R216" s="7">
        <f t="shared" si="216"/>
        <v>3.6589999999999998</v>
      </c>
      <c r="S216" s="7">
        <f t="shared" si="216"/>
        <v>1.7649999999999999</v>
      </c>
      <c r="T216" s="7">
        <f t="shared" si="216"/>
        <v>1.111</v>
      </c>
      <c r="U216" s="7">
        <f t="shared" si="216"/>
        <v>0.81</v>
      </c>
      <c r="V216" s="206">
        <f t="shared" ref="V216:AD216" si="217">-V217*V222</f>
        <v>1.6388477928617742</v>
      </c>
      <c r="W216" s="206">
        <f t="shared" si="217"/>
        <v>1.7707634052864432</v>
      </c>
      <c r="X216" s="206">
        <f t="shared" si="217"/>
        <v>1.934689095630058</v>
      </c>
      <c r="Y216" s="206">
        <f t="shared" si="217"/>
        <v>2.1019226717058155</v>
      </c>
      <c r="Z216" s="206">
        <f t="shared" si="217"/>
        <v>2.2724871857915407</v>
      </c>
      <c r="AA216" s="206">
        <f t="shared" si="217"/>
        <v>2.562901367519165</v>
      </c>
      <c r="AB216" s="206">
        <f t="shared" si="217"/>
        <v>2.8246125198642273</v>
      </c>
      <c r="AC216" s="206">
        <f t="shared" si="217"/>
        <v>3.0930252616327962</v>
      </c>
      <c r="AD216" s="206">
        <f t="shared" si="217"/>
        <v>3.3682329980472794</v>
      </c>
    </row>
    <row r="217" spans="1:31" outlineLevel="1">
      <c r="D217" s="70" t="s">
        <v>7</v>
      </c>
      <c r="H217" s="7"/>
      <c r="I217" s="7"/>
      <c r="J217" s="7">
        <f>-J244</f>
        <v>-0.91826653248993673</v>
      </c>
      <c r="K217" s="7">
        <f t="shared" ref="K217:T217" ca="1" si="218">-K244</f>
        <v>-0.88608404191719869</v>
      </c>
      <c r="L217" s="7">
        <f t="shared" ca="1" si="218"/>
        <v>-0.92848889582781213</v>
      </c>
      <c r="M217" s="7">
        <f t="shared" si="218"/>
        <v>-1.0581493263263824</v>
      </c>
      <c r="N217" s="7">
        <f t="shared" ca="1" si="218"/>
        <v>-1.2556259563492633</v>
      </c>
      <c r="O217" s="7">
        <f t="shared" ca="1" si="218"/>
        <v>-1.3460863765876248</v>
      </c>
      <c r="P217" s="7">
        <f t="shared" ca="1" si="218"/>
        <v>-1.2942219003079836</v>
      </c>
      <c r="Q217" s="7">
        <f t="shared" si="218"/>
        <v>-1.1027881252541685</v>
      </c>
      <c r="R217" s="7">
        <f t="shared" ca="1" si="218"/>
        <v>-1.1046503280181843</v>
      </c>
      <c r="S217" s="7">
        <f t="shared" ca="1" si="218"/>
        <v>-1.1553270841338501</v>
      </c>
      <c r="T217" s="7">
        <f t="shared" ca="1" si="218"/>
        <v>-1.431275219260344</v>
      </c>
      <c r="U217" s="7">
        <f ca="1">-U244</f>
        <v>-1.6200116266652282</v>
      </c>
      <c r="V217" s="206">
        <f t="shared" ref="V217:AD217" si="219">-V215/V221/4</f>
        <v>-1.6388477928617742</v>
      </c>
      <c r="W217" s="206">
        <f t="shared" si="219"/>
        <v>-1.686441338368041</v>
      </c>
      <c r="X217" s="206">
        <f t="shared" si="219"/>
        <v>-1.842561043457198</v>
      </c>
      <c r="Y217" s="206">
        <f t="shared" si="219"/>
        <v>-2.0018311159103002</v>
      </c>
      <c r="Z217" s="206">
        <f t="shared" si="219"/>
        <v>-2.1642735102776576</v>
      </c>
      <c r="AA217" s="206">
        <f t="shared" si="219"/>
        <v>-2.3299103341083316</v>
      </c>
      <c r="AB217" s="206">
        <f t="shared" si="219"/>
        <v>-2.5678295635129338</v>
      </c>
      <c r="AC217" s="206">
        <f t="shared" si="219"/>
        <v>-2.8118411469389053</v>
      </c>
      <c r="AD217" s="206">
        <f t="shared" si="219"/>
        <v>-3.0620299982247992</v>
      </c>
    </row>
    <row r="218" spans="1:31" outlineLevel="1">
      <c r="D218" s="70" t="s">
        <v>131</v>
      </c>
      <c r="H218" s="7"/>
      <c r="I218" s="7"/>
      <c r="J218" s="7">
        <f t="shared" ref="J218:AD218" si="220">J268</f>
        <v>0.39700000000000002</v>
      </c>
      <c r="K218" s="7">
        <f t="shared" si="220"/>
        <v>1.133</v>
      </c>
      <c r="L218" s="7">
        <f t="shared" si="220"/>
        <v>0</v>
      </c>
      <c r="M218" s="7">
        <f t="shared" si="220"/>
        <v>0.222</v>
      </c>
      <c r="N218" s="7">
        <f t="shared" si="220"/>
        <v>3.371</v>
      </c>
      <c r="O218" s="7">
        <f t="shared" si="220"/>
        <v>0.13900000000000001</v>
      </c>
      <c r="P218" s="7">
        <f t="shared" si="220"/>
        <v>0</v>
      </c>
      <c r="Q218" s="7">
        <f t="shared" si="220"/>
        <v>0</v>
      </c>
      <c r="R218" s="7">
        <f t="shared" si="220"/>
        <v>0.16200000000000001</v>
      </c>
      <c r="S218" s="7">
        <f t="shared" si="220"/>
        <v>0.998</v>
      </c>
      <c r="T218" s="7">
        <f t="shared" si="220"/>
        <v>0.80499999999999994</v>
      </c>
      <c r="U218" s="7">
        <f>U268</f>
        <v>0.99299999999999999</v>
      </c>
      <c r="V218" s="7">
        <f t="shared" si="220"/>
        <v>0.34147170037117741</v>
      </c>
      <c r="W218" s="7">
        <f t="shared" si="220"/>
        <v>1.0357974911259051</v>
      </c>
      <c r="X218" s="7">
        <f t="shared" si="220"/>
        <v>1.0505945981419893</v>
      </c>
      <c r="Y218" s="7">
        <f t="shared" si="220"/>
        <v>1.0653917051580737</v>
      </c>
      <c r="Z218" s="7">
        <f t="shared" si="220"/>
        <v>1.0801888121741579</v>
      </c>
      <c r="AA218" s="7">
        <f t="shared" si="220"/>
        <v>1.4740195066022492</v>
      </c>
      <c r="AB218" s="7">
        <f t="shared" si="220"/>
        <v>1.4939386891239013</v>
      </c>
      <c r="AC218" s="7">
        <f t="shared" si="220"/>
        <v>1.5138578716455535</v>
      </c>
      <c r="AD218" s="7">
        <f t="shared" si="220"/>
        <v>1.5337770541672053</v>
      </c>
    </row>
    <row r="219" spans="1:31" outlineLevel="1">
      <c r="A219" s="109" t="s">
        <v>390</v>
      </c>
      <c r="D219" s="70" t="s">
        <v>127</v>
      </c>
      <c r="H219" s="89"/>
      <c r="I219" s="89"/>
      <c r="J219" s="89">
        <f>+J220-SUM(J215:J218)</f>
        <v>-0.42673346751006314</v>
      </c>
      <c r="K219" s="89">
        <f t="shared" ref="K219:T219" ca="1" si="221">+K220-SUM(K215:K218)</f>
        <v>-2.9307093740478418</v>
      </c>
      <c r="L219" s="89">
        <f t="shared" ca="1" si="221"/>
        <v>-1.6594878292568431</v>
      </c>
      <c r="M219" s="89">
        <f t="shared" si="221"/>
        <v>-0.42501972739375926</v>
      </c>
      <c r="N219" s="89">
        <f t="shared" ca="1" si="221"/>
        <v>3.5315651511190991</v>
      </c>
      <c r="O219" s="89">
        <f t="shared" ca="1" si="221"/>
        <v>0.68226069193035332</v>
      </c>
      <c r="P219" s="89">
        <f t="shared" ca="1" si="221"/>
        <v>-0.14920602650175674</v>
      </c>
      <c r="Q219" s="89">
        <f t="shared" si="221"/>
        <v>-0.20082191466986998</v>
      </c>
      <c r="R219" s="89">
        <f t="shared" ca="1" si="221"/>
        <v>-0.8694860205907684</v>
      </c>
      <c r="S219" s="89">
        <f t="shared" ca="1" si="221"/>
        <v>-3.3090262804927661E-2</v>
      </c>
      <c r="T219" s="89">
        <f t="shared" ca="1" si="221"/>
        <v>0.54418824376386965</v>
      </c>
      <c r="U219" s="89">
        <f ca="1">+U220-SUM(U215:U218)</f>
        <v>0.79183604324800072</v>
      </c>
      <c r="V219" s="203">
        <v>0</v>
      </c>
      <c r="W219" s="203">
        <v>0</v>
      </c>
      <c r="X219" s="203">
        <v>0</v>
      </c>
      <c r="Y219" s="203">
        <v>0</v>
      </c>
      <c r="Z219" s="203">
        <v>0</v>
      </c>
      <c r="AA219" s="203">
        <v>0</v>
      </c>
      <c r="AB219" s="203">
        <v>0</v>
      </c>
      <c r="AC219" s="203">
        <v>0</v>
      </c>
      <c r="AD219" s="203">
        <v>0</v>
      </c>
    </row>
    <row r="220" spans="1:31" s="3" customFormat="1" outlineLevel="1">
      <c r="A220" s="110"/>
      <c r="B220" s="143"/>
      <c r="D220" s="183" t="s">
        <v>342</v>
      </c>
      <c r="E220" s="2"/>
      <c r="F220" s="2"/>
      <c r="G220" s="173"/>
      <c r="H220" s="173"/>
      <c r="I220" s="173">
        <f t="shared" ref="I220:U220" si="222">I149-I229</f>
        <v>6.2130000000000001</v>
      </c>
      <c r="J220" s="173">
        <f t="shared" si="222"/>
        <v>7.3570000000000002</v>
      </c>
      <c r="K220" s="173">
        <f t="shared" si="222"/>
        <v>5.8482065840349602</v>
      </c>
      <c r="L220" s="173">
        <f t="shared" si="222"/>
        <v>6.2002298589503049</v>
      </c>
      <c r="M220" s="173">
        <f t="shared" si="222"/>
        <v>5.7190608052301641</v>
      </c>
      <c r="N220" s="173">
        <f t="shared" si="222"/>
        <v>8.2729999999999997</v>
      </c>
      <c r="O220" s="173">
        <f t="shared" si="222"/>
        <v>8.1041743153427284</v>
      </c>
      <c r="P220" s="173">
        <f t="shared" si="222"/>
        <v>7.1787463885329892</v>
      </c>
      <c r="Q220" s="173">
        <f t="shared" si="222"/>
        <v>6.3331363486089511</v>
      </c>
      <c r="R220" s="173">
        <f t="shared" si="222"/>
        <v>8.18</v>
      </c>
      <c r="S220" s="173">
        <f t="shared" si="222"/>
        <v>9.7545826530612221</v>
      </c>
      <c r="T220" s="173">
        <f t="shared" si="222"/>
        <v>10.783495677564748</v>
      </c>
      <c r="U220" s="173">
        <f t="shared" si="222"/>
        <v>11.758320094147521</v>
      </c>
      <c r="V220" s="103">
        <f t="shared" ref="V220:AD220" si="223">SUM(V215:V219)</f>
        <v>12.099791794518699</v>
      </c>
      <c r="W220" s="103">
        <f t="shared" si="223"/>
        <v>13.219911352563006</v>
      </c>
      <c r="X220" s="103">
        <f t="shared" si="223"/>
        <v>14.362634002877854</v>
      </c>
      <c r="Y220" s="103">
        <f t="shared" si="223"/>
        <v>15.528117263831444</v>
      </c>
      <c r="Z220" s="103">
        <f t="shared" si="223"/>
        <v>16.716519751519485</v>
      </c>
      <c r="AA220" s="103">
        <f>SUM(AA215:AA219)</f>
        <v>18.423530291532568</v>
      </c>
      <c r="AB220" s="103">
        <f>SUM(AB215:AB219)</f>
        <v>20.174251937007764</v>
      </c>
      <c r="AC220" s="103">
        <f>SUM(AC215:AC219)</f>
        <v>21.969293923347205</v>
      </c>
      <c r="AD220" s="103">
        <f t="shared" si="223"/>
        <v>23.809273977336893</v>
      </c>
      <c r="AE220"/>
    </row>
    <row r="221" spans="1:31" outlineLevel="1">
      <c r="D221" s="70" t="s">
        <v>222</v>
      </c>
      <c r="H221" s="68"/>
      <c r="I221" s="68"/>
      <c r="J221" s="92">
        <f t="shared" ref="J221:R221" si="224">AVERAGE(J215,J220)/(-J217*4)</f>
        <v>1.8472305588667299</v>
      </c>
      <c r="K221" s="92">
        <f t="shared" ca="1" si="224"/>
        <v>1.8628603438483067</v>
      </c>
      <c r="L221" s="92">
        <f t="shared" ca="1" si="224"/>
        <v>1.6220490758054853</v>
      </c>
      <c r="M221" s="92">
        <f t="shared" si="224"/>
        <v>1.4080350437826588</v>
      </c>
      <c r="N221" s="92">
        <f t="shared" ca="1" si="224"/>
        <v>1.3929367992192643</v>
      </c>
      <c r="O221" s="92">
        <f t="shared" ca="1" si="224"/>
        <v>1.5208138385646754</v>
      </c>
      <c r="P221" s="92">
        <f t="shared" ca="1" si="224"/>
        <v>1.4760722929583086</v>
      </c>
      <c r="Q221" s="92">
        <f t="shared" si="224"/>
        <v>1.5315592392269082</v>
      </c>
      <c r="R221" s="92">
        <f t="shared" ca="1" si="224"/>
        <v>1.6422771962878149</v>
      </c>
      <c r="S221" s="92">
        <f ca="1">AVERAGE(S215,S220)/(-S217*4)</f>
        <v>1.9404226408431768</v>
      </c>
      <c r="T221" s="92">
        <f ca="1">AVERAGE(T215,T220)/(-T217*4)</f>
        <v>1.7936870259340882</v>
      </c>
      <c r="U221" s="92">
        <f ca="1">AVERAGE(U215,U220)/(-U217*4)</f>
        <v>1.7393251536498451</v>
      </c>
      <c r="V221" s="100">
        <v>1.7936870259340882</v>
      </c>
      <c r="W221" s="100">
        <f t="shared" ref="W221:AD221" si="225">V221</f>
        <v>1.7936870259340882</v>
      </c>
      <c r="X221" s="100">
        <f t="shared" si="225"/>
        <v>1.7936870259340882</v>
      </c>
      <c r="Y221" s="100">
        <f t="shared" si="225"/>
        <v>1.7936870259340882</v>
      </c>
      <c r="Z221" s="100">
        <f t="shared" si="225"/>
        <v>1.7936870259340882</v>
      </c>
      <c r="AA221" s="100">
        <f t="shared" si="225"/>
        <v>1.7936870259340882</v>
      </c>
      <c r="AB221" s="100">
        <f t="shared" si="225"/>
        <v>1.7936870259340882</v>
      </c>
      <c r="AC221" s="100">
        <f t="shared" si="225"/>
        <v>1.7936870259340882</v>
      </c>
      <c r="AD221" s="100">
        <f t="shared" si="225"/>
        <v>1.7936870259340882</v>
      </c>
    </row>
    <row r="222" spans="1:31" outlineLevel="1">
      <c r="D222" s="70" t="s">
        <v>345</v>
      </c>
      <c r="H222" s="68"/>
      <c r="I222" s="68"/>
      <c r="J222" s="65">
        <f>-J216/J217</f>
        <v>2.2782056472508168</v>
      </c>
      <c r="K222" s="65">
        <f t="shared" ref="K222:T222" ca="1" si="226">-K216/K217</f>
        <v>1.3260593176440474</v>
      </c>
      <c r="L222" s="65">
        <f t="shared" ca="1" si="226"/>
        <v>3.1664352834061482</v>
      </c>
      <c r="M222" s="65">
        <f t="shared" si="226"/>
        <v>0.73713603609044098</v>
      </c>
      <c r="N222" s="65">
        <f t="shared" ca="1" si="226"/>
        <v>-2.4633132059430407</v>
      </c>
      <c r="O222" s="65">
        <f t="shared" ca="1" si="226"/>
        <v>0.26447039817940377</v>
      </c>
      <c r="P222" s="65">
        <f t="shared" ca="1" si="226"/>
        <v>0.40024048416792557</v>
      </c>
      <c r="Q222" s="65">
        <f t="shared" si="226"/>
        <v>0.41531096455580807</v>
      </c>
      <c r="R222" s="65">
        <f t="shared" ca="1" si="226"/>
        <v>3.3123603978505014</v>
      </c>
      <c r="S222" s="65">
        <f t="shared" ca="1" si="226"/>
        <v>1.5277058975235764</v>
      </c>
      <c r="T222" s="65">
        <f t="shared" ca="1" si="226"/>
        <v>0.77623086395231788</v>
      </c>
      <c r="U222" s="65">
        <f ca="1">-U216/U217</f>
        <v>0.4999964115488319</v>
      </c>
      <c r="V222" s="76">
        <v>1</v>
      </c>
      <c r="W222" s="76">
        <v>1.05</v>
      </c>
      <c r="X222" s="76">
        <f>W222</f>
        <v>1.05</v>
      </c>
      <c r="Y222" s="76">
        <f t="shared" ref="Y222:AD222" si="227">X222</f>
        <v>1.05</v>
      </c>
      <c r="Z222" s="76">
        <f t="shared" si="227"/>
        <v>1.05</v>
      </c>
      <c r="AA222" s="76">
        <v>1.1000000000000001</v>
      </c>
      <c r="AB222" s="76">
        <f>AA222</f>
        <v>1.1000000000000001</v>
      </c>
      <c r="AC222" s="76">
        <f>AB222</f>
        <v>1.1000000000000001</v>
      </c>
      <c r="AD222" s="76">
        <f t="shared" si="227"/>
        <v>1.1000000000000001</v>
      </c>
    </row>
    <row r="223" spans="1:31" s="3" customFormat="1" outlineLevel="1">
      <c r="A223" s="96"/>
      <c r="B223" s="96"/>
      <c r="C223" s="96"/>
      <c r="D223" s="70" t="s">
        <v>223</v>
      </c>
      <c r="E223" s="96"/>
      <c r="F223" s="96"/>
      <c r="G223" s="96"/>
      <c r="H223" s="68"/>
      <c r="I223" s="68"/>
      <c r="J223" s="149">
        <f t="shared" ref="J223:AD223" si="228">J79/AVERAGE(I220:J220)</f>
        <v>20.057037582903462</v>
      </c>
      <c r="K223" s="149">
        <f t="shared" si="228"/>
        <v>25.83844469442165</v>
      </c>
      <c r="L223" s="149">
        <f t="shared" si="228"/>
        <v>26.224979605877518</v>
      </c>
      <c r="M223" s="149">
        <f t="shared" si="228"/>
        <v>24.247080480092581</v>
      </c>
      <c r="N223" s="149">
        <f t="shared" si="228"/>
        <v>30.689546449046937</v>
      </c>
      <c r="O223" s="149">
        <f t="shared" si="228"/>
        <v>29.495320175438405</v>
      </c>
      <c r="P223" s="149">
        <f t="shared" si="228"/>
        <v>29.816552007918187</v>
      </c>
      <c r="Q223" s="149">
        <f t="shared" si="228"/>
        <v>28.104891626696094</v>
      </c>
      <c r="R223" s="149">
        <f t="shared" si="228"/>
        <v>39.902746456006852</v>
      </c>
      <c r="S223" s="149">
        <f t="shared" si="228"/>
        <v>34.592608704730822</v>
      </c>
      <c r="T223" s="149">
        <f t="shared" si="228"/>
        <v>33.626028145494516</v>
      </c>
      <c r="U223" s="149">
        <f t="shared" si="228"/>
        <v>32.592671656999912</v>
      </c>
      <c r="V223" s="149">
        <f t="shared" si="228"/>
        <v>41.602396791768058</v>
      </c>
      <c r="W223" s="149">
        <f t="shared" si="228"/>
        <v>38.925727759651643</v>
      </c>
      <c r="X223" s="149">
        <f t="shared" si="228"/>
        <v>36.830557389452999</v>
      </c>
      <c r="Y223" s="149">
        <f t="shared" si="228"/>
        <v>34.532252972816863</v>
      </c>
      <c r="Z223" s="149">
        <f t="shared" si="228"/>
        <v>39.277954896313183</v>
      </c>
      <c r="AA223" s="149">
        <f t="shared" si="228"/>
        <v>36.836488350847461</v>
      </c>
      <c r="AB223" s="149">
        <f t="shared" si="228"/>
        <v>35.087346862666905</v>
      </c>
      <c r="AC223" s="149">
        <f t="shared" si="228"/>
        <v>33.092050819440963</v>
      </c>
      <c r="AD223" s="149">
        <f t="shared" si="228"/>
        <v>36.303167319949772</v>
      </c>
      <c r="AE223"/>
    </row>
    <row r="224" spans="1:31" ht="15" customHeight="1"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"/>
    </row>
    <row r="225" spans="1:31" s="3" customFormat="1" outlineLevel="1">
      <c r="A225" s="110"/>
      <c r="B225" s="143"/>
      <c r="D225" s="3" t="s">
        <v>228</v>
      </c>
      <c r="H225" s="64"/>
      <c r="I225" s="64"/>
      <c r="J225" s="64"/>
      <c r="K225" s="64"/>
      <c r="L225" s="64">
        <f t="shared" ref="L225:AD225" si="229">+K229</f>
        <v>14.428793415965041</v>
      </c>
      <c r="M225" s="64">
        <f t="shared" si="229"/>
        <v>14.377770141049695</v>
      </c>
      <c r="N225" s="64">
        <f t="shared" si="229"/>
        <v>16.771939194769836</v>
      </c>
      <c r="O225" s="64">
        <f t="shared" si="229"/>
        <v>19.155000000000001</v>
      </c>
      <c r="P225" s="64">
        <f t="shared" si="229"/>
        <v>19.389825684657271</v>
      </c>
      <c r="Q225" s="64">
        <f t="shared" si="229"/>
        <v>18.00925361146701</v>
      </c>
      <c r="R225" s="64">
        <f t="shared" si="229"/>
        <v>15.678863651391049</v>
      </c>
      <c r="S225" s="64">
        <f t="shared" si="229"/>
        <v>15.378</v>
      </c>
      <c r="T225" s="64">
        <f t="shared" si="229"/>
        <v>15.754417346938778</v>
      </c>
      <c r="U225" s="64">
        <f t="shared" si="229"/>
        <v>16.324504322435253</v>
      </c>
      <c r="V225" s="64">
        <f t="shared" si="229"/>
        <v>17.046679905852478</v>
      </c>
      <c r="W225" s="64">
        <f t="shared" si="229"/>
        <v>22.828756662377895</v>
      </c>
      <c r="X225" s="64">
        <f t="shared" si="229"/>
        <v>21.682933176486941</v>
      </c>
      <c r="Y225" s="64">
        <f t="shared" si="229"/>
        <v>21.333490912875849</v>
      </c>
      <c r="Z225" s="64">
        <f t="shared" si="229"/>
        <v>20.64389968579103</v>
      </c>
      <c r="AA225" s="64">
        <f t="shared" si="229"/>
        <v>25.330067966738888</v>
      </c>
      <c r="AB225" s="64">
        <f t="shared" si="229"/>
        <v>25.888720881181676</v>
      </c>
      <c r="AC225" s="64">
        <f t="shared" si="229"/>
        <v>27.085875463649501</v>
      </c>
      <c r="AD225" s="64">
        <f t="shared" si="229"/>
        <v>27.892327226446152</v>
      </c>
    </row>
    <row r="226" spans="1:31" outlineLevel="1">
      <c r="D226" s="70" t="s">
        <v>346</v>
      </c>
      <c r="H226" s="7"/>
      <c r="I226" s="7"/>
      <c r="J226" s="7"/>
      <c r="K226" s="7"/>
      <c r="L226" s="7">
        <f t="shared" ref="L226:R226" ca="1" si="230">L229-SUM(L227:L228,L225)</f>
        <v>1.2387181611735603</v>
      </c>
      <c r="M226" s="7">
        <f t="shared" si="230"/>
        <v>2.6571405972992768</v>
      </c>
      <c r="N226" s="7">
        <f t="shared" ca="1" si="230"/>
        <v>0.13231721889477654</v>
      </c>
      <c r="O226" s="7">
        <f t="shared" ca="1" si="230"/>
        <v>1.9249890771180738</v>
      </c>
      <c r="P226" s="7">
        <f t="shared" ca="1" si="230"/>
        <v>0.66479612489070661</v>
      </c>
      <c r="Q226" s="7">
        <f t="shared" si="230"/>
        <v>-0.51284949647286915</v>
      </c>
      <c r="R226" s="7">
        <f t="shared" ca="1" si="230"/>
        <v>-0.53695657347233272</v>
      </c>
      <c r="S226" s="7">
        <f t="shared" ref="S226:AD226" ca="1" si="231">S229-SUM(S227:S228,S225)</f>
        <v>-3.9620214656030939E-2</v>
      </c>
      <c r="T226" s="7">
        <f t="shared" ca="1" si="231"/>
        <v>1.0911561211823848</v>
      </c>
      <c r="U226" s="7">
        <f ca="1">U229-SUM(U227:U228,U225)</f>
        <v>0.78007432934887788</v>
      </c>
      <c r="V226" s="7">
        <f t="shared" si="231"/>
        <v>7.0921064123619555</v>
      </c>
      <c r="W226" s="7">
        <f t="shared" si="231"/>
        <v>-0.45382887667632943</v>
      </c>
      <c r="X226" s="7">
        <f t="shared" si="231"/>
        <v>0.18517109866577997</v>
      </c>
      <c r="Y226" s="7">
        <f t="shared" si="231"/>
        <v>-0.22186124557753217</v>
      </c>
      <c r="Z226" s="7">
        <f t="shared" si="231"/>
        <v>5.0483615903817238</v>
      </c>
      <c r="AA226" s="7">
        <f t="shared" si="231"/>
        <v>0.73011801666093135</v>
      </c>
      <c r="AB226" s="7">
        <f t="shared" si="231"/>
        <v>1.3955225418750778</v>
      </c>
      <c r="AC226" s="7">
        <f t="shared" si="231"/>
        <v>1.104279587123127</v>
      </c>
      <c r="AD226" s="7">
        <f t="shared" si="231"/>
        <v>5.6987026184339733</v>
      </c>
    </row>
    <row r="227" spans="1:31" outlineLevel="1">
      <c r="D227" s="70" t="s">
        <v>7</v>
      </c>
      <c r="H227" s="7"/>
      <c r="I227" s="7"/>
      <c r="J227" s="7"/>
      <c r="K227" s="7"/>
      <c r="L227" s="7">
        <f ca="1">-L245</f>
        <v>-1.2897414360889063</v>
      </c>
      <c r="M227" s="7">
        <f t="shared" ref="M227:S227" si="232">-M245</f>
        <v>-1.5109715435791358</v>
      </c>
      <c r="N227" s="7">
        <f t="shared" ca="1" si="232"/>
        <v>-1.8482564136646111</v>
      </c>
      <c r="O227" s="7">
        <f t="shared" ca="1" si="232"/>
        <v>-2.0491633924608053</v>
      </c>
      <c r="P227" s="7">
        <f t="shared" ca="1" si="232"/>
        <v>-2.0453681980809675</v>
      </c>
      <c r="Q227" s="7">
        <f t="shared" si="232"/>
        <v>-1.8175404636030907</v>
      </c>
      <c r="R227" s="7">
        <f t="shared" ca="1" si="232"/>
        <v>-1.8629070779187162</v>
      </c>
      <c r="S227" s="7">
        <f t="shared" ca="1" si="232"/>
        <v>-1.9719624384051901</v>
      </c>
      <c r="T227" s="7">
        <f ca="1">-T245</f>
        <v>-2.458069145685911</v>
      </c>
      <c r="U227" s="7">
        <f ca="1">-U245</f>
        <v>-2.7908987459316505</v>
      </c>
      <c r="V227" s="206">
        <f t="shared" ref="V227:AD227" si="233">-V225/V230/4</f>
        <v>-1.9371227165741451</v>
      </c>
      <c r="W227" s="206">
        <f t="shared" si="233"/>
        <v>-2.5941768934520333</v>
      </c>
      <c r="X227" s="206">
        <f t="shared" si="233"/>
        <v>-2.4639696791462429</v>
      </c>
      <c r="Y227" s="206">
        <f t="shared" si="233"/>
        <v>-2.424260331008619</v>
      </c>
      <c r="Z227" s="206">
        <f t="shared" si="233"/>
        <v>-2.3458976915671625</v>
      </c>
      <c r="AA227" s="206">
        <f t="shared" si="233"/>
        <v>-2.8784168144021463</v>
      </c>
      <c r="AB227" s="206">
        <f t="shared" si="233"/>
        <v>-2.9419001001342813</v>
      </c>
      <c r="AC227" s="206">
        <f t="shared" si="233"/>
        <v>-3.0779403935965339</v>
      </c>
      <c r="AD227" s="206">
        <f t="shared" si="233"/>
        <v>-3.1695826393688806</v>
      </c>
    </row>
    <row r="228" spans="1:31" outlineLevel="1">
      <c r="D228" s="70" t="s">
        <v>131</v>
      </c>
      <c r="H228" s="7"/>
      <c r="I228" s="7"/>
      <c r="J228" s="7"/>
      <c r="K228" s="7"/>
      <c r="L228" s="7">
        <f>L269</f>
        <v>0</v>
      </c>
      <c r="M228" s="7">
        <f t="shared" ref="M228:AD228" si="234">M269</f>
        <v>1.248</v>
      </c>
      <c r="N228" s="7">
        <f t="shared" si="234"/>
        <v>4.0990000000000002</v>
      </c>
      <c r="O228" s="7">
        <f t="shared" si="234"/>
        <v>0.35899999999999999</v>
      </c>
      <c r="P228" s="7">
        <f t="shared" si="234"/>
        <v>0</v>
      </c>
      <c r="Q228" s="7">
        <f t="shared" si="234"/>
        <v>0</v>
      </c>
      <c r="R228" s="7">
        <f t="shared" si="234"/>
        <v>2.0990000000000002</v>
      </c>
      <c r="S228" s="7">
        <f t="shared" si="234"/>
        <v>2.3879999999999999</v>
      </c>
      <c r="T228" s="7">
        <f t="shared" si="234"/>
        <v>1.9370000000000001</v>
      </c>
      <c r="U228" s="7">
        <f>U269</f>
        <v>2.7329999999999997</v>
      </c>
      <c r="V228" s="7">
        <f t="shared" si="234"/>
        <v>0.62709306073760673</v>
      </c>
      <c r="W228" s="7">
        <f t="shared" si="234"/>
        <v>1.9021822842374072</v>
      </c>
      <c r="X228" s="7">
        <f t="shared" si="234"/>
        <v>1.9293563168693701</v>
      </c>
      <c r="Y228" s="7">
        <f t="shared" si="234"/>
        <v>1.9565303495013329</v>
      </c>
      <c r="Z228" s="7">
        <f t="shared" si="234"/>
        <v>1.9837043821332958</v>
      </c>
      <c r="AA228" s="7">
        <f t="shared" si="234"/>
        <v>2.7069517121840021</v>
      </c>
      <c r="AB228" s="7">
        <f t="shared" si="234"/>
        <v>2.7435321407270292</v>
      </c>
      <c r="AC228" s="7">
        <f t="shared" si="234"/>
        <v>2.7801125692700568</v>
      </c>
      <c r="AD228" s="7">
        <f t="shared" si="234"/>
        <v>2.8166929978130835</v>
      </c>
    </row>
    <row r="229" spans="1:31" s="3" customFormat="1" outlineLevel="1">
      <c r="A229" s="110" t="s">
        <v>229</v>
      </c>
      <c r="B229" s="143"/>
      <c r="D229" s="183" t="s">
        <v>229</v>
      </c>
      <c r="E229" s="2"/>
      <c r="F229" s="2"/>
      <c r="G229" s="262"/>
      <c r="H229" s="262"/>
      <c r="I229" s="262"/>
      <c r="J229" s="262"/>
      <c r="K229" s="263">
        <f>AVERAGE($N$229/$N$199,$R$229/$R$199)*K199</f>
        <v>14.428793415965041</v>
      </c>
      <c r="L229" s="263">
        <f>AVERAGE($N$229/$N$199,$R$229/$R$199)*L199</f>
        <v>14.377770141049695</v>
      </c>
      <c r="M229" s="263">
        <f>AVERAGE($N$229/$N$199,$R$229/$R$199)*M199</f>
        <v>16.771939194769836</v>
      </c>
      <c r="N229" s="261">
        <f>5.162+13.993</f>
        <v>19.155000000000001</v>
      </c>
      <c r="O229" s="263">
        <f>AVERAGE($N$229/$N$199,$R$229/$R$199)*O199</f>
        <v>19.389825684657271</v>
      </c>
      <c r="P229" s="263">
        <f>AVERAGE($N$229/$N$199,$R$229/$R$199)*P199</f>
        <v>18.00925361146701</v>
      </c>
      <c r="Q229" s="263">
        <f>AVERAGE($N$229/$N$199,$R$229/$R$199)*Q199</f>
        <v>15.678863651391049</v>
      </c>
      <c r="R229" s="261">
        <f>4.003+11.375</f>
        <v>15.378</v>
      </c>
      <c r="S229" s="263">
        <f>AVERAGE($N$229/$N$199,$R$229/$R$199)*S199</f>
        <v>15.754417346938778</v>
      </c>
      <c r="T229" s="263">
        <f>AVERAGE($N$229/$N$199,$R$229/$R$199)*T199</f>
        <v>16.324504322435253</v>
      </c>
      <c r="U229" s="263">
        <f>AVERAGE($N$229/$N$199,$R$229/$R$199)*U199</f>
        <v>17.046679905852478</v>
      </c>
      <c r="V229" s="265">
        <f t="shared" ref="V229:AD229" si="235">+V79*4*V231</f>
        <v>22.828756662377895</v>
      </c>
      <c r="W229" s="265">
        <f t="shared" si="235"/>
        <v>21.682933176486941</v>
      </c>
      <c r="X229" s="265">
        <f t="shared" si="235"/>
        <v>21.333490912875849</v>
      </c>
      <c r="Y229" s="265">
        <f t="shared" si="235"/>
        <v>20.64389968579103</v>
      </c>
      <c r="Z229" s="265">
        <f t="shared" si="235"/>
        <v>25.330067966738888</v>
      </c>
      <c r="AA229" s="265">
        <f t="shared" si="235"/>
        <v>25.888720881181676</v>
      </c>
      <c r="AB229" s="265">
        <f t="shared" si="235"/>
        <v>27.085875463649501</v>
      </c>
      <c r="AC229" s="265">
        <f t="shared" si="235"/>
        <v>27.892327226446152</v>
      </c>
      <c r="AD229" s="265">
        <f t="shared" si="235"/>
        <v>33.238140203324328</v>
      </c>
      <c r="AE229"/>
    </row>
    <row r="230" spans="1:31" outlineLevel="1">
      <c r="D230" s="70" t="s">
        <v>222</v>
      </c>
      <c r="H230" s="68"/>
      <c r="I230" s="68"/>
      <c r="J230" s="68"/>
      <c r="K230" s="68"/>
      <c r="L230" s="92">
        <f t="shared" ref="L230:S230" ca="1" si="236">-AVERAGE(L225,L229)/(L227*4)</f>
        <v>2.7918932771100211</v>
      </c>
      <c r="M230" s="92">
        <f t="shared" si="236"/>
        <v>2.5769602899033761</v>
      </c>
      <c r="N230" s="92">
        <f t="shared" ca="1" si="236"/>
        <v>2.4297859139804143</v>
      </c>
      <c r="O230" s="92">
        <f t="shared" ca="1" si="236"/>
        <v>2.3512537986520345</v>
      </c>
      <c r="P230" s="92">
        <f t="shared" ca="1" si="236"/>
        <v>2.2855957750793565</v>
      </c>
      <c r="Q230" s="92">
        <f t="shared" si="236"/>
        <v>2.3168753280514838</v>
      </c>
      <c r="R230" s="92">
        <f t="shared" ca="1" si="236"/>
        <v>2.0838977973936648</v>
      </c>
      <c r="S230" s="92">
        <f t="shared" ca="1" si="236"/>
        <v>1.9734413255430012</v>
      </c>
      <c r="T230" s="92">
        <f ca="1">-AVERAGE(T225,T229)/(T227*4)</f>
        <v>1.6313069206004061</v>
      </c>
      <c r="U230" s="92">
        <f ca="1">-AVERAGE(U225,U229)/(U227*4)</f>
        <v>1.4946432702428554</v>
      </c>
      <c r="V230" s="60">
        <v>2.2000000000000002</v>
      </c>
      <c r="W230" s="60">
        <f t="shared" ref="W230:AD230" si="237">V230</f>
        <v>2.2000000000000002</v>
      </c>
      <c r="X230" s="60">
        <f t="shared" si="237"/>
        <v>2.2000000000000002</v>
      </c>
      <c r="Y230" s="60">
        <f t="shared" si="237"/>
        <v>2.2000000000000002</v>
      </c>
      <c r="Z230" s="60">
        <f t="shared" si="237"/>
        <v>2.2000000000000002</v>
      </c>
      <c r="AA230" s="60">
        <f t="shared" si="237"/>
        <v>2.2000000000000002</v>
      </c>
      <c r="AB230" s="60">
        <f t="shared" si="237"/>
        <v>2.2000000000000002</v>
      </c>
      <c r="AC230" s="60">
        <f t="shared" si="237"/>
        <v>2.2000000000000002</v>
      </c>
      <c r="AD230" s="60">
        <f t="shared" si="237"/>
        <v>2.2000000000000002</v>
      </c>
    </row>
    <row r="231" spans="1:31" s="3" customFormat="1" outlineLevel="1">
      <c r="A231" s="96"/>
      <c r="B231" s="96"/>
      <c r="C231" s="96"/>
      <c r="D231" s="70" t="s">
        <v>348</v>
      </c>
      <c r="E231" s="96"/>
      <c r="F231" s="96"/>
      <c r="G231" s="96"/>
      <c r="H231" s="68"/>
      <c r="I231" s="68"/>
      <c r="J231" s="68"/>
      <c r="K231" s="264">
        <f t="shared" ref="K231:U231" si="238">AVERAGE(J229:K229)/(K79*4)</f>
        <v>2.1144063364172894E-2</v>
      </c>
      <c r="L231" s="264">
        <f t="shared" si="238"/>
        <v>2.2792166627381344E-2</v>
      </c>
      <c r="M231" s="264">
        <f t="shared" si="238"/>
        <v>2.6945369449824515E-2</v>
      </c>
      <c r="N231" s="264">
        <f t="shared" si="238"/>
        <v>2.0916454667316679E-2</v>
      </c>
      <c r="O231" s="264">
        <f t="shared" si="238"/>
        <v>1.9948672852011837E-2</v>
      </c>
      <c r="P231" s="264">
        <f t="shared" si="238"/>
        <v>2.0518099876298206E-2</v>
      </c>
      <c r="Q231" s="264">
        <f t="shared" si="238"/>
        <v>2.2177825716167252E-2</v>
      </c>
      <c r="R231" s="264">
        <f t="shared" si="238"/>
        <v>1.3407059599401434E-2</v>
      </c>
      <c r="S231" s="264">
        <f t="shared" si="238"/>
        <v>1.254521946463062E-2</v>
      </c>
      <c r="T231" s="264">
        <f t="shared" si="238"/>
        <v>1.1612464296037307E-2</v>
      </c>
      <c r="U231" s="264">
        <f t="shared" si="238"/>
        <v>1.1355408694554679E-2</v>
      </c>
      <c r="V231" s="17">
        <v>1.15E-2</v>
      </c>
      <c r="W231" s="17">
        <f t="shared" ref="W231:AD231" si="239">MAX(V231-0.0005,0.01)</f>
        <v>1.0999999999999999E-2</v>
      </c>
      <c r="X231" s="17">
        <f t="shared" si="239"/>
        <v>1.0499999999999999E-2</v>
      </c>
      <c r="Y231" s="17">
        <f t="shared" si="239"/>
        <v>0.01</v>
      </c>
      <c r="Z231" s="17">
        <f t="shared" si="239"/>
        <v>0.01</v>
      </c>
      <c r="AA231" s="17">
        <f t="shared" si="239"/>
        <v>0.01</v>
      </c>
      <c r="AB231" s="17">
        <f t="shared" si="239"/>
        <v>0.01</v>
      </c>
      <c r="AC231" s="17">
        <f t="shared" si="239"/>
        <v>0.01</v>
      </c>
      <c r="AD231" s="17">
        <f t="shared" si="239"/>
        <v>0.01</v>
      </c>
      <c r="AE231"/>
    </row>
    <row r="232" spans="1:31" s="3" customFormat="1" outlineLevel="1">
      <c r="A232" s="96"/>
      <c r="B232" s="96"/>
      <c r="C232" s="96"/>
      <c r="D232" s="70" t="s">
        <v>347</v>
      </c>
      <c r="E232" s="96"/>
      <c r="F232" s="96"/>
      <c r="G232" s="96"/>
      <c r="H232" s="68"/>
      <c r="I232" s="68"/>
      <c r="J232" s="68"/>
      <c r="K232" s="149">
        <f t="shared" ref="K232:S232" si="240">K229/K220</f>
        <v>2.4672167798166118</v>
      </c>
      <c r="L232" s="149">
        <f t="shared" si="240"/>
        <v>2.3189092127439035</v>
      </c>
      <c r="M232" s="149">
        <f t="shared" si="240"/>
        <v>2.9326387261753983</v>
      </c>
      <c r="N232" s="149">
        <f t="shared" si="240"/>
        <v>2.3153632297836335</v>
      </c>
      <c r="O232" s="149">
        <f t="shared" si="240"/>
        <v>2.3925726335807806</v>
      </c>
      <c r="P232" s="149">
        <f t="shared" si="240"/>
        <v>2.5086906037291126</v>
      </c>
      <c r="Q232" s="149">
        <f t="shared" si="240"/>
        <v>2.4756870511456541</v>
      </c>
      <c r="R232" s="149">
        <f t="shared" si="240"/>
        <v>1.8799511002444989</v>
      </c>
      <c r="S232" s="149">
        <f t="shared" si="240"/>
        <v>1.6150785643294194</v>
      </c>
      <c r="T232" s="149">
        <f>T229/T220</f>
        <v>1.5138415974328874</v>
      </c>
      <c r="U232" s="149">
        <f>U229/U220</f>
        <v>1.4497547072508374</v>
      </c>
      <c r="V232" s="149">
        <f t="shared" ref="V232:AD232" si="241">V229/V220</f>
        <v>1.8867065690105098</v>
      </c>
      <c r="W232" s="149">
        <f t="shared" si="241"/>
        <v>1.6401723580607195</v>
      </c>
      <c r="X232" s="149">
        <f t="shared" si="241"/>
        <v>1.4853466925775061</v>
      </c>
      <c r="Y232" s="149">
        <f t="shared" si="241"/>
        <v>1.3294528457661394</v>
      </c>
      <c r="Z232" s="149">
        <f t="shared" si="241"/>
        <v>1.5152716201251433</v>
      </c>
      <c r="AA232" s="149">
        <f t="shared" si="241"/>
        <v>1.4051987035883182</v>
      </c>
      <c r="AB232" s="149">
        <f t="shared" si="241"/>
        <v>1.3425962731219301</v>
      </c>
      <c r="AC232" s="149">
        <f t="shared" si="241"/>
        <v>1.2696050826105258</v>
      </c>
      <c r="AD232" s="149">
        <f t="shared" si="241"/>
        <v>1.3960165368739257</v>
      </c>
      <c r="AE232"/>
    </row>
    <row r="233" spans="1:31" ht="15" customHeight="1"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6"/>
      <c r="W233" s="76"/>
      <c r="X233" s="76"/>
      <c r="Y233" s="76"/>
      <c r="Z233" s="76"/>
      <c r="AA233" s="76"/>
      <c r="AB233" s="76"/>
      <c r="AC233" s="76"/>
      <c r="AD233" s="76"/>
      <c r="AE233" s="7"/>
    </row>
    <row r="234" spans="1:31" s="3" customFormat="1" outlineLevel="1">
      <c r="A234" s="110"/>
      <c r="B234" s="143"/>
      <c r="D234" s="3" t="s">
        <v>343</v>
      </c>
      <c r="H234" s="64"/>
      <c r="I234" s="64"/>
      <c r="J234" s="64">
        <f t="shared" ref="J234:AD234" si="242">+I239</f>
        <v>36.676000000000002</v>
      </c>
      <c r="K234" s="64">
        <f t="shared" si="242"/>
        <v>46.033000000000001</v>
      </c>
      <c r="L234" s="64">
        <f t="shared" si="242"/>
        <v>55.533000000000001</v>
      </c>
      <c r="M234" s="64">
        <f t="shared" si="242"/>
        <v>52.502000000000002</v>
      </c>
      <c r="N234" s="64">
        <f t="shared" si="242"/>
        <v>59.337000000000003</v>
      </c>
      <c r="O234" s="64">
        <f t="shared" si="242"/>
        <v>92.046999999999997</v>
      </c>
      <c r="P234" s="64">
        <f t="shared" si="242"/>
        <v>101.035</v>
      </c>
      <c r="Q234" s="64">
        <f t="shared" si="242"/>
        <v>94.786000000000001</v>
      </c>
      <c r="R234" s="64">
        <f t="shared" si="242"/>
        <v>89.691999999999993</v>
      </c>
      <c r="S234" s="64">
        <f t="shared" si="242"/>
        <v>108.926</v>
      </c>
      <c r="T234" s="64">
        <f t="shared" si="242"/>
        <v>113.066</v>
      </c>
      <c r="U234" s="64">
        <f t="shared" si="242"/>
        <v>147.90299999999999</v>
      </c>
      <c r="V234" s="64">
        <f t="shared" si="242"/>
        <v>238.61799999999999</v>
      </c>
      <c r="W234" s="64">
        <f t="shared" si="242"/>
        <v>237.28584079609459</v>
      </c>
      <c r="X234" s="64">
        <f t="shared" si="242"/>
        <v>251.25442007139532</v>
      </c>
      <c r="Y234" s="64">
        <f t="shared" si="242"/>
        <v>264.92443789643073</v>
      </c>
      <c r="Z234" s="64">
        <f t="shared" si="242"/>
        <v>278.29287874662646</v>
      </c>
      <c r="AA234" s="64">
        <f t="shared" si="242"/>
        <v>291.35673761667988</v>
      </c>
      <c r="AB234" s="64">
        <f t="shared" si="242"/>
        <v>312.55843204612893</v>
      </c>
      <c r="AC234" s="64">
        <f t="shared" si="242"/>
        <v>333.24013909761919</v>
      </c>
      <c r="AD234" s="64">
        <f t="shared" si="242"/>
        <v>353.39924435934876</v>
      </c>
    </row>
    <row r="235" spans="1:31" outlineLevel="1">
      <c r="A235" s="109" t="s">
        <v>389</v>
      </c>
      <c r="D235" s="70" t="s">
        <v>130</v>
      </c>
      <c r="H235" s="7"/>
      <c r="I235" s="7"/>
      <c r="J235" s="79">
        <v>0</v>
      </c>
      <c r="K235" s="79">
        <v>0</v>
      </c>
      <c r="L235" s="79">
        <v>0</v>
      </c>
      <c r="M235" s="79">
        <v>0</v>
      </c>
      <c r="N235" s="79">
        <v>0</v>
      </c>
      <c r="O235" s="79">
        <v>0</v>
      </c>
      <c r="P235" s="79">
        <v>0</v>
      </c>
      <c r="Q235" s="79">
        <v>0</v>
      </c>
      <c r="R235" s="79">
        <v>0</v>
      </c>
      <c r="S235" s="79">
        <v>0</v>
      </c>
      <c r="T235" s="79">
        <v>0</v>
      </c>
      <c r="U235" s="79">
        <v>0</v>
      </c>
      <c r="V235" s="7">
        <f t="shared" ref="V235:AD235" si="243">-V236*V241</f>
        <v>0</v>
      </c>
      <c r="W235" s="7">
        <f t="shared" si="243"/>
        <v>8.8871101421758289E-2</v>
      </c>
      <c r="X235" s="7">
        <f t="shared" si="243"/>
        <v>9.5172128814922471E-2</v>
      </c>
      <c r="Y235" s="7">
        <f t="shared" si="243"/>
        <v>0.10150361605227232</v>
      </c>
      <c r="Z235" s="7">
        <f t="shared" si="243"/>
        <v>0.10786545687853741</v>
      </c>
      <c r="AA235" s="7">
        <f t="shared" si="243"/>
        <v>0.22851508832680778</v>
      </c>
      <c r="AB235" s="7">
        <f t="shared" si="243"/>
        <v>0.2480622476556579</v>
      </c>
      <c r="AC235" s="7">
        <f t="shared" si="243"/>
        <v>0.26766276232740505</v>
      </c>
      <c r="AD235" s="7">
        <f t="shared" si="243"/>
        <v>0.28731645882873891</v>
      </c>
    </row>
    <row r="236" spans="1:31" outlineLevel="1">
      <c r="D236" s="70" t="s">
        <v>7</v>
      </c>
      <c r="H236" s="7"/>
      <c r="I236" s="7"/>
      <c r="J236" s="7">
        <f t="shared" ref="J236:S236" si="244">-J246</f>
        <v>-1.1787334675100636</v>
      </c>
      <c r="K236" s="7">
        <f t="shared" ca="1" si="244"/>
        <v>-1.38468804265372</v>
      </c>
      <c r="L236" s="7">
        <f t="shared" ca="1" si="244"/>
        <v>-1.6327696680832813</v>
      </c>
      <c r="M236" s="7">
        <f t="shared" si="244"/>
        <v>-2.0938791300944821</v>
      </c>
      <c r="N236" s="7">
        <f t="shared" ca="1" si="244"/>
        <v>-2.7629879763944962</v>
      </c>
      <c r="O236" s="7">
        <f t="shared" ca="1" si="244"/>
        <v>-3.303050833561648</v>
      </c>
      <c r="P236" s="7">
        <f t="shared" ca="1" si="244"/>
        <v>-3.5540752496830668</v>
      </c>
      <c r="Q236" s="7">
        <f t="shared" si="244"/>
        <v>-3.4044152094347293</v>
      </c>
      <c r="R236" s="7">
        <f t="shared" ca="1" si="244"/>
        <v>-3.6230564430039101</v>
      </c>
      <c r="S236" s="7">
        <f t="shared" ca="1" si="244"/>
        <v>-3.9080156643440254</v>
      </c>
      <c r="T236" s="7">
        <f ca="1">-T246</f>
        <v>-4.9174734009600645</v>
      </c>
      <c r="U236" s="7">
        <f ca="1">-U246</f>
        <v>-5.6096797139127892</v>
      </c>
      <c r="V236" s="206">
        <f t="shared" ref="V236:AD236" si="245">-V234/V240/4</f>
        <v>-8.8377037037037027</v>
      </c>
      <c r="W236" s="206">
        <f t="shared" si="245"/>
        <v>-8.8871101421758283</v>
      </c>
      <c r="X236" s="206">
        <f t="shared" si="245"/>
        <v>-9.517212881492247</v>
      </c>
      <c r="Y236" s="206">
        <f t="shared" si="245"/>
        <v>-10.150361605227232</v>
      </c>
      <c r="Z236" s="206">
        <f t="shared" si="245"/>
        <v>-10.78654568785374</v>
      </c>
      <c r="AA236" s="206">
        <f t="shared" si="245"/>
        <v>-11.425754416340389</v>
      </c>
      <c r="AB236" s="206">
        <f t="shared" si="245"/>
        <v>-12.403112382782895</v>
      </c>
      <c r="AC236" s="206">
        <f t="shared" si="245"/>
        <v>-13.383138116370251</v>
      </c>
      <c r="AD236" s="206">
        <f t="shared" si="245"/>
        <v>-14.365822941436944</v>
      </c>
    </row>
    <row r="237" spans="1:31" outlineLevel="1">
      <c r="D237" s="70" t="s">
        <v>131</v>
      </c>
      <c r="H237" s="7"/>
      <c r="I237" s="7"/>
      <c r="J237" s="7">
        <f>J270</f>
        <v>12.262</v>
      </c>
      <c r="K237" s="7">
        <f t="shared" ref="K237:AD237" si="246">K270</f>
        <v>11.848000000000001</v>
      </c>
      <c r="L237" s="7">
        <f t="shared" si="246"/>
        <v>0</v>
      </c>
      <c r="M237" s="7">
        <f t="shared" si="246"/>
        <v>4.5250000000000004</v>
      </c>
      <c r="N237" s="7">
        <f t="shared" si="246"/>
        <v>37.025999999999996</v>
      </c>
      <c r="O237" s="7">
        <f t="shared" si="246"/>
        <v>5.2249999999999996</v>
      </c>
      <c r="P237" s="7">
        <f t="shared" si="246"/>
        <v>0</v>
      </c>
      <c r="Q237" s="7">
        <f t="shared" si="246"/>
        <v>0</v>
      </c>
      <c r="R237" s="7">
        <f t="shared" si="246"/>
        <v>25.805999999999997</v>
      </c>
      <c r="S237" s="7">
        <f t="shared" si="246"/>
        <v>10.191000000000001</v>
      </c>
      <c r="T237" s="7">
        <f t="shared" si="246"/>
        <v>43.284000000000006</v>
      </c>
      <c r="U237" s="7">
        <f>U270</f>
        <v>94.65100000000001</v>
      </c>
      <c r="V237" s="7">
        <f t="shared" si="246"/>
        <v>7.505544499798293</v>
      </c>
      <c r="W237" s="7">
        <f t="shared" si="246"/>
        <v>22.766818316054824</v>
      </c>
      <c r="X237" s="7">
        <f t="shared" si="246"/>
        <v>23.092058577712749</v>
      </c>
      <c r="Y237" s="7">
        <f t="shared" si="246"/>
        <v>23.417298839370673</v>
      </c>
      <c r="Z237" s="7">
        <f t="shared" si="246"/>
        <v>23.742539101028598</v>
      </c>
      <c r="AA237" s="7">
        <f t="shared" si="246"/>
        <v>32.398933757462629</v>
      </c>
      <c r="AB237" s="7">
        <f t="shared" si="246"/>
        <v>32.836757186617533</v>
      </c>
      <c r="AC237" s="7">
        <f t="shared" si="246"/>
        <v>33.274580615772436</v>
      </c>
      <c r="AD237" s="7">
        <f t="shared" si="246"/>
        <v>33.712404044927332</v>
      </c>
    </row>
    <row r="238" spans="1:31" outlineLevel="1">
      <c r="D238" s="70" t="s">
        <v>127</v>
      </c>
      <c r="H238" s="89"/>
      <c r="I238" s="89"/>
      <c r="J238" s="89">
        <f t="shared" ref="J238:T238" si="247">+J239-SUM(J234:J237)</f>
        <v>-1.7262665324899373</v>
      </c>
      <c r="K238" s="89">
        <f t="shared" ca="1" si="247"/>
        <v>-0.96331195734627784</v>
      </c>
      <c r="L238" s="89">
        <f t="shared" ca="1" si="247"/>
        <v>-1.3982303319167144</v>
      </c>
      <c r="M238" s="89">
        <f t="shared" si="247"/>
        <v>4.4038791300944879</v>
      </c>
      <c r="N238" s="89">
        <f t="shared" ca="1" si="247"/>
        <v>-1.5530120236055041</v>
      </c>
      <c r="O238" s="89">
        <f t="shared" ca="1" si="247"/>
        <v>7.066050833561647</v>
      </c>
      <c r="P238" s="89">
        <f t="shared" ca="1" si="247"/>
        <v>-2.6949247503169289</v>
      </c>
      <c r="Q238" s="89">
        <f t="shared" si="247"/>
        <v>-1.6895847905652772</v>
      </c>
      <c r="R238" s="89">
        <f t="shared" ca="1" si="247"/>
        <v>-2.9489435569960847</v>
      </c>
      <c r="S238" s="89">
        <f t="shared" ca="1" si="247"/>
        <v>-2.1429843356559815</v>
      </c>
      <c r="T238" s="89">
        <f t="shared" ca="1" si="247"/>
        <v>-3.52952659903994</v>
      </c>
      <c r="U238" s="89">
        <f ca="1">+U239-SUM(U234:U237)</f>
        <v>1.6736797139127759</v>
      </c>
      <c r="V238" s="203">
        <v>0</v>
      </c>
      <c r="W238" s="203">
        <v>0</v>
      </c>
      <c r="X238" s="203">
        <v>0</v>
      </c>
      <c r="Y238" s="203">
        <v>0</v>
      </c>
      <c r="Z238" s="203">
        <v>0</v>
      </c>
      <c r="AA238" s="203">
        <v>0</v>
      </c>
      <c r="AB238" s="203">
        <v>0</v>
      </c>
      <c r="AC238" s="203">
        <v>0</v>
      </c>
      <c r="AD238" s="203">
        <v>0</v>
      </c>
    </row>
    <row r="239" spans="1:31" s="3" customFormat="1" outlineLevel="1">
      <c r="A239" s="110"/>
      <c r="B239" s="143"/>
      <c r="D239" s="183" t="s">
        <v>344</v>
      </c>
      <c r="E239" s="2"/>
      <c r="F239" s="2"/>
      <c r="G239" s="173"/>
      <c r="H239" s="173"/>
      <c r="I239" s="173">
        <f t="shared" ref="I239:U239" si="248">I150</f>
        <v>36.676000000000002</v>
      </c>
      <c r="J239" s="173">
        <f t="shared" si="248"/>
        <v>46.033000000000001</v>
      </c>
      <c r="K239" s="173">
        <f t="shared" si="248"/>
        <v>55.533000000000001</v>
      </c>
      <c r="L239" s="173">
        <f t="shared" si="248"/>
        <v>52.502000000000002</v>
      </c>
      <c r="M239" s="173">
        <f t="shared" si="248"/>
        <v>59.337000000000003</v>
      </c>
      <c r="N239" s="173">
        <f t="shared" si="248"/>
        <v>92.046999999999997</v>
      </c>
      <c r="O239" s="173">
        <f t="shared" si="248"/>
        <v>101.035</v>
      </c>
      <c r="P239" s="173">
        <f t="shared" si="248"/>
        <v>94.786000000000001</v>
      </c>
      <c r="Q239" s="173">
        <f t="shared" si="248"/>
        <v>89.691999999999993</v>
      </c>
      <c r="R239" s="173">
        <f t="shared" si="248"/>
        <v>108.926</v>
      </c>
      <c r="S239" s="173">
        <f t="shared" si="248"/>
        <v>113.066</v>
      </c>
      <c r="T239" s="173">
        <f t="shared" si="248"/>
        <v>147.90299999999999</v>
      </c>
      <c r="U239" s="173">
        <f t="shared" si="248"/>
        <v>238.61799999999999</v>
      </c>
      <c r="V239" s="103">
        <f t="shared" ref="V239:AD239" si="249">SUM(V234:V238)</f>
        <v>237.28584079609459</v>
      </c>
      <c r="W239" s="103">
        <f t="shared" si="249"/>
        <v>251.25442007139532</v>
      </c>
      <c r="X239" s="103">
        <f t="shared" si="249"/>
        <v>264.92443789643073</v>
      </c>
      <c r="Y239" s="103">
        <f t="shared" si="249"/>
        <v>278.29287874662646</v>
      </c>
      <c r="Z239" s="103">
        <f t="shared" si="249"/>
        <v>291.35673761667988</v>
      </c>
      <c r="AA239" s="103">
        <f t="shared" si="249"/>
        <v>312.55843204612893</v>
      </c>
      <c r="AB239" s="103">
        <f t="shared" si="249"/>
        <v>333.24013909761919</v>
      </c>
      <c r="AC239" s="103">
        <f t="shared" si="249"/>
        <v>353.39924435934876</v>
      </c>
      <c r="AD239" s="103">
        <f t="shared" si="249"/>
        <v>373.03314192166789</v>
      </c>
      <c r="AE239"/>
    </row>
    <row r="240" spans="1:31" outlineLevel="1">
      <c r="D240" s="70" t="s">
        <v>222</v>
      </c>
      <c r="H240" s="68"/>
      <c r="I240" s="68"/>
      <c r="J240" s="92">
        <f t="shared" ref="J240:S240" si="250">-AVERAGE(I239:J239)/(J236*4)</f>
        <v>8.7709607684586537</v>
      </c>
      <c r="K240" s="92">
        <f t="shared" ca="1" si="250"/>
        <v>9.1686716494416416</v>
      </c>
      <c r="L240" s="92">
        <f t="shared" ca="1" si="250"/>
        <v>8.270838970111976</v>
      </c>
      <c r="M240" s="92">
        <f t="shared" si="250"/>
        <v>6.6765434542390159</v>
      </c>
      <c r="N240" s="92">
        <f t="shared" ca="1" si="250"/>
        <v>6.8487449680085755</v>
      </c>
      <c r="O240" s="92">
        <f t="shared" ca="1" si="250"/>
        <v>7.3069568759785604</v>
      </c>
      <c r="P240" s="92">
        <f t="shared" ca="1" si="250"/>
        <v>6.8871994204913873</v>
      </c>
      <c r="Q240" s="92">
        <f t="shared" si="250"/>
        <v>6.7734834270784656</v>
      </c>
      <c r="R240" s="92">
        <f t="shared" ca="1" si="250"/>
        <v>6.8525705824818708</v>
      </c>
      <c r="S240" s="92">
        <f t="shared" ca="1" si="250"/>
        <v>7.1005344868948406</v>
      </c>
      <c r="T240" s="92">
        <f ca="1">-AVERAGE(S239:T239)/(T236*4)</f>
        <v>6.6337166142334807</v>
      </c>
      <c r="U240" s="92">
        <f ca="1">-AVERAGE(T239:U239)/(U236*4)</f>
        <v>8.6128134695768352</v>
      </c>
      <c r="V240" s="100">
        <v>6.75</v>
      </c>
      <c r="W240" s="100">
        <f>MAX(V240-0.075,6)</f>
        <v>6.6749999999999998</v>
      </c>
      <c r="X240" s="100">
        <f t="shared" ref="X240:AD240" si="251">MAX(W240-0.075,6)</f>
        <v>6.6</v>
      </c>
      <c r="Y240" s="100">
        <f t="shared" si="251"/>
        <v>6.5249999999999995</v>
      </c>
      <c r="Z240" s="100">
        <f t="shared" si="251"/>
        <v>6.4499999999999993</v>
      </c>
      <c r="AA240" s="100">
        <f t="shared" si="251"/>
        <v>6.3749999999999991</v>
      </c>
      <c r="AB240" s="100">
        <f t="shared" si="251"/>
        <v>6.2999999999999989</v>
      </c>
      <c r="AC240" s="100">
        <f t="shared" si="251"/>
        <v>6.2249999999999988</v>
      </c>
      <c r="AD240" s="100">
        <f t="shared" si="251"/>
        <v>6.1499999999999986</v>
      </c>
    </row>
    <row r="241" spans="1:31" outlineLevel="1">
      <c r="D241" s="70" t="s">
        <v>349</v>
      </c>
      <c r="H241" s="68"/>
      <c r="I241" s="68"/>
      <c r="J241" s="87">
        <f t="shared" ref="J241:S241" si="252">-J235/J236</f>
        <v>0</v>
      </c>
      <c r="K241" s="87">
        <f t="shared" ca="1" si="252"/>
        <v>0</v>
      </c>
      <c r="L241" s="87">
        <f t="shared" ca="1" si="252"/>
        <v>0</v>
      </c>
      <c r="M241" s="87">
        <f t="shared" si="252"/>
        <v>0</v>
      </c>
      <c r="N241" s="87">
        <f t="shared" ca="1" si="252"/>
        <v>0</v>
      </c>
      <c r="O241" s="87">
        <f t="shared" ca="1" si="252"/>
        <v>0</v>
      </c>
      <c r="P241" s="87">
        <f t="shared" ca="1" si="252"/>
        <v>0</v>
      </c>
      <c r="Q241" s="87">
        <f t="shared" si="252"/>
        <v>0</v>
      </c>
      <c r="R241" s="87">
        <f t="shared" ca="1" si="252"/>
        <v>0</v>
      </c>
      <c r="S241" s="87">
        <f t="shared" ca="1" si="252"/>
        <v>0</v>
      </c>
      <c r="T241" s="87">
        <f ca="1">-T235/T236</f>
        <v>0</v>
      </c>
      <c r="U241" s="87">
        <f ca="1">-U235/U236</f>
        <v>0</v>
      </c>
      <c r="V241" s="17">
        <v>0</v>
      </c>
      <c r="W241" s="17">
        <f>V241+0.01</f>
        <v>0.01</v>
      </c>
      <c r="X241" s="17">
        <f>W241</f>
        <v>0.01</v>
      </c>
      <c r="Y241" s="17">
        <f>X241</f>
        <v>0.01</v>
      </c>
      <c r="Z241" s="17">
        <f>Y241</f>
        <v>0.01</v>
      </c>
      <c r="AA241" s="17">
        <f>Z241+0.01</f>
        <v>0.02</v>
      </c>
      <c r="AB241" s="17">
        <f>AA241</f>
        <v>0.02</v>
      </c>
      <c r="AC241" s="17">
        <f>AB241</f>
        <v>0.02</v>
      </c>
      <c r="AD241" s="17">
        <f>AC241</f>
        <v>0.02</v>
      </c>
    </row>
    <row r="242" spans="1:31" s="3" customFormat="1" outlineLevel="1">
      <c r="A242" s="96"/>
      <c r="B242" s="96"/>
      <c r="C242" s="96"/>
      <c r="D242" s="70" t="s">
        <v>391</v>
      </c>
      <c r="E242" s="96"/>
      <c r="F242" s="96"/>
      <c r="G242" s="96"/>
      <c r="H242" s="68"/>
      <c r="I242" s="68"/>
      <c r="J242" s="68">
        <f t="shared" ref="J242:AD242" si="253">J79*4/AVERAGE(I239:J239)</f>
        <v>13.162968963474349</v>
      </c>
      <c r="K242" s="68">
        <f t="shared" si="253"/>
        <v>13.437646456491345</v>
      </c>
      <c r="L242" s="68">
        <f t="shared" si="253"/>
        <v>11.698801314388858</v>
      </c>
      <c r="M242" s="68">
        <f t="shared" si="253"/>
        <v>10.336573109559277</v>
      </c>
      <c r="N242" s="68">
        <f t="shared" si="253"/>
        <v>11.346245309940288</v>
      </c>
      <c r="O242" s="68">
        <f t="shared" si="253"/>
        <v>10.007147222423635</v>
      </c>
      <c r="P242" s="68">
        <f t="shared" si="253"/>
        <v>9.3081743020411487</v>
      </c>
      <c r="Q242" s="68">
        <f t="shared" si="253"/>
        <v>8.2340441678682552</v>
      </c>
      <c r="R242" s="68">
        <f t="shared" si="253"/>
        <v>11.662870434703803</v>
      </c>
      <c r="S242" s="68">
        <f t="shared" si="253"/>
        <v>11.178853292010523</v>
      </c>
      <c r="T242" s="68">
        <f t="shared" si="253"/>
        <v>10.585379872705186</v>
      </c>
      <c r="U242" s="68">
        <f t="shared" si="253"/>
        <v>7.6031884425425789</v>
      </c>
      <c r="V242" s="68">
        <f t="shared" si="253"/>
        <v>8.3424805803991013</v>
      </c>
      <c r="W242" s="68">
        <f t="shared" si="253"/>
        <v>8.0696552616434207</v>
      </c>
      <c r="X242" s="68">
        <f t="shared" si="253"/>
        <v>7.8723140553275091</v>
      </c>
      <c r="Y242" s="68">
        <f t="shared" si="253"/>
        <v>7.6006044186385671</v>
      </c>
      <c r="Z242" s="68">
        <f t="shared" si="253"/>
        <v>8.8932098746763977</v>
      </c>
      <c r="AA242" s="68">
        <f t="shared" si="253"/>
        <v>8.57362827816908</v>
      </c>
      <c r="AB242" s="68">
        <f t="shared" si="253"/>
        <v>8.3883355194418545</v>
      </c>
      <c r="AC242" s="68">
        <f t="shared" si="253"/>
        <v>8.1243016053110431</v>
      </c>
      <c r="AD242" s="68">
        <f t="shared" si="253"/>
        <v>9.1510623234978752</v>
      </c>
      <c r="AE242"/>
    </row>
    <row r="243" spans="1:31" s="3" customFormat="1" outlineLevel="1">
      <c r="A243" s="96"/>
      <c r="B243" s="96"/>
      <c r="C243" s="96"/>
      <c r="D243" s="70"/>
      <c r="E243" s="96"/>
      <c r="F243" s="96"/>
      <c r="G243" s="96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/>
    </row>
    <row r="244" spans="1:31" s="3" customFormat="1" outlineLevel="1">
      <c r="A244" s="109" t="str">
        <f>D244</f>
        <v>PP&amp;E D&amp;A</v>
      </c>
      <c r="B244" s="96"/>
      <c r="C244" s="96"/>
      <c r="D244" s="144" t="s">
        <v>336</v>
      </c>
      <c r="E244" s="96"/>
      <c r="F244" s="96"/>
      <c r="G244" s="96"/>
      <c r="H244" s="68"/>
      <c r="I244" s="68"/>
      <c r="J244" s="7">
        <f t="shared" ref="J244:S244" si="254">J$248*J249</f>
        <v>0.91826653248993673</v>
      </c>
      <c r="K244" s="7">
        <f t="shared" ca="1" si="254"/>
        <v>0.88608404191719869</v>
      </c>
      <c r="L244" s="7">
        <f t="shared" ca="1" si="254"/>
        <v>0.92848889582781213</v>
      </c>
      <c r="M244" s="7">
        <f t="shared" si="254"/>
        <v>1.0581493263263824</v>
      </c>
      <c r="N244" s="7">
        <f t="shared" ca="1" si="254"/>
        <v>1.2556259563492633</v>
      </c>
      <c r="O244" s="7">
        <f t="shared" ca="1" si="254"/>
        <v>1.3460863765876248</v>
      </c>
      <c r="P244" s="7">
        <f t="shared" ca="1" si="254"/>
        <v>1.2942219003079836</v>
      </c>
      <c r="Q244" s="7">
        <f t="shared" si="254"/>
        <v>1.1027881252541685</v>
      </c>
      <c r="R244" s="7">
        <f t="shared" ca="1" si="254"/>
        <v>1.1046503280181843</v>
      </c>
      <c r="S244" s="7">
        <f t="shared" ca="1" si="254"/>
        <v>1.1553270841338501</v>
      </c>
      <c r="T244" s="7">
        <f ca="1">T$248*T249</f>
        <v>1.431275219260344</v>
      </c>
      <c r="U244" s="7">
        <f ca="1">U$248*U249</f>
        <v>1.6200116266652282</v>
      </c>
      <c r="V244" s="206">
        <f t="shared" ref="V244:AD244" si="255">-V217</f>
        <v>1.6388477928617742</v>
      </c>
      <c r="W244" s="206">
        <f t="shared" si="255"/>
        <v>1.686441338368041</v>
      </c>
      <c r="X244" s="206">
        <f t="shared" si="255"/>
        <v>1.842561043457198</v>
      </c>
      <c r="Y244" s="206">
        <f t="shared" si="255"/>
        <v>2.0018311159103002</v>
      </c>
      <c r="Z244" s="206">
        <f t="shared" si="255"/>
        <v>2.1642735102776576</v>
      </c>
      <c r="AA244" s="206">
        <f t="shared" si="255"/>
        <v>2.3299103341083316</v>
      </c>
      <c r="AB244" s="206">
        <f t="shared" si="255"/>
        <v>2.5678295635129338</v>
      </c>
      <c r="AC244" s="206">
        <f t="shared" si="255"/>
        <v>2.8118411469389053</v>
      </c>
      <c r="AD244" s="206">
        <f t="shared" si="255"/>
        <v>3.0620299982247992</v>
      </c>
      <c r="AE244"/>
    </row>
    <row r="245" spans="1:31" s="3" customFormat="1" outlineLevel="1">
      <c r="A245" s="109" t="str">
        <f>D245</f>
        <v>ROU D&amp;A</v>
      </c>
      <c r="B245" s="96"/>
      <c r="C245" s="96"/>
      <c r="D245" s="144" t="s">
        <v>337</v>
      </c>
      <c r="E245" s="96"/>
      <c r="F245" s="96"/>
      <c r="G245" s="96"/>
      <c r="H245" s="68"/>
      <c r="I245" s="68"/>
      <c r="J245" s="7">
        <f t="shared" ref="J245:T245" si="256">J$248*J250</f>
        <v>0</v>
      </c>
      <c r="K245" s="7">
        <f t="shared" ca="1" si="256"/>
        <v>1.2002279154290814</v>
      </c>
      <c r="L245" s="7">
        <f t="shared" ca="1" si="256"/>
        <v>1.2897414360889063</v>
      </c>
      <c r="M245" s="7">
        <f t="shared" si="256"/>
        <v>1.5109715435791358</v>
      </c>
      <c r="N245" s="7">
        <f t="shared" ca="1" si="256"/>
        <v>1.8482564136646111</v>
      </c>
      <c r="O245" s="7">
        <f t="shared" ca="1" si="256"/>
        <v>2.0491633924608053</v>
      </c>
      <c r="P245" s="7">
        <f t="shared" ca="1" si="256"/>
        <v>2.0453681980809675</v>
      </c>
      <c r="Q245" s="7">
        <f t="shared" si="256"/>
        <v>1.8175404636030907</v>
      </c>
      <c r="R245" s="7">
        <f t="shared" ca="1" si="256"/>
        <v>1.8629070779187162</v>
      </c>
      <c r="S245" s="7">
        <f t="shared" ca="1" si="256"/>
        <v>1.9719624384051901</v>
      </c>
      <c r="T245" s="7">
        <f t="shared" ca="1" si="256"/>
        <v>2.458069145685911</v>
      </c>
      <c r="U245" s="7">
        <f ca="1">U$248*U250</f>
        <v>2.7908987459316505</v>
      </c>
      <c r="V245" s="206">
        <f t="shared" ref="V245:AD245" si="257">-V227</f>
        <v>1.9371227165741451</v>
      </c>
      <c r="W245" s="206">
        <f t="shared" si="257"/>
        <v>2.5941768934520333</v>
      </c>
      <c r="X245" s="206">
        <f t="shared" si="257"/>
        <v>2.4639696791462429</v>
      </c>
      <c r="Y245" s="206">
        <f t="shared" si="257"/>
        <v>2.424260331008619</v>
      </c>
      <c r="Z245" s="206">
        <f t="shared" si="257"/>
        <v>2.3458976915671625</v>
      </c>
      <c r="AA245" s="206">
        <f t="shared" si="257"/>
        <v>2.8784168144021463</v>
      </c>
      <c r="AB245" s="206">
        <f t="shared" si="257"/>
        <v>2.9419001001342813</v>
      </c>
      <c r="AC245" s="206">
        <f t="shared" si="257"/>
        <v>3.0779403935965339</v>
      </c>
      <c r="AD245" s="206">
        <f t="shared" si="257"/>
        <v>3.1695826393688806</v>
      </c>
      <c r="AE245"/>
    </row>
    <row r="246" spans="1:31" s="3" customFormat="1" outlineLevel="1">
      <c r="A246" s="109" t="str">
        <f>D246</f>
        <v>Intangible D&amp;A</v>
      </c>
      <c r="B246" s="96"/>
      <c r="C246" s="96"/>
      <c r="D246" s="144" t="s">
        <v>338</v>
      </c>
      <c r="E246" s="96"/>
      <c r="F246" s="96"/>
      <c r="G246" s="96"/>
      <c r="H246" s="68"/>
      <c r="I246" s="68"/>
      <c r="J246" s="7">
        <f t="shared" ref="J246:T246" si="258">J$248*J251</f>
        <v>1.1787334675100636</v>
      </c>
      <c r="K246" s="7">
        <f t="shared" ca="1" si="258"/>
        <v>1.38468804265372</v>
      </c>
      <c r="L246" s="7">
        <f t="shared" ca="1" si="258"/>
        <v>1.6327696680832813</v>
      </c>
      <c r="M246" s="7">
        <f t="shared" si="258"/>
        <v>2.0938791300944821</v>
      </c>
      <c r="N246" s="7">
        <f t="shared" ca="1" si="258"/>
        <v>2.7629879763944962</v>
      </c>
      <c r="O246" s="7">
        <f t="shared" ca="1" si="258"/>
        <v>3.303050833561648</v>
      </c>
      <c r="P246" s="7">
        <f t="shared" ca="1" si="258"/>
        <v>3.5540752496830668</v>
      </c>
      <c r="Q246" s="7">
        <f t="shared" si="258"/>
        <v>3.4044152094347293</v>
      </c>
      <c r="R246" s="7">
        <f t="shared" ca="1" si="258"/>
        <v>3.6230564430039101</v>
      </c>
      <c r="S246" s="7">
        <f t="shared" ca="1" si="258"/>
        <v>3.9080156643440254</v>
      </c>
      <c r="T246" s="7">
        <f t="shared" ca="1" si="258"/>
        <v>4.9174734009600645</v>
      </c>
      <c r="U246" s="7">
        <f ca="1">U$248*U251</f>
        <v>5.6096797139127892</v>
      </c>
      <c r="V246" s="206">
        <f t="shared" ref="V246:AD246" si="259">-V236</f>
        <v>8.8377037037037027</v>
      </c>
      <c r="W246" s="206">
        <f t="shared" si="259"/>
        <v>8.8871101421758283</v>
      </c>
      <c r="X246" s="206">
        <f t="shared" si="259"/>
        <v>9.517212881492247</v>
      </c>
      <c r="Y246" s="206">
        <f t="shared" si="259"/>
        <v>10.150361605227232</v>
      </c>
      <c r="Z246" s="206">
        <f t="shared" si="259"/>
        <v>10.78654568785374</v>
      </c>
      <c r="AA246" s="206">
        <f t="shared" si="259"/>
        <v>11.425754416340389</v>
      </c>
      <c r="AB246" s="206">
        <f t="shared" si="259"/>
        <v>12.403112382782895</v>
      </c>
      <c r="AC246" s="206">
        <f t="shared" si="259"/>
        <v>13.383138116370251</v>
      </c>
      <c r="AD246" s="206">
        <f t="shared" si="259"/>
        <v>14.365822941436944</v>
      </c>
      <c r="AE246"/>
    </row>
    <row r="247" spans="1:31" s="3" customFormat="1" outlineLevel="1">
      <c r="A247" s="109" t="str">
        <f>D247</f>
        <v>Other D&amp;A</v>
      </c>
      <c r="B247" s="96"/>
      <c r="C247" s="96"/>
      <c r="D247" s="144" t="s">
        <v>339</v>
      </c>
      <c r="E247" s="96"/>
      <c r="F247" s="96"/>
      <c r="G247" s="96"/>
      <c r="H247" s="68"/>
      <c r="I247" s="68"/>
      <c r="J247" s="92">
        <f t="shared" ref="J247:T247" si="260">J$248*J252</f>
        <v>0</v>
      </c>
      <c r="K247" s="92">
        <f t="shared" si="260"/>
        <v>0</v>
      </c>
      <c r="L247" s="92">
        <f t="shared" si="260"/>
        <v>0</v>
      </c>
      <c r="M247" s="92">
        <f t="shared" si="260"/>
        <v>0</v>
      </c>
      <c r="N247" s="92">
        <f t="shared" ca="1" si="260"/>
        <v>3.5129653591629915E-2</v>
      </c>
      <c r="O247" s="92">
        <f t="shared" ca="1" si="260"/>
        <v>8.0699397389921768E-2</v>
      </c>
      <c r="P247" s="92">
        <f t="shared" ca="1" si="260"/>
        <v>0.12533465192798224</v>
      </c>
      <c r="Q247" s="92">
        <f t="shared" si="260"/>
        <v>0.15425620170801099</v>
      </c>
      <c r="R247" s="92">
        <f t="shared" ca="1" si="260"/>
        <v>0.18138615105918837</v>
      </c>
      <c r="S247" s="92">
        <f t="shared" ca="1" si="260"/>
        <v>0.20469481311693538</v>
      </c>
      <c r="T247" s="92">
        <f t="shared" ca="1" si="260"/>
        <v>0.26318223409368113</v>
      </c>
      <c r="U247" s="92">
        <f ca="1">U$248*U252</f>
        <v>0.30340991349033153</v>
      </c>
      <c r="V247" s="203">
        <v>0</v>
      </c>
      <c r="W247" s="203">
        <v>0</v>
      </c>
      <c r="X247" s="203">
        <v>0</v>
      </c>
      <c r="Y247" s="203">
        <v>0</v>
      </c>
      <c r="Z247" s="203">
        <v>0</v>
      </c>
      <c r="AA247" s="203">
        <v>0</v>
      </c>
      <c r="AB247" s="203">
        <v>0</v>
      </c>
      <c r="AC247" s="203">
        <v>0</v>
      </c>
      <c r="AD247" s="203">
        <v>0</v>
      </c>
      <c r="AE247"/>
    </row>
    <row r="248" spans="1:31" s="3" customFormat="1" outlineLevel="1">
      <c r="A248" s="110"/>
      <c r="B248" s="143"/>
      <c r="D248" s="183" t="s">
        <v>340</v>
      </c>
      <c r="E248" s="2"/>
      <c r="F248" s="2"/>
      <c r="G248" s="173"/>
      <c r="H248" s="173"/>
      <c r="I248" s="173"/>
      <c r="J248" s="173">
        <f t="shared" ref="J248:U248" si="261">J19</f>
        <v>2.0970000000000004</v>
      </c>
      <c r="K248" s="173">
        <f t="shared" si="261"/>
        <v>3.4710000000000001</v>
      </c>
      <c r="L248" s="173">
        <f t="shared" si="261"/>
        <v>3.851</v>
      </c>
      <c r="M248" s="173">
        <f t="shared" si="261"/>
        <v>4.6630000000000003</v>
      </c>
      <c r="N248" s="173">
        <f t="shared" si="261"/>
        <v>5.902000000000001</v>
      </c>
      <c r="O248" s="173">
        <f t="shared" si="261"/>
        <v>6.7789999999999999</v>
      </c>
      <c r="P248" s="173">
        <f t="shared" si="261"/>
        <v>7.0190000000000001</v>
      </c>
      <c r="Q248" s="173">
        <f t="shared" si="261"/>
        <v>6.4790000000000001</v>
      </c>
      <c r="R248" s="173">
        <f t="shared" si="261"/>
        <v>6.7719999999999985</v>
      </c>
      <c r="S248" s="173">
        <f t="shared" si="261"/>
        <v>7.24</v>
      </c>
      <c r="T248" s="173">
        <f t="shared" si="261"/>
        <v>9.07</v>
      </c>
      <c r="U248" s="173">
        <f t="shared" si="261"/>
        <v>10.324</v>
      </c>
      <c r="V248" s="103">
        <f t="shared" ref="V248:AD248" si="262">SUM(V244:V247)</f>
        <v>12.413674213139622</v>
      </c>
      <c r="W248" s="103">
        <f t="shared" si="262"/>
        <v>13.167728373995903</v>
      </c>
      <c r="X248" s="103">
        <f t="shared" si="262"/>
        <v>13.823743604095688</v>
      </c>
      <c r="Y248" s="103">
        <f t="shared" si="262"/>
        <v>14.576453052146151</v>
      </c>
      <c r="Z248" s="103">
        <f t="shared" si="262"/>
        <v>15.29671688969856</v>
      </c>
      <c r="AA248" s="103">
        <f t="shared" si="262"/>
        <v>16.634081564850867</v>
      </c>
      <c r="AB248" s="103">
        <f t="shared" si="262"/>
        <v>17.912842046430111</v>
      </c>
      <c r="AC248" s="103">
        <f t="shared" si="262"/>
        <v>19.272919656905692</v>
      </c>
      <c r="AD248" s="103">
        <f t="shared" si="262"/>
        <v>20.597435579030623</v>
      </c>
      <c r="AE248"/>
    </row>
    <row r="249" spans="1:31" s="3" customFormat="1" outlineLevel="1">
      <c r="A249" s="110"/>
      <c r="B249" s="36"/>
      <c r="C249"/>
      <c r="D249" s="208" t="str">
        <f>"% - "&amp;D244</f>
        <v>% - PP&amp;E D&amp;A</v>
      </c>
      <c r="E249"/>
      <c r="F249"/>
      <c r="G249" s="7"/>
      <c r="H249" s="7"/>
      <c r="I249" s="7"/>
      <c r="J249" s="210">
        <f>Model!Z231</f>
        <v>0.43789534215066123</v>
      </c>
      <c r="K249" s="215">
        <f ca="1">L249-M249+L249</f>
        <v>0.25528206335845538</v>
      </c>
      <c r="L249" s="215">
        <f ca="1">M249-N249+M249</f>
        <v>0.24110332272859314</v>
      </c>
      <c r="M249" s="210">
        <f>Model!AA231</f>
        <v>0.22692458209873093</v>
      </c>
      <c r="N249" s="215">
        <f t="shared" ref="N249:P250" ca="1" si="263">IFERROR(AVERAGE(O249,M249),0)</f>
        <v>0.21274584146886871</v>
      </c>
      <c r="O249" s="215">
        <f t="shared" ca="1" si="263"/>
        <v>0.19856710083900647</v>
      </c>
      <c r="P249" s="215">
        <f t="shared" ca="1" si="263"/>
        <v>0.18438836020914426</v>
      </c>
      <c r="Q249" s="210">
        <f>Model!AB231</f>
        <v>0.17020961957928205</v>
      </c>
      <c r="R249" s="215">
        <f ca="1">(Q249-P249)/2+Q249</f>
        <v>0.16312024926435092</v>
      </c>
      <c r="S249" s="215">
        <f t="shared" ref="S249:U252" ca="1" si="264">(R249-Q249)/2+R249</f>
        <v>0.15957556410688536</v>
      </c>
      <c r="T249" s="215">
        <f t="shared" ca="1" si="264"/>
        <v>0.15780322152815257</v>
      </c>
      <c r="U249" s="215">
        <f t="shared" ca="1" si="264"/>
        <v>0.15691705023878616</v>
      </c>
      <c r="V249" s="194">
        <f t="shared" ref="V249:AD249" si="265">V244/V$248</f>
        <v>0.1320195588125784</v>
      </c>
      <c r="W249" s="194">
        <f t="shared" si="265"/>
        <v>0.12807382492021063</v>
      </c>
      <c r="X249" s="194">
        <f t="shared" si="265"/>
        <v>0.13328958466151566</v>
      </c>
      <c r="Y249" s="194">
        <f t="shared" si="265"/>
        <v>0.13733321191025702</v>
      </c>
      <c r="Z249" s="194">
        <f t="shared" si="265"/>
        <v>0.14148614541824781</v>
      </c>
      <c r="AA249" s="194">
        <f t="shared" si="265"/>
        <v>0.14006846876545423</v>
      </c>
      <c r="AB249" s="194">
        <f t="shared" si="265"/>
        <v>0.14335132062556663</v>
      </c>
      <c r="AC249" s="194">
        <f t="shared" si="265"/>
        <v>0.1458959616391797</v>
      </c>
      <c r="AD249" s="194">
        <f t="shared" si="265"/>
        <v>0.14866073917192499</v>
      </c>
      <c r="AE249"/>
    </row>
    <row r="250" spans="1:31" s="3" customFormat="1" outlineLevel="1">
      <c r="A250" s="110"/>
      <c r="B250" s="36"/>
      <c r="C250"/>
      <c r="D250" s="208" t="str">
        <f>"% - "&amp;D245</f>
        <v>% - ROU D&amp;A</v>
      </c>
      <c r="E250"/>
      <c r="F250"/>
      <c r="G250" s="7"/>
      <c r="H250" s="7"/>
      <c r="I250" s="7"/>
      <c r="J250" s="210">
        <f>Model!Z232</f>
        <v>0</v>
      </c>
      <c r="K250" s="215">
        <f ca="1">L250-M250+L250</f>
        <v>0.34578735679316663</v>
      </c>
      <c r="L250" s="215">
        <f ca="1">M250-N250+M250</f>
        <v>0.33491078579301647</v>
      </c>
      <c r="M250" s="210">
        <f>Model!AA232</f>
        <v>0.32403421479286632</v>
      </c>
      <c r="N250" s="215">
        <f t="shared" ca="1" si="263"/>
        <v>0.31315764379271616</v>
      </c>
      <c r="O250" s="215">
        <f t="shared" ca="1" si="263"/>
        <v>0.30228107279256605</v>
      </c>
      <c r="P250" s="215">
        <f t="shared" ca="1" si="263"/>
        <v>0.29140450179241595</v>
      </c>
      <c r="Q250" s="210">
        <f>Model!AB232</f>
        <v>0.2805279307922659</v>
      </c>
      <c r="R250" s="215">
        <f ca="1">(Q250-P250)/2+Q250</f>
        <v>0.27508964529219088</v>
      </c>
      <c r="S250" s="215">
        <f t="shared" ca="1" si="264"/>
        <v>0.27237050254215334</v>
      </c>
      <c r="T250" s="215">
        <f t="shared" ca="1" si="264"/>
        <v>0.27101093116713459</v>
      </c>
      <c r="U250" s="215">
        <f t="shared" ca="1" si="264"/>
        <v>0.27033114547962522</v>
      </c>
      <c r="V250" s="194">
        <f t="shared" ref="V250:AD250" si="266">V245/V$248</f>
        <v>0.15604749112263153</v>
      </c>
      <c r="W250" s="194">
        <f t="shared" si="266"/>
        <v>0.19701020705857708</v>
      </c>
      <c r="X250" s="194">
        <f t="shared" si="266"/>
        <v>0.1782418532716579</v>
      </c>
      <c r="Y250" s="194">
        <f t="shared" si="266"/>
        <v>0.16631345927133387</v>
      </c>
      <c r="Z250" s="194">
        <f t="shared" si="266"/>
        <v>0.1533595547647866</v>
      </c>
      <c r="AA250" s="194">
        <f t="shared" si="266"/>
        <v>0.17304332692972177</v>
      </c>
      <c r="AB250" s="194">
        <f t="shared" si="266"/>
        <v>0.16423413395310874</v>
      </c>
      <c r="AC250" s="194">
        <f t="shared" si="266"/>
        <v>0.15970286019916421</v>
      </c>
      <c r="AD250" s="194">
        <f t="shared" si="266"/>
        <v>0.15388239119415906</v>
      </c>
      <c r="AE250"/>
    </row>
    <row r="251" spans="1:31" s="3" customFormat="1" outlineLevel="1">
      <c r="A251" s="110"/>
      <c r="B251" s="36"/>
      <c r="C251"/>
      <c r="D251" s="208" t="str">
        <f>"% - "&amp;D246</f>
        <v>% - Intangible D&amp;A</v>
      </c>
      <c r="E251"/>
      <c r="F251"/>
      <c r="G251"/>
      <c r="H251"/>
      <c r="I251"/>
      <c r="J251" s="210">
        <f>Model!Z233</f>
        <v>0.56210465784933872</v>
      </c>
      <c r="K251" s="215">
        <f ca="1">1-SUM(K249:K250,K252)</f>
        <v>0.39893057984837799</v>
      </c>
      <c r="L251" s="215">
        <f ca="1">1-SUM(L249:L250,L252)</f>
        <v>0.42398589147839039</v>
      </c>
      <c r="M251" s="210">
        <f>Model!AA233</f>
        <v>0.44904120310840273</v>
      </c>
      <c r="N251" s="215">
        <f ca="1">1-SUM(N249:N250,N252)</f>
        <v>0.46814435384522124</v>
      </c>
      <c r="O251" s="215">
        <f ca="1">1-SUM(O249:O250,O252)</f>
        <v>0.4872475045820398</v>
      </c>
      <c r="P251" s="215">
        <f ca="1">1-SUM(P249:P250,P252)</f>
        <v>0.50635065531885837</v>
      </c>
      <c r="Q251" s="210">
        <f>Model!AB233</f>
        <v>0.52545380605567671</v>
      </c>
      <c r="R251" s="215">
        <f ca="1">1-SUM(R249:R250,R252)</f>
        <v>0.53500538142408605</v>
      </c>
      <c r="S251" s="215">
        <f ca="1">1-SUM(S249:S250,S252)</f>
        <v>0.53978116910829077</v>
      </c>
      <c r="T251" s="215">
        <f ca="1">1-SUM(T249:T250,T252)</f>
        <v>0.54216906295039302</v>
      </c>
      <c r="U251" s="215">
        <f ca="1">1-SUM(U249:U250,U252)</f>
        <v>0.54336300987144415</v>
      </c>
      <c r="V251" s="194">
        <f t="shared" ref="V251:AD251" si="267">V246/V$248</f>
        <v>0.71193295006479007</v>
      </c>
      <c r="W251" s="194">
        <f t="shared" si="267"/>
        <v>0.67491596802121223</v>
      </c>
      <c r="X251" s="194">
        <f t="shared" si="267"/>
        <v>0.68846856206682649</v>
      </c>
      <c r="Y251" s="194">
        <f t="shared" si="267"/>
        <v>0.69635332881840917</v>
      </c>
      <c r="Z251" s="194">
        <f t="shared" si="267"/>
        <v>0.70515429981696565</v>
      </c>
      <c r="AA251" s="194">
        <f t="shared" si="267"/>
        <v>0.686888204304824</v>
      </c>
      <c r="AB251" s="194">
        <f t="shared" si="267"/>
        <v>0.69241454542132463</v>
      </c>
      <c r="AC251" s="194">
        <f t="shared" si="267"/>
        <v>0.69440117816165592</v>
      </c>
      <c r="AD251" s="194">
        <f t="shared" si="267"/>
        <v>0.69745686963391595</v>
      </c>
      <c r="AE251"/>
    </row>
    <row r="252" spans="1:31" s="3" customFormat="1" outlineLevel="1">
      <c r="A252" s="110"/>
      <c r="B252" s="36"/>
      <c r="C252"/>
      <c r="D252" s="208" t="str">
        <f>"% - "&amp;D247</f>
        <v>% - Other D&amp;A</v>
      </c>
      <c r="E252"/>
      <c r="F252"/>
      <c r="G252"/>
      <c r="H252"/>
      <c r="I252"/>
      <c r="J252" s="210">
        <f>Model!Z234</f>
        <v>0</v>
      </c>
      <c r="K252" s="215">
        <v>0</v>
      </c>
      <c r="L252" s="215">
        <v>0</v>
      </c>
      <c r="M252" s="210">
        <f>Model!AA234</f>
        <v>0</v>
      </c>
      <c r="N252" s="215">
        <f ca="1">IFERROR(AVERAGE(O252,M252),0)</f>
        <v>5.9521608931938173E-3</v>
      </c>
      <c r="O252" s="215">
        <f ca="1">IFERROR(AVERAGE(P252,N252),0)</f>
        <v>1.1904321786387635E-2</v>
      </c>
      <c r="P252" s="215">
        <f ca="1">IFERROR(AVERAGE(Q252,O252),0)</f>
        <v>1.7856482679581454E-2</v>
      </c>
      <c r="Q252" s="210">
        <f>Model!AB234</f>
        <v>2.3808643572775273E-2</v>
      </c>
      <c r="R252" s="215">
        <f ca="1">(Q252-P252)/2+Q252</f>
        <v>2.678472401937218E-2</v>
      </c>
      <c r="S252" s="215">
        <f t="shared" ca="1" si="264"/>
        <v>2.8272764242670632E-2</v>
      </c>
      <c r="T252" s="215">
        <f t="shared" ca="1" si="264"/>
        <v>2.9016784354319859E-2</v>
      </c>
      <c r="U252" s="215">
        <f t="shared" ca="1" si="264"/>
        <v>2.938879441014447E-2</v>
      </c>
      <c r="V252" s="194">
        <f t="shared" ref="V252:AD252" si="268">V247/V$248</f>
        <v>0</v>
      </c>
      <c r="W252" s="194">
        <f t="shared" si="268"/>
        <v>0</v>
      </c>
      <c r="X252" s="194">
        <f t="shared" si="268"/>
        <v>0</v>
      </c>
      <c r="Y252" s="194">
        <f t="shared" si="268"/>
        <v>0</v>
      </c>
      <c r="Z252" s="194">
        <f t="shared" si="268"/>
        <v>0</v>
      </c>
      <c r="AA252" s="194">
        <f t="shared" si="268"/>
        <v>0</v>
      </c>
      <c r="AB252" s="194">
        <f t="shared" si="268"/>
        <v>0</v>
      </c>
      <c r="AC252" s="194">
        <f t="shared" si="268"/>
        <v>0</v>
      </c>
      <c r="AD252" s="194">
        <f t="shared" si="268"/>
        <v>0</v>
      </c>
      <c r="AE252"/>
    </row>
    <row r="253" spans="1:31" s="3" customFormat="1" outlineLevel="1">
      <c r="A253" s="110"/>
      <c r="B253" s="36"/>
      <c r="C253"/>
      <c r="D253" s="151"/>
      <c r="E253"/>
      <c r="F253"/>
      <c r="G253"/>
      <c r="H253"/>
      <c r="I253"/>
      <c r="J253" s="101"/>
      <c r="K253" s="101"/>
      <c r="L253" s="7"/>
      <c r="M253" s="7"/>
      <c r="N253" s="7"/>
      <c r="O253" s="7"/>
      <c r="P253" s="7"/>
      <c r="Q253" s="7"/>
      <c r="R253" s="7"/>
      <c r="S253" s="7"/>
      <c r="T253" s="7"/>
      <c r="U253" s="79"/>
      <c r="V253" s="79"/>
      <c r="W253" s="79"/>
      <c r="X253" s="79"/>
      <c r="Y253" s="79"/>
      <c r="Z253" s="79"/>
      <c r="AA253" s="79"/>
      <c r="AB253" s="79"/>
      <c r="AC253" s="79"/>
      <c r="AD253" s="79"/>
      <c r="AE253"/>
    </row>
    <row r="254" spans="1:31" s="3" customFormat="1" outlineLevel="1">
      <c r="A254" s="110"/>
      <c r="B254" s="143"/>
      <c r="D254" s="268" t="s">
        <v>355</v>
      </c>
      <c r="I254" s="64"/>
      <c r="J254" s="64">
        <f>I258</f>
        <v>19.393000000000001</v>
      </c>
      <c r="K254" s="64">
        <f t="shared" ref="K254:AD254" si="269">J258</f>
        <v>19.286000000000001</v>
      </c>
      <c r="L254" s="64">
        <f t="shared" si="269"/>
        <v>15.186</v>
      </c>
      <c r="M254" s="64">
        <f t="shared" si="269"/>
        <v>14.654</v>
      </c>
      <c r="N254" s="64">
        <f t="shared" si="269"/>
        <v>21.302</v>
      </c>
      <c r="O254" s="64">
        <f t="shared" si="269"/>
        <v>35.015000000000001</v>
      </c>
      <c r="P254" s="64">
        <f t="shared" si="269"/>
        <v>40.616</v>
      </c>
      <c r="Q254" s="64">
        <f t="shared" si="269"/>
        <v>34.234000000000002</v>
      </c>
      <c r="R254" s="64">
        <f t="shared" si="269"/>
        <v>30.121000000000002</v>
      </c>
      <c r="S254" s="64">
        <f t="shared" si="269"/>
        <v>30.916</v>
      </c>
      <c r="T254" s="64">
        <f t="shared" si="269"/>
        <v>32.712000000000003</v>
      </c>
      <c r="U254" s="64">
        <f t="shared" si="269"/>
        <v>50.349000000000004</v>
      </c>
      <c r="V254" s="64">
        <f t="shared" si="269"/>
        <v>106.15300000000001</v>
      </c>
      <c r="W254" s="64">
        <f t="shared" si="269"/>
        <v>102.53577582868317</v>
      </c>
      <c r="X254" s="64">
        <f t="shared" si="269"/>
        <v>102.84286590082826</v>
      </c>
      <c r="Y254" s="64">
        <f t="shared" si="269"/>
        <v>101.17545261519143</v>
      </c>
      <c r="Z254" s="64">
        <f t="shared" si="269"/>
        <v>98.112668370341808</v>
      </c>
      <c r="AA254" s="64">
        <f t="shared" si="269"/>
        <v>95.420516693624862</v>
      </c>
      <c r="AB254" s="64">
        <f t="shared" si="269"/>
        <v>96.386455580040902</v>
      </c>
      <c r="AC254" s="64">
        <f t="shared" si="269"/>
        <v>97.720309532753745</v>
      </c>
      <c r="AD254" s="64">
        <f t="shared" si="269"/>
        <v>99.332040534612915</v>
      </c>
    </row>
    <row r="255" spans="1:31" s="3" customFormat="1" outlineLevel="1">
      <c r="A255" s="110"/>
      <c r="B255" s="36"/>
      <c r="C255"/>
      <c r="D255" s="144" t="s">
        <v>354</v>
      </c>
      <c r="E255"/>
      <c r="F255"/>
      <c r="G255"/>
      <c r="H255"/>
      <c r="I255" s="7">
        <f t="shared" ref="I255:U255" si="270">I128</f>
        <v>0</v>
      </c>
      <c r="J255" s="7">
        <f t="shared" si="270"/>
        <v>-9.3990000000000009</v>
      </c>
      <c r="K255" s="7">
        <f t="shared" si="270"/>
        <v>-9.7420000000000009</v>
      </c>
      <c r="L255" s="7">
        <f t="shared" si="270"/>
        <v>-0.40100000000000002</v>
      </c>
      <c r="M255" s="7">
        <f t="shared" si="270"/>
        <v>-7.0000000000000001E-3</v>
      </c>
      <c r="N255" s="7">
        <f t="shared" si="270"/>
        <v>4.2670000000000003</v>
      </c>
      <c r="O255" s="7">
        <f t="shared" si="270"/>
        <v>-4.117</v>
      </c>
      <c r="P255" s="7">
        <f t="shared" si="270"/>
        <v>-4.484</v>
      </c>
      <c r="Q255" s="7">
        <f t="shared" si="270"/>
        <v>-4.306</v>
      </c>
      <c r="R255" s="7">
        <f t="shared" si="270"/>
        <v>-4.9909999999999997</v>
      </c>
      <c r="S255" s="7">
        <f t="shared" si="270"/>
        <v>-6.625</v>
      </c>
      <c r="T255" s="7">
        <f t="shared" si="270"/>
        <v>-2.758</v>
      </c>
      <c r="U255" s="7">
        <f t="shared" si="270"/>
        <v>-1.879</v>
      </c>
      <c r="V255" s="206">
        <f t="shared" ref="V255:AD255" si="271">-AVERAGE(S254:V254)*V259</f>
        <v>-6.6038999999999994</v>
      </c>
      <c r="W255" s="206">
        <f t="shared" si="271"/>
        <v>-8.7524932748604947</v>
      </c>
      <c r="X255" s="206">
        <f t="shared" si="271"/>
        <v>-10.856419251885342</v>
      </c>
      <c r="Y255" s="206">
        <f t="shared" si="271"/>
        <v>-12.381212830341084</v>
      </c>
      <c r="Z255" s="206">
        <f t="shared" si="271"/>
        <v>-12.140002881451339</v>
      </c>
      <c r="AA255" s="206">
        <f t="shared" si="271"/>
        <v>-11.926545107399589</v>
      </c>
      <c r="AB255" s="206">
        <f t="shared" si="271"/>
        <v>-11.732852797775969</v>
      </c>
      <c r="AC255" s="206">
        <f t="shared" si="271"/>
        <v>-11.629198505302838</v>
      </c>
      <c r="AD255" s="206">
        <f t="shared" si="271"/>
        <v>-11.665779670230974</v>
      </c>
      <c r="AE255"/>
    </row>
    <row r="256" spans="1:31" s="3" customFormat="1" outlineLevel="1">
      <c r="A256" s="110"/>
      <c r="B256" s="36"/>
      <c r="C256"/>
      <c r="D256" s="144" t="s">
        <v>131</v>
      </c>
      <c r="E256"/>
      <c r="F256"/>
      <c r="G256"/>
      <c r="H256"/>
      <c r="I256"/>
      <c r="J256" s="7">
        <f t="shared" ref="J256:S256" si="272">-J266</f>
        <v>6.5860000000000003</v>
      </c>
      <c r="K256" s="7">
        <f t="shared" si="272"/>
        <v>0</v>
      </c>
      <c r="L256" s="7">
        <f t="shared" si="272"/>
        <v>0</v>
      </c>
      <c r="M256" s="7">
        <f t="shared" si="272"/>
        <v>5.2160000000000002</v>
      </c>
      <c r="N256" s="7">
        <f t="shared" si="272"/>
        <v>18.276</v>
      </c>
      <c r="O256" s="7">
        <f t="shared" si="272"/>
        <v>7.16</v>
      </c>
      <c r="P256" s="7">
        <f t="shared" si="272"/>
        <v>0</v>
      </c>
      <c r="Q256" s="7">
        <f t="shared" si="272"/>
        <v>0</v>
      </c>
      <c r="R256" s="7">
        <f t="shared" si="272"/>
        <v>6.282</v>
      </c>
      <c r="S256" s="7">
        <f t="shared" si="272"/>
        <v>8.2729999999999997</v>
      </c>
      <c r="T256" s="7">
        <f>-T266</f>
        <v>18.95</v>
      </c>
      <c r="U256" s="7">
        <f>-U266</f>
        <v>28.099</v>
      </c>
      <c r="V256" s="7">
        <f t="shared" ref="V256:AD256" si="273">-V266</f>
        <v>2.986675828683159</v>
      </c>
      <c r="W256" s="7">
        <f t="shared" si="273"/>
        <v>9.0595833470055833</v>
      </c>
      <c r="X256" s="7">
        <f t="shared" si="273"/>
        <v>9.1890059662485193</v>
      </c>
      <c r="Y256" s="7">
        <f t="shared" si="273"/>
        <v>9.3184285854914553</v>
      </c>
      <c r="Z256" s="7">
        <f t="shared" si="273"/>
        <v>9.4478512047343912</v>
      </c>
      <c r="AA256" s="7">
        <f t="shared" si="273"/>
        <v>12.892483993815635</v>
      </c>
      <c r="AB256" s="7">
        <f t="shared" si="273"/>
        <v>13.066706750488819</v>
      </c>
      <c r="AC256" s="7">
        <f t="shared" si="273"/>
        <v>13.240929507162006</v>
      </c>
      <c r="AD256" s="7">
        <f t="shared" si="273"/>
        <v>13.415152263835189</v>
      </c>
      <c r="AE256"/>
    </row>
    <row r="257" spans="1:31" s="3" customFormat="1" outlineLevel="1">
      <c r="A257" s="110"/>
      <c r="B257" s="36"/>
      <c r="C257"/>
      <c r="D257" s="144" t="s">
        <v>127</v>
      </c>
      <c r="E257"/>
      <c r="F257"/>
      <c r="G257"/>
      <c r="H257"/>
      <c r="I257"/>
      <c r="J257" s="7">
        <f>J258-SUM(J254:J256)</f>
        <v>2.7060000000000031</v>
      </c>
      <c r="K257" s="7">
        <f t="shared" ref="K257:T257" si="274">K258-SUM(K254:K256)</f>
        <v>5.6419999999999995</v>
      </c>
      <c r="L257" s="7">
        <f t="shared" si="274"/>
        <v>-0.13100000000000023</v>
      </c>
      <c r="M257" s="7">
        <f t="shared" si="274"/>
        <v>1.4390000000000001</v>
      </c>
      <c r="N257" s="7">
        <f t="shared" si="274"/>
        <v>-8.8299999999999983</v>
      </c>
      <c r="O257" s="7">
        <f t="shared" si="274"/>
        <v>2.5579999999999998</v>
      </c>
      <c r="P257" s="7">
        <f t="shared" si="274"/>
        <v>-1.8979999999999961</v>
      </c>
      <c r="Q257" s="7">
        <f t="shared" si="274"/>
        <v>0.19300000000000139</v>
      </c>
      <c r="R257" s="7">
        <f t="shared" si="274"/>
        <v>-0.49600000000000222</v>
      </c>
      <c r="S257" s="7">
        <f t="shared" si="274"/>
        <v>0.14800000000000324</v>
      </c>
      <c r="T257" s="7">
        <f t="shared" si="274"/>
        <v>1.4450000000000003</v>
      </c>
      <c r="U257" s="7">
        <f>U258-SUM(U254:U256)</f>
        <v>29.584000000000003</v>
      </c>
      <c r="V257" s="79">
        <v>0</v>
      </c>
      <c r="W257" s="79">
        <v>0</v>
      </c>
      <c r="X257" s="79">
        <v>0</v>
      </c>
      <c r="Y257" s="79">
        <v>0</v>
      </c>
      <c r="Z257" s="79">
        <v>0</v>
      </c>
      <c r="AA257" s="79">
        <v>0</v>
      </c>
      <c r="AB257" s="79">
        <v>0</v>
      </c>
      <c r="AC257" s="79">
        <v>0</v>
      </c>
      <c r="AD257" s="79">
        <v>0</v>
      </c>
      <c r="AE257"/>
    </row>
    <row r="258" spans="1:31" s="3" customFormat="1" outlineLevel="1">
      <c r="A258" s="110"/>
      <c r="B258" s="143"/>
      <c r="D258" s="183" t="s">
        <v>356</v>
      </c>
      <c r="E258" s="2"/>
      <c r="F258" s="2"/>
      <c r="G258" s="173"/>
      <c r="H258" s="173"/>
      <c r="I258" s="173">
        <f>I198</f>
        <v>19.393000000000001</v>
      </c>
      <c r="J258" s="173">
        <f t="shared" ref="J258:T258" si="275">J198</f>
        <v>19.286000000000001</v>
      </c>
      <c r="K258" s="173">
        <f t="shared" si="275"/>
        <v>15.186</v>
      </c>
      <c r="L258" s="173">
        <f t="shared" si="275"/>
        <v>14.654</v>
      </c>
      <c r="M258" s="173">
        <f t="shared" si="275"/>
        <v>21.302</v>
      </c>
      <c r="N258" s="173">
        <f t="shared" si="275"/>
        <v>35.015000000000001</v>
      </c>
      <c r="O258" s="173">
        <f t="shared" si="275"/>
        <v>40.616</v>
      </c>
      <c r="P258" s="173">
        <f t="shared" si="275"/>
        <v>34.234000000000002</v>
      </c>
      <c r="Q258" s="173">
        <f t="shared" si="275"/>
        <v>30.121000000000002</v>
      </c>
      <c r="R258" s="173">
        <f t="shared" si="275"/>
        <v>30.916</v>
      </c>
      <c r="S258" s="173">
        <f t="shared" si="275"/>
        <v>32.712000000000003</v>
      </c>
      <c r="T258" s="173">
        <f t="shared" si="275"/>
        <v>50.349000000000004</v>
      </c>
      <c r="U258" s="173">
        <f>U198</f>
        <v>106.15300000000001</v>
      </c>
      <c r="V258" s="265">
        <f t="shared" ref="V258:AD258" si="276">SUM(V254:V257)</f>
        <v>102.53577582868317</v>
      </c>
      <c r="W258" s="265">
        <f t="shared" si="276"/>
        <v>102.84286590082826</v>
      </c>
      <c r="X258" s="265">
        <f t="shared" si="276"/>
        <v>101.17545261519143</v>
      </c>
      <c r="Y258" s="265">
        <f t="shared" si="276"/>
        <v>98.112668370341808</v>
      </c>
      <c r="Z258" s="265">
        <f t="shared" si="276"/>
        <v>95.420516693624862</v>
      </c>
      <c r="AA258" s="265">
        <f t="shared" si="276"/>
        <v>96.386455580040902</v>
      </c>
      <c r="AB258" s="265">
        <f t="shared" si="276"/>
        <v>97.720309532753745</v>
      </c>
      <c r="AC258" s="265">
        <f t="shared" si="276"/>
        <v>99.332040534612915</v>
      </c>
      <c r="AD258" s="265">
        <f t="shared" si="276"/>
        <v>101.08141312821712</v>
      </c>
      <c r="AE258"/>
    </row>
    <row r="259" spans="1:31" s="3" customFormat="1" outlineLevel="1">
      <c r="A259" s="110"/>
      <c r="B259" s="36"/>
      <c r="C259"/>
      <c r="D259" s="151"/>
      <c r="E259"/>
      <c r="F259"/>
      <c r="G259"/>
      <c r="H259"/>
      <c r="I259"/>
      <c r="J259" s="101"/>
      <c r="K259" s="65">
        <f>-K255/AVERAGE(H254:K254)</f>
        <v>0.50373587734946612</v>
      </c>
      <c r="L259" s="65">
        <f>-L255/AVERAGE(I254:L254)</f>
        <v>2.2333611807296018E-2</v>
      </c>
      <c r="M259" s="65">
        <f t="shared" ref="M259:S259" si="277">-M255/AVERAGE(J254:M254)</f>
        <v>4.086457770837286E-4</v>
      </c>
      <c r="N259" s="65">
        <f t="shared" si="277"/>
        <v>-0.24234679388879427</v>
      </c>
      <c r="O259" s="65">
        <f t="shared" si="277"/>
        <v>0.19113943150295393</v>
      </c>
      <c r="P259" s="65">
        <f t="shared" si="277"/>
        <v>0.1607355695555934</v>
      </c>
      <c r="Q259" s="65">
        <f t="shared" si="277"/>
        <v>0.13131351635701052</v>
      </c>
      <c r="R259" s="65">
        <f t="shared" si="277"/>
        <v>0.14261426142614259</v>
      </c>
      <c r="S259" s="65">
        <f t="shared" si="277"/>
        <v>0.19501497567832096</v>
      </c>
      <c r="T259" s="65">
        <f>-T255/AVERAGE(Q254:T254)</f>
        <v>8.6198948297820807E-2</v>
      </c>
      <c r="U259" s="65">
        <f>-U255/AVERAGE(R254:U254)</f>
        <v>5.2158947383030986E-2</v>
      </c>
      <c r="V259" s="77">
        <v>0.12</v>
      </c>
      <c r="W259" s="77">
        <f t="shared" ref="W259:AD259" si="278">V259</f>
        <v>0.12</v>
      </c>
      <c r="X259" s="77">
        <f t="shared" si="278"/>
        <v>0.12</v>
      </c>
      <c r="Y259" s="77">
        <f t="shared" si="278"/>
        <v>0.12</v>
      </c>
      <c r="Z259" s="77">
        <f t="shared" si="278"/>
        <v>0.12</v>
      </c>
      <c r="AA259" s="77">
        <f t="shared" si="278"/>
        <v>0.12</v>
      </c>
      <c r="AB259" s="77">
        <f t="shared" si="278"/>
        <v>0.12</v>
      </c>
      <c r="AC259" s="77">
        <f t="shared" si="278"/>
        <v>0.12</v>
      </c>
      <c r="AD259" s="77">
        <f t="shared" si="278"/>
        <v>0.12</v>
      </c>
      <c r="AE259"/>
    </row>
    <row r="260" spans="1:31">
      <c r="D260" s="36"/>
      <c r="N260" s="65"/>
      <c r="O260" s="65"/>
      <c r="P260" s="65"/>
      <c r="Q260" s="65"/>
      <c r="R260" s="65"/>
      <c r="S260" s="65"/>
      <c r="T260" s="65"/>
      <c r="U260" s="7"/>
    </row>
    <row r="261" spans="1:31">
      <c r="C261" s="104"/>
      <c r="D261" s="105" t="s">
        <v>274</v>
      </c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  <c r="AB261" s="104"/>
      <c r="AC261" s="104"/>
      <c r="AD261" s="104"/>
    </row>
    <row r="262" spans="1:31" ht="5.0999999999999996" customHeight="1"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"/>
    </row>
    <row r="263" spans="1:31" ht="15" customHeight="1">
      <c r="D263" s="241" t="s">
        <v>300</v>
      </c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"/>
    </row>
    <row r="264" spans="1:31" ht="5.0999999999999996" customHeight="1" outlineLevel="1"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"/>
    </row>
    <row r="265" spans="1:31" ht="15" customHeight="1" outlineLevel="1">
      <c r="A265" s="109" t="str">
        <f>"M&amp;A ($) - "&amp;D265</f>
        <v>M&amp;A ($) - Upfront Equity</v>
      </c>
      <c r="D265" s="70" t="s">
        <v>277</v>
      </c>
      <c r="G265" s="7">
        <f t="shared" ref="G265:S265" si="279">-(+G301+G325+G349+G373+G397)</f>
        <v>-0.24399999999999999</v>
      </c>
      <c r="H265" s="7">
        <f t="shared" si="279"/>
        <v>0</v>
      </c>
      <c r="I265" s="7">
        <f t="shared" si="279"/>
        <v>0</v>
      </c>
      <c r="J265" s="7">
        <f t="shared" si="279"/>
        <v>0</v>
      </c>
      <c r="K265" s="7">
        <f t="shared" si="279"/>
        <v>-5.12</v>
      </c>
      <c r="L265" s="7">
        <f t="shared" si="279"/>
        <v>0</v>
      </c>
      <c r="M265" s="7">
        <f t="shared" si="279"/>
        <v>0</v>
      </c>
      <c r="N265" s="7">
        <f t="shared" si="279"/>
        <v>-2.613</v>
      </c>
      <c r="O265" s="7">
        <f t="shared" si="279"/>
        <v>0</v>
      </c>
      <c r="P265" s="7">
        <f t="shared" si="279"/>
        <v>0</v>
      </c>
      <c r="Q265" s="7">
        <f t="shared" si="279"/>
        <v>0</v>
      </c>
      <c r="R265" s="7">
        <f t="shared" si="279"/>
        <v>-2.8380000000000001</v>
      </c>
      <c r="S265" s="7">
        <f t="shared" si="279"/>
        <v>-1.875</v>
      </c>
      <c r="T265" s="7">
        <f>-(+T301+T325+T349+T373+T397)</f>
        <v>0</v>
      </c>
      <c r="U265" s="7">
        <f>-(+U301+U325+U349+U373+U397)</f>
        <v>0</v>
      </c>
      <c r="V265" s="206">
        <f t="shared" ref="V265:AD265" si="280">V$274*V289</f>
        <v>0</v>
      </c>
      <c r="W265" s="206">
        <f t="shared" si="280"/>
        <v>0</v>
      </c>
      <c r="X265" s="206">
        <f t="shared" si="280"/>
        <v>0</v>
      </c>
      <c r="Y265" s="206">
        <f t="shared" si="280"/>
        <v>0</v>
      </c>
      <c r="Z265" s="206">
        <f t="shared" si="280"/>
        <v>0</v>
      </c>
      <c r="AA265" s="206">
        <f t="shared" si="280"/>
        <v>0</v>
      </c>
      <c r="AB265" s="206">
        <f t="shared" si="280"/>
        <v>0</v>
      </c>
      <c r="AC265" s="206">
        <f t="shared" si="280"/>
        <v>0</v>
      </c>
      <c r="AD265" s="206">
        <f t="shared" si="280"/>
        <v>0</v>
      </c>
      <c r="AE265" s="7"/>
    </row>
    <row r="266" spans="1:31" ht="15" customHeight="1" outlineLevel="1">
      <c r="A266" s="109" t="str">
        <f t="shared" ref="A266:A273" si="281">"M&amp;A ($) - "&amp;D266</f>
        <v>M&amp;A ($) - Deferred &amp; contingent consideration</v>
      </c>
      <c r="D266" s="70" t="s">
        <v>275</v>
      </c>
      <c r="G266" s="7">
        <f t="shared" ref="G266:S266" si="282">-(+G302+G326+G350+G374+G398)</f>
        <v>0</v>
      </c>
      <c r="H266" s="7">
        <f t="shared" si="282"/>
        <v>-4.3140000000000001</v>
      </c>
      <c r="I266" s="7">
        <f t="shared" si="282"/>
        <v>0</v>
      </c>
      <c r="J266" s="7">
        <f t="shared" si="282"/>
        <v>-6.5860000000000003</v>
      </c>
      <c r="K266" s="7">
        <f t="shared" si="282"/>
        <v>0</v>
      </c>
      <c r="L266" s="7">
        <f t="shared" si="282"/>
        <v>0</v>
      </c>
      <c r="M266" s="7">
        <f t="shared" si="282"/>
        <v>-5.2160000000000002</v>
      </c>
      <c r="N266" s="7">
        <f t="shared" si="282"/>
        <v>-18.276</v>
      </c>
      <c r="O266" s="7">
        <f t="shared" si="282"/>
        <v>-7.16</v>
      </c>
      <c r="P266" s="7">
        <f t="shared" si="282"/>
        <v>0</v>
      </c>
      <c r="Q266" s="7">
        <f t="shared" si="282"/>
        <v>0</v>
      </c>
      <c r="R266" s="7">
        <f t="shared" si="282"/>
        <v>-6.282</v>
      </c>
      <c r="S266" s="7">
        <f t="shared" si="282"/>
        <v>-8.2729999999999997</v>
      </c>
      <c r="T266" s="7">
        <f>-(+T302+T326+T350+T374+T398)</f>
        <v>-18.95</v>
      </c>
      <c r="U266" s="7">
        <f>-(+U302+U326+U350+U374+U398)</f>
        <v>-28.099</v>
      </c>
      <c r="V266" s="206">
        <f t="shared" ref="V266:AD266" si="283">V$274*V290</f>
        <v>-2.986675828683159</v>
      </c>
      <c r="W266" s="206">
        <f t="shared" si="283"/>
        <v>-9.0595833470055833</v>
      </c>
      <c r="X266" s="206">
        <f t="shared" si="283"/>
        <v>-9.1890059662485193</v>
      </c>
      <c r="Y266" s="206">
        <f t="shared" si="283"/>
        <v>-9.3184285854914553</v>
      </c>
      <c r="Z266" s="206">
        <f t="shared" si="283"/>
        <v>-9.4478512047343912</v>
      </c>
      <c r="AA266" s="206">
        <f t="shared" si="283"/>
        <v>-12.892483993815635</v>
      </c>
      <c r="AB266" s="206">
        <f t="shared" si="283"/>
        <v>-13.066706750488819</v>
      </c>
      <c r="AC266" s="206">
        <f t="shared" si="283"/>
        <v>-13.240929507162006</v>
      </c>
      <c r="AD266" s="206">
        <f t="shared" si="283"/>
        <v>-13.415152263835189</v>
      </c>
      <c r="AE266" s="7"/>
    </row>
    <row r="267" spans="1:31" ht="15" customHeight="1" outlineLevel="1">
      <c r="A267" s="109" t="str">
        <f t="shared" si="281"/>
        <v>M&amp;A ($) - Non-cash NWC</v>
      </c>
      <c r="D267" s="70" t="s">
        <v>278</v>
      </c>
      <c r="G267" s="7">
        <f t="shared" ref="G267:S267" si="284">G307+G331+G355+G379+G403</f>
        <v>-8.4000000000000005E-2</v>
      </c>
      <c r="H267" s="7">
        <f t="shared" si="284"/>
        <v>0.80800000000000294</v>
      </c>
      <c r="I267" s="7">
        <f t="shared" si="284"/>
        <v>0</v>
      </c>
      <c r="J267" s="7">
        <f t="shared" si="284"/>
        <v>-3.9839999999999978</v>
      </c>
      <c r="K267" s="7">
        <f t="shared" si="284"/>
        <v>-2.8810000000000033</v>
      </c>
      <c r="L267" s="7">
        <f t="shared" si="284"/>
        <v>0</v>
      </c>
      <c r="M267" s="7">
        <f t="shared" si="284"/>
        <v>-0.35099999999999998</v>
      </c>
      <c r="N267" s="7">
        <f t="shared" si="284"/>
        <v>-3.4460000000000002</v>
      </c>
      <c r="O267" s="7">
        <f t="shared" si="284"/>
        <v>-0.38000000000000023</v>
      </c>
      <c r="P267" s="7">
        <f t="shared" si="284"/>
        <v>0</v>
      </c>
      <c r="Q267" s="7">
        <f t="shared" si="284"/>
        <v>0</v>
      </c>
      <c r="R267" s="7">
        <f t="shared" si="284"/>
        <v>3.6090000000000009</v>
      </c>
      <c r="S267" s="7">
        <f t="shared" si="284"/>
        <v>-0.35399999999999959</v>
      </c>
      <c r="T267" s="7">
        <f>T307+T331+T355+T379+T403</f>
        <v>5.6920000000000019</v>
      </c>
      <c r="U267" s="7">
        <f>U307+U331+U355+U379+U403</f>
        <v>-1.1810000000000005</v>
      </c>
      <c r="V267" s="206">
        <f t="shared" ref="V267:AD267" si="285">V$274*V291</f>
        <v>-7.3888059975177514E-2</v>
      </c>
      <c r="W267" s="206">
        <f t="shared" si="285"/>
        <v>-0.2241271152580385</v>
      </c>
      <c r="X267" s="206">
        <f t="shared" si="285"/>
        <v>-0.22732893119029618</v>
      </c>
      <c r="Y267" s="206">
        <f t="shared" si="285"/>
        <v>-0.23053074712255386</v>
      </c>
      <c r="Z267" s="206">
        <f t="shared" si="285"/>
        <v>-0.23373256305481155</v>
      </c>
      <c r="AA267" s="206">
        <f t="shared" si="285"/>
        <v>-0.3189501255595163</v>
      </c>
      <c r="AB267" s="206">
        <f t="shared" si="285"/>
        <v>-0.32326026239140165</v>
      </c>
      <c r="AC267" s="206">
        <f t="shared" si="285"/>
        <v>-0.32757039922328701</v>
      </c>
      <c r="AD267" s="206">
        <f t="shared" si="285"/>
        <v>-0.33188053605517237</v>
      </c>
      <c r="AE267" s="7"/>
    </row>
    <row r="268" spans="1:31" ht="15" customHeight="1" outlineLevel="1">
      <c r="A268" s="109" t="str">
        <f t="shared" si="281"/>
        <v>M&amp;A ($) - PP&amp;E</v>
      </c>
      <c r="D268" s="70" t="s">
        <v>141</v>
      </c>
      <c r="G268" s="7">
        <f>G308+G332+G356+G380+G404</f>
        <v>5.0000000000000001E-3</v>
      </c>
      <c r="H268" s="7">
        <f t="shared" ref="H268:T268" si="286">H308+H332+H356+H380+H404</f>
        <v>3.569</v>
      </c>
      <c r="I268" s="7">
        <f t="shared" si="286"/>
        <v>0</v>
      </c>
      <c r="J268" s="7">
        <f t="shared" si="286"/>
        <v>0.39700000000000002</v>
      </c>
      <c r="K268" s="7">
        <f t="shared" si="286"/>
        <v>1.133</v>
      </c>
      <c r="L268" s="7">
        <f t="shared" si="286"/>
        <v>0</v>
      </c>
      <c r="M268" s="7">
        <f t="shared" si="286"/>
        <v>0.222</v>
      </c>
      <c r="N268" s="7">
        <f t="shared" si="286"/>
        <v>3.371</v>
      </c>
      <c r="O268" s="7">
        <f t="shared" si="286"/>
        <v>0.13900000000000001</v>
      </c>
      <c r="P268" s="7">
        <f t="shared" si="286"/>
        <v>0</v>
      </c>
      <c r="Q268" s="7">
        <f t="shared" si="286"/>
        <v>0</v>
      </c>
      <c r="R268" s="7">
        <f t="shared" si="286"/>
        <v>0.16200000000000001</v>
      </c>
      <c r="S268" s="7">
        <f t="shared" si="286"/>
        <v>0.998</v>
      </c>
      <c r="T268" s="7">
        <f t="shared" si="286"/>
        <v>0.80499999999999994</v>
      </c>
      <c r="U268" s="7">
        <f t="shared" ref="U268:U273" si="287">U308+U332+U356+U380+U404</f>
        <v>0.99299999999999999</v>
      </c>
      <c r="V268" s="206">
        <f t="shared" ref="V268:AD268" si="288">V$274*V292</f>
        <v>0.34147170037117741</v>
      </c>
      <c r="W268" s="206">
        <f t="shared" si="288"/>
        <v>1.0357974911259051</v>
      </c>
      <c r="X268" s="206">
        <f t="shared" si="288"/>
        <v>1.0505945981419893</v>
      </c>
      <c r="Y268" s="206">
        <f t="shared" si="288"/>
        <v>1.0653917051580737</v>
      </c>
      <c r="Z268" s="206">
        <f t="shared" si="288"/>
        <v>1.0801888121741579</v>
      </c>
      <c r="AA268" s="206">
        <f t="shared" si="288"/>
        <v>1.4740195066022492</v>
      </c>
      <c r="AB268" s="206">
        <f t="shared" si="288"/>
        <v>1.4939386891239013</v>
      </c>
      <c r="AC268" s="206">
        <f t="shared" si="288"/>
        <v>1.5138578716455535</v>
      </c>
      <c r="AD268" s="206">
        <f t="shared" si="288"/>
        <v>1.5337770541672053</v>
      </c>
      <c r="AE268" s="7"/>
    </row>
    <row r="269" spans="1:31" ht="15" customHeight="1" outlineLevel="1">
      <c r="A269" s="109" t="str">
        <f t="shared" si="281"/>
        <v>M&amp;A ($) - ROU</v>
      </c>
      <c r="D269" s="70" t="s">
        <v>279</v>
      </c>
      <c r="G269" s="7">
        <f>G309+G333+G357+G381+G405</f>
        <v>0</v>
      </c>
      <c r="H269" s="7">
        <f t="shared" ref="H269:T269" si="289">H309+H333+H357+H381+H405</f>
        <v>0</v>
      </c>
      <c r="I269" s="7">
        <f t="shared" si="289"/>
        <v>0</v>
      </c>
      <c r="J269" s="7">
        <f t="shared" si="289"/>
        <v>0</v>
      </c>
      <c r="K269" s="7">
        <f t="shared" si="289"/>
        <v>6.7960000000000003</v>
      </c>
      <c r="L269" s="7">
        <f t="shared" si="289"/>
        <v>0</v>
      </c>
      <c r="M269" s="7">
        <f t="shared" si="289"/>
        <v>1.248</v>
      </c>
      <c r="N269" s="7">
        <f t="shared" si="289"/>
        <v>4.0990000000000002</v>
      </c>
      <c r="O269" s="7">
        <f t="shared" si="289"/>
        <v>0.35899999999999999</v>
      </c>
      <c r="P269" s="7">
        <f t="shared" si="289"/>
        <v>0</v>
      </c>
      <c r="Q269" s="7">
        <f t="shared" si="289"/>
        <v>0</v>
      </c>
      <c r="R269" s="7">
        <f t="shared" si="289"/>
        <v>2.0990000000000002</v>
      </c>
      <c r="S269" s="7">
        <f t="shared" si="289"/>
        <v>2.3879999999999999</v>
      </c>
      <c r="T269" s="7">
        <f t="shared" si="289"/>
        <v>1.9370000000000001</v>
      </c>
      <c r="U269" s="7">
        <f t="shared" si="287"/>
        <v>2.7329999999999997</v>
      </c>
      <c r="V269" s="206">
        <f t="shared" ref="V269:AD269" si="290">V$274*V293</f>
        <v>0.62709306073760673</v>
      </c>
      <c r="W269" s="206">
        <f t="shared" si="290"/>
        <v>1.9021822842374072</v>
      </c>
      <c r="X269" s="206">
        <f t="shared" si="290"/>
        <v>1.9293563168693701</v>
      </c>
      <c r="Y269" s="206">
        <f t="shared" si="290"/>
        <v>1.9565303495013329</v>
      </c>
      <c r="Z269" s="206">
        <f t="shared" si="290"/>
        <v>1.9837043821332958</v>
      </c>
      <c r="AA269" s="206">
        <f t="shared" si="290"/>
        <v>2.7069517121840021</v>
      </c>
      <c r="AB269" s="206">
        <f t="shared" si="290"/>
        <v>2.7435321407270292</v>
      </c>
      <c r="AC269" s="206">
        <f t="shared" si="290"/>
        <v>2.7801125692700568</v>
      </c>
      <c r="AD269" s="206">
        <f t="shared" si="290"/>
        <v>2.8166929978130835</v>
      </c>
      <c r="AE269" s="7"/>
    </row>
    <row r="270" spans="1:31" ht="15" customHeight="1" outlineLevel="1">
      <c r="A270" s="109" t="str">
        <f t="shared" si="281"/>
        <v>M&amp;A ($) - Intangible assets</v>
      </c>
      <c r="D270" s="70" t="s">
        <v>280</v>
      </c>
      <c r="G270" s="7">
        <f t="shared" ref="G270:S270" si="291">G310+G334+G358+G382+G406</f>
        <v>0</v>
      </c>
      <c r="H270" s="7">
        <f t="shared" si="291"/>
        <v>14.414000000000001</v>
      </c>
      <c r="I270" s="7">
        <f t="shared" si="291"/>
        <v>0</v>
      </c>
      <c r="J270" s="7">
        <f t="shared" si="291"/>
        <v>12.262</v>
      </c>
      <c r="K270" s="7">
        <f t="shared" si="291"/>
        <v>11.848000000000001</v>
      </c>
      <c r="L270" s="7">
        <f t="shared" si="291"/>
        <v>0</v>
      </c>
      <c r="M270" s="7">
        <f t="shared" si="291"/>
        <v>4.5250000000000004</v>
      </c>
      <c r="N270" s="7">
        <f t="shared" si="291"/>
        <v>37.025999999999996</v>
      </c>
      <c r="O270" s="7">
        <f t="shared" si="291"/>
        <v>5.2249999999999996</v>
      </c>
      <c r="P270" s="7">
        <f t="shared" si="291"/>
        <v>0</v>
      </c>
      <c r="Q270" s="7">
        <f t="shared" si="291"/>
        <v>0</v>
      </c>
      <c r="R270" s="7">
        <f t="shared" si="291"/>
        <v>25.805999999999997</v>
      </c>
      <c r="S270" s="7">
        <f t="shared" si="291"/>
        <v>10.191000000000001</v>
      </c>
      <c r="T270" s="7">
        <f>T310+T334+T358+T382+T406</f>
        <v>43.284000000000006</v>
      </c>
      <c r="U270" s="7">
        <f t="shared" si="287"/>
        <v>94.65100000000001</v>
      </c>
      <c r="V270" s="206">
        <f t="shared" ref="V270:AD270" si="292">V$274*V294</f>
        <v>7.505544499798293</v>
      </c>
      <c r="W270" s="206">
        <f t="shared" si="292"/>
        <v>22.766818316054824</v>
      </c>
      <c r="X270" s="206">
        <f t="shared" si="292"/>
        <v>23.092058577712749</v>
      </c>
      <c r="Y270" s="206">
        <f t="shared" si="292"/>
        <v>23.417298839370673</v>
      </c>
      <c r="Z270" s="206">
        <f t="shared" si="292"/>
        <v>23.742539101028598</v>
      </c>
      <c r="AA270" s="206">
        <f t="shared" si="292"/>
        <v>32.398933757462629</v>
      </c>
      <c r="AB270" s="206">
        <f t="shared" si="292"/>
        <v>32.836757186617533</v>
      </c>
      <c r="AC270" s="206">
        <f t="shared" si="292"/>
        <v>33.274580615772436</v>
      </c>
      <c r="AD270" s="206">
        <f t="shared" si="292"/>
        <v>33.712404044927332</v>
      </c>
      <c r="AE270" s="7"/>
    </row>
    <row r="271" spans="1:31" ht="15" customHeight="1" outlineLevel="1">
      <c r="A271" s="109" t="str">
        <f t="shared" si="281"/>
        <v>M&amp;A ($) - Deferred tax liability</v>
      </c>
      <c r="D271" s="70" t="s">
        <v>287</v>
      </c>
      <c r="G271" s="7">
        <f t="shared" ref="G271:T271" si="293">G311+G335+G359+G383+G407</f>
        <v>0</v>
      </c>
      <c r="H271" s="7">
        <f t="shared" si="293"/>
        <v>-0.89900000000000002</v>
      </c>
      <c r="I271" s="7">
        <f t="shared" si="293"/>
        <v>0</v>
      </c>
      <c r="J271" s="7">
        <f t="shared" si="293"/>
        <v>0</v>
      </c>
      <c r="K271" s="7">
        <f t="shared" si="293"/>
        <v>0</v>
      </c>
      <c r="L271" s="7">
        <f t="shared" si="293"/>
        <v>0</v>
      </c>
      <c r="M271" s="7">
        <f t="shared" si="293"/>
        <v>-1.1659999999999999</v>
      </c>
      <c r="N271" s="7">
        <f t="shared" si="293"/>
        <v>-5.1869999999999994</v>
      </c>
      <c r="O271" s="7">
        <f t="shared" si="293"/>
        <v>-1.393</v>
      </c>
      <c r="P271" s="7">
        <f t="shared" si="293"/>
        <v>0</v>
      </c>
      <c r="Q271" s="7">
        <f t="shared" si="293"/>
        <v>0</v>
      </c>
      <c r="R271" s="7">
        <f t="shared" si="293"/>
        <v>-6.7200000000000006</v>
      </c>
      <c r="S271" s="7">
        <f t="shared" si="293"/>
        <v>-2.6520000000000001</v>
      </c>
      <c r="T271" s="7">
        <f t="shared" si="293"/>
        <v>-10.007</v>
      </c>
      <c r="U271" s="7">
        <f t="shared" si="287"/>
        <v>-24.588999999999999</v>
      </c>
      <c r="V271" s="206">
        <f t="shared" ref="V271:AD271" si="294">V$274*V295</f>
        <v>-1.5233042709537694</v>
      </c>
      <c r="W271" s="206">
        <f t="shared" si="294"/>
        <v>-4.6206896218931011</v>
      </c>
      <c r="X271" s="206">
        <f t="shared" si="294"/>
        <v>-4.6866994736344312</v>
      </c>
      <c r="Y271" s="206">
        <f t="shared" si="294"/>
        <v>-4.7527093253757604</v>
      </c>
      <c r="Z271" s="206">
        <f t="shared" si="294"/>
        <v>-4.8187191771170905</v>
      </c>
      <c r="AA271" s="206">
        <f t="shared" si="294"/>
        <v>-6.5755967696171052</v>
      </c>
      <c r="AB271" s="206">
        <f t="shared" si="294"/>
        <v>-6.6644561854227415</v>
      </c>
      <c r="AC271" s="206">
        <f t="shared" si="294"/>
        <v>-6.7533156012283788</v>
      </c>
      <c r="AD271" s="206">
        <f t="shared" si="294"/>
        <v>-6.8421750170340143</v>
      </c>
      <c r="AE271" s="7"/>
    </row>
    <row r="272" spans="1:31" ht="15" customHeight="1" outlineLevel="1">
      <c r="A272" s="109" t="str">
        <f t="shared" si="281"/>
        <v>M&amp;A ($) - Lease Liability</v>
      </c>
      <c r="D272" s="70" t="s">
        <v>268</v>
      </c>
      <c r="G272" s="7">
        <f t="shared" ref="G272:T272" si="295">G312+G336+G360+G384+G408</f>
        <v>0</v>
      </c>
      <c r="H272" s="7">
        <f t="shared" si="295"/>
        <v>-0.31900000000000001</v>
      </c>
      <c r="I272" s="7">
        <f t="shared" si="295"/>
        <v>0</v>
      </c>
      <c r="J272" s="7">
        <f t="shared" si="295"/>
        <v>0</v>
      </c>
      <c r="K272" s="7">
        <f t="shared" si="295"/>
        <v>-6.7960000000000003</v>
      </c>
      <c r="L272" s="7">
        <f t="shared" si="295"/>
        <v>0</v>
      </c>
      <c r="M272" s="7">
        <f t="shared" si="295"/>
        <v>-1.248</v>
      </c>
      <c r="N272" s="7">
        <f t="shared" si="295"/>
        <v>-4.0990000000000002</v>
      </c>
      <c r="O272" s="7">
        <f t="shared" si="295"/>
        <v>-0.35899999999999999</v>
      </c>
      <c r="P272" s="7">
        <f t="shared" si="295"/>
        <v>0</v>
      </c>
      <c r="Q272" s="7">
        <f t="shared" si="295"/>
        <v>0</v>
      </c>
      <c r="R272" s="7">
        <f t="shared" si="295"/>
        <v>-2.0940000000000003</v>
      </c>
      <c r="S272" s="7">
        <f t="shared" si="295"/>
        <v>-2.3879999999999999</v>
      </c>
      <c r="T272" s="7">
        <f t="shared" si="295"/>
        <v>-1.883</v>
      </c>
      <c r="U272" s="7">
        <f t="shared" si="287"/>
        <v>-2.7329999999999997</v>
      </c>
      <c r="V272" s="206">
        <f t="shared" ref="V272:AD272" si="296">V$274*V296</f>
        <v>-0.62709306073760673</v>
      </c>
      <c r="W272" s="206">
        <f t="shared" si="296"/>
        <v>-1.9021822842374072</v>
      </c>
      <c r="X272" s="206">
        <f t="shared" si="296"/>
        <v>-1.9293563168693701</v>
      </c>
      <c r="Y272" s="206">
        <f t="shared" si="296"/>
        <v>-1.9565303495013329</v>
      </c>
      <c r="Z272" s="206">
        <f t="shared" si="296"/>
        <v>-1.9837043821332958</v>
      </c>
      <c r="AA272" s="206">
        <f t="shared" si="296"/>
        <v>-2.7069517121840021</v>
      </c>
      <c r="AB272" s="206">
        <f t="shared" si="296"/>
        <v>-2.7435321407270292</v>
      </c>
      <c r="AC272" s="206">
        <f t="shared" si="296"/>
        <v>-2.7801125692700568</v>
      </c>
      <c r="AD272" s="206">
        <f t="shared" si="296"/>
        <v>-2.8166929978130835</v>
      </c>
      <c r="AE272" s="7"/>
    </row>
    <row r="273" spans="1:31" ht="15" customHeight="1" outlineLevel="1">
      <c r="A273" s="109" t="str">
        <f t="shared" si="281"/>
        <v>M&amp;A ($) - Goodwill</v>
      </c>
      <c r="D273" s="70" t="s">
        <v>142</v>
      </c>
      <c r="G273" s="7">
        <f t="shared" ref="G273:T273" si="297">G313+G337+G361+G385+G409</f>
        <v>0.50600000000000001</v>
      </c>
      <c r="H273" s="7">
        <f t="shared" si="297"/>
        <v>7.3659999999999997</v>
      </c>
      <c r="I273" s="7">
        <f t="shared" si="297"/>
        <v>0</v>
      </c>
      <c r="J273" s="7">
        <f t="shared" si="297"/>
        <v>8.8659999999999997</v>
      </c>
      <c r="K273" s="7">
        <f t="shared" si="297"/>
        <v>11.829000000000001</v>
      </c>
      <c r="L273" s="7">
        <f t="shared" si="297"/>
        <v>0</v>
      </c>
      <c r="M273" s="7">
        <f t="shared" si="297"/>
        <v>3.7610000000000001</v>
      </c>
      <c r="N273" s="7">
        <f t="shared" si="297"/>
        <v>34.084000000000003</v>
      </c>
      <c r="O273" s="7">
        <f t="shared" si="297"/>
        <v>10.268000000000001</v>
      </c>
      <c r="P273" s="7">
        <f t="shared" si="297"/>
        <v>0</v>
      </c>
      <c r="Q273" s="7">
        <f t="shared" si="297"/>
        <v>0</v>
      </c>
      <c r="R273" s="7">
        <f t="shared" si="297"/>
        <v>25.573</v>
      </c>
      <c r="S273" s="7">
        <f t="shared" si="297"/>
        <v>12.2</v>
      </c>
      <c r="T273" s="7">
        <f t="shared" si="297"/>
        <v>66.483000000000004</v>
      </c>
      <c r="U273" s="7">
        <f t="shared" si="287"/>
        <v>134.23400000000001</v>
      </c>
      <c r="V273" s="206">
        <f t="shared" ref="V273:AD273" si="298">V$274*V297</f>
        <v>8.7501761307594759</v>
      </c>
      <c r="W273" s="206">
        <f t="shared" si="298"/>
        <v>26.542200929970413</v>
      </c>
      <c r="X273" s="206">
        <f t="shared" si="298"/>
        <v>26.921375228969989</v>
      </c>
      <c r="Y273" s="206">
        <f t="shared" si="298"/>
        <v>27.300549527969565</v>
      </c>
      <c r="Z273" s="206">
        <f t="shared" si="298"/>
        <v>27.679723826969141</v>
      </c>
      <c r="AA273" s="206">
        <f t="shared" si="298"/>
        <v>37.771593631111735</v>
      </c>
      <c r="AB273" s="206">
        <f t="shared" si="298"/>
        <v>38.28202057207271</v>
      </c>
      <c r="AC273" s="206">
        <f t="shared" si="298"/>
        <v>38.792447513033679</v>
      </c>
      <c r="AD273" s="206">
        <f t="shared" si="298"/>
        <v>39.302874453994647</v>
      </c>
      <c r="AE273" s="7"/>
    </row>
    <row r="274" spans="1:31" s="3" customFormat="1" outlineLevel="1">
      <c r="A274" s="110"/>
      <c r="B274" s="143"/>
      <c r="D274" s="150" t="s">
        <v>258</v>
      </c>
      <c r="E274" s="2"/>
      <c r="F274" s="2"/>
      <c r="G274" s="173">
        <f t="shared" ref="G274:T274" si="299">SUM(G265:G273)</f>
        <v>0.183</v>
      </c>
      <c r="H274" s="173">
        <f t="shared" si="299"/>
        <v>20.625</v>
      </c>
      <c r="I274" s="173">
        <f t="shared" si="299"/>
        <v>0</v>
      </c>
      <c r="J274" s="173">
        <f t="shared" si="299"/>
        <v>10.955000000000002</v>
      </c>
      <c r="K274" s="173">
        <f t="shared" si="299"/>
        <v>16.808999999999997</v>
      </c>
      <c r="L274" s="173">
        <f t="shared" si="299"/>
        <v>0</v>
      </c>
      <c r="M274" s="173">
        <f t="shared" si="299"/>
        <v>1.775000000000001</v>
      </c>
      <c r="N274" s="173">
        <f t="shared" si="299"/>
        <v>44.958999999999996</v>
      </c>
      <c r="O274" s="173">
        <f t="shared" si="299"/>
        <v>6.6990000000000007</v>
      </c>
      <c r="P274" s="173">
        <f t="shared" si="299"/>
        <v>0</v>
      </c>
      <c r="Q274" s="173">
        <f t="shared" si="299"/>
        <v>0</v>
      </c>
      <c r="R274" s="173">
        <f t="shared" si="299"/>
        <v>39.314999999999998</v>
      </c>
      <c r="S274" s="173">
        <f t="shared" si="299"/>
        <v>10.234999999999999</v>
      </c>
      <c r="T274" s="173">
        <f t="shared" si="299"/>
        <v>87.361000000000018</v>
      </c>
      <c r="U274" s="173">
        <f>SUM(U265:U273)</f>
        <v>176.00900000000001</v>
      </c>
      <c r="V274" s="265">
        <f>V283*V282*4/(1-SUM(V289:V290))</f>
        <v>12.013324171316841</v>
      </c>
      <c r="W274" s="265">
        <f t="shared" ref="W274:AD274" si="300">W283*W282*4/(1-SUM(W289:W290))</f>
        <v>36.440416652994422</v>
      </c>
      <c r="X274" s="265">
        <f t="shared" si="300"/>
        <v>36.960994033751483</v>
      </c>
      <c r="Y274" s="265">
        <f t="shared" si="300"/>
        <v>37.481571414508544</v>
      </c>
      <c r="Z274" s="265">
        <f t="shared" si="300"/>
        <v>38.002148795265605</v>
      </c>
      <c r="AA274" s="265">
        <f t="shared" si="300"/>
        <v>51.857516006184362</v>
      </c>
      <c r="AB274" s="265">
        <f t="shared" si="300"/>
        <v>52.558293249511181</v>
      </c>
      <c r="AC274" s="265">
        <f t="shared" si="300"/>
        <v>53.259070492837999</v>
      </c>
      <c r="AD274" s="265">
        <f t="shared" si="300"/>
        <v>53.959847736164811</v>
      </c>
      <c r="AE274"/>
    </row>
    <row r="275" spans="1:31" s="3" customFormat="1" outlineLevel="1">
      <c r="A275" s="110"/>
      <c r="B275" s="143"/>
      <c r="D275" s="242" t="s">
        <v>494</v>
      </c>
      <c r="E275" s="167"/>
      <c r="F275" s="167"/>
      <c r="G275" s="255">
        <f t="shared" ref="G275:T275" si="301">+SUM(G317,G341,G365,G389,G413)</f>
        <v>0.42700000000000005</v>
      </c>
      <c r="H275" s="255">
        <f t="shared" si="301"/>
        <v>24.939</v>
      </c>
      <c r="I275" s="255">
        <f t="shared" si="301"/>
        <v>0</v>
      </c>
      <c r="J275" s="255">
        <f t="shared" si="301"/>
        <v>17.541</v>
      </c>
      <c r="K275" s="255">
        <f t="shared" si="301"/>
        <v>21.929000000000002</v>
      </c>
      <c r="L275" s="255">
        <f t="shared" si="301"/>
        <v>0</v>
      </c>
      <c r="M275" s="255">
        <f t="shared" si="301"/>
        <v>6.9909999999999997</v>
      </c>
      <c r="N275" s="255">
        <f t="shared" si="301"/>
        <v>65.848000000000013</v>
      </c>
      <c r="O275" s="255">
        <f t="shared" si="301"/>
        <v>13.859</v>
      </c>
      <c r="P275" s="255">
        <f t="shared" si="301"/>
        <v>0</v>
      </c>
      <c r="Q275" s="255">
        <f t="shared" si="301"/>
        <v>0</v>
      </c>
      <c r="R275" s="255">
        <f t="shared" si="301"/>
        <v>48.435000000000002</v>
      </c>
      <c r="S275" s="255">
        <f t="shared" si="301"/>
        <v>20.382999999999999</v>
      </c>
      <c r="T275" s="255">
        <f t="shared" si="301"/>
        <v>106.31099999999999</v>
      </c>
      <c r="U275" s="255">
        <f>+SUM(U317,U341,U365,U389,U413)</f>
        <v>204.108</v>
      </c>
      <c r="V275" s="138">
        <f>V274-SUM(V265:V266)</f>
        <v>15</v>
      </c>
      <c r="W275" s="138">
        <f t="shared" ref="W275:AD275" si="302">W274-SUM(W265:W266)</f>
        <v>45.500000000000007</v>
      </c>
      <c r="X275" s="138">
        <f t="shared" si="302"/>
        <v>46.150000000000006</v>
      </c>
      <c r="Y275" s="138">
        <f t="shared" si="302"/>
        <v>46.8</v>
      </c>
      <c r="Z275" s="138">
        <f t="shared" si="302"/>
        <v>47.449999999999996</v>
      </c>
      <c r="AA275" s="138">
        <f t="shared" si="302"/>
        <v>64.75</v>
      </c>
      <c r="AB275" s="138">
        <f t="shared" si="302"/>
        <v>65.625</v>
      </c>
      <c r="AC275" s="138">
        <f t="shared" si="302"/>
        <v>66.5</v>
      </c>
      <c r="AD275" s="138">
        <f t="shared" si="302"/>
        <v>67.375</v>
      </c>
      <c r="AE275"/>
    </row>
    <row r="276" spans="1:31" s="3" customFormat="1" outlineLevel="1">
      <c r="A276" s="110"/>
      <c r="B276" s="143"/>
      <c r="D276" s="67" t="s">
        <v>331</v>
      </c>
      <c r="E276" s="167"/>
      <c r="F276" s="167"/>
      <c r="G276" s="255">
        <f t="shared" ref="G276:S276" si="303">SUM(D274:G274)</f>
        <v>0.183</v>
      </c>
      <c r="H276" s="255">
        <f t="shared" si="303"/>
        <v>20.808</v>
      </c>
      <c r="I276" s="255">
        <f t="shared" si="303"/>
        <v>20.808</v>
      </c>
      <c r="J276" s="255">
        <f t="shared" si="303"/>
        <v>31.763000000000002</v>
      </c>
      <c r="K276" s="255">
        <f t="shared" si="303"/>
        <v>48.388999999999996</v>
      </c>
      <c r="L276" s="255">
        <f t="shared" si="303"/>
        <v>27.763999999999999</v>
      </c>
      <c r="M276" s="255">
        <f t="shared" si="303"/>
        <v>29.539000000000001</v>
      </c>
      <c r="N276" s="255">
        <f t="shared" si="303"/>
        <v>63.542999999999992</v>
      </c>
      <c r="O276" s="255">
        <f t="shared" si="303"/>
        <v>53.432999999999993</v>
      </c>
      <c r="P276" s="255">
        <f t="shared" si="303"/>
        <v>53.432999999999993</v>
      </c>
      <c r="Q276" s="255">
        <f t="shared" si="303"/>
        <v>51.657999999999994</v>
      </c>
      <c r="R276" s="255">
        <f t="shared" si="303"/>
        <v>46.013999999999996</v>
      </c>
      <c r="S276" s="255">
        <f t="shared" si="303"/>
        <v>49.55</v>
      </c>
      <c r="T276" s="255">
        <f>SUM(Q274:T274)</f>
        <v>136.911</v>
      </c>
      <c r="U276" s="255">
        <f>SUM(R274:U274)</f>
        <v>312.92</v>
      </c>
      <c r="V276" s="255">
        <f t="shared" ref="V276:AD276" si="304">SUM(S274:V274)</f>
        <v>285.61832417131689</v>
      </c>
      <c r="W276" s="255">
        <f t="shared" si="304"/>
        <v>311.8237408243113</v>
      </c>
      <c r="X276" s="255">
        <f t="shared" si="304"/>
        <v>261.42373485806274</v>
      </c>
      <c r="Y276" s="255">
        <f t="shared" si="304"/>
        <v>122.89630627257128</v>
      </c>
      <c r="Z276" s="255">
        <f t="shared" si="304"/>
        <v>148.88513089652005</v>
      </c>
      <c r="AA276" s="255">
        <f t="shared" si="304"/>
        <v>164.30223024970999</v>
      </c>
      <c r="AB276" s="255">
        <f t="shared" si="304"/>
        <v>179.8995294654697</v>
      </c>
      <c r="AC276" s="255">
        <f t="shared" si="304"/>
        <v>195.67702854379914</v>
      </c>
      <c r="AD276" s="255">
        <f t="shared" si="304"/>
        <v>211.63472748469835</v>
      </c>
      <c r="AE276"/>
    </row>
    <row r="277" spans="1:31" s="63" customFormat="1" ht="15" customHeight="1" outlineLevel="1">
      <c r="A277" s="199"/>
      <c r="B277" s="142"/>
      <c r="D277" s="84" t="s">
        <v>120</v>
      </c>
      <c r="G277" s="99" t="b">
        <f t="shared" ref="G277:T277" si="305">SUM(G317,G341,G365,G389,G413)=G274-SUM(G265:G266)</f>
        <v>1</v>
      </c>
      <c r="H277" s="99" t="b">
        <f t="shared" si="305"/>
        <v>1</v>
      </c>
      <c r="I277" s="99" t="b">
        <f t="shared" si="305"/>
        <v>1</v>
      </c>
      <c r="J277" s="99" t="b">
        <f t="shared" si="305"/>
        <v>1</v>
      </c>
      <c r="K277" s="99" t="b">
        <f t="shared" si="305"/>
        <v>1</v>
      </c>
      <c r="L277" s="99" t="b">
        <f t="shared" si="305"/>
        <v>1</v>
      </c>
      <c r="M277" s="99" t="b">
        <f t="shared" si="305"/>
        <v>1</v>
      </c>
      <c r="N277" s="99" t="b">
        <f t="shared" si="305"/>
        <v>1</v>
      </c>
      <c r="O277" s="99" t="b">
        <f t="shared" si="305"/>
        <v>1</v>
      </c>
      <c r="P277" s="99" t="b">
        <f t="shared" si="305"/>
        <v>1</v>
      </c>
      <c r="Q277" s="99" t="b">
        <f t="shared" si="305"/>
        <v>1</v>
      </c>
      <c r="R277" s="99" t="b">
        <f t="shared" si="305"/>
        <v>1</v>
      </c>
      <c r="S277" s="99" t="b">
        <f t="shared" si="305"/>
        <v>1</v>
      </c>
      <c r="T277" s="99" t="b">
        <f t="shared" si="305"/>
        <v>1</v>
      </c>
      <c r="U277" s="99" t="b">
        <f>SUM(U317,U341,U365,U389,U413)=U274-SUM(U265:U266)</f>
        <v>1</v>
      </c>
      <c r="V277" s="248"/>
      <c r="W277" s="248"/>
      <c r="X277" s="248"/>
      <c r="Y277" s="248"/>
      <c r="Z277" s="248"/>
      <c r="AA277" s="248"/>
      <c r="AB277" s="248"/>
      <c r="AC277" s="248"/>
      <c r="AD277" s="248"/>
      <c r="AE277" s="204"/>
    </row>
    <row r="278" spans="1:31" ht="15" customHeight="1" outlineLevel="1">
      <c r="D278" s="67" t="s">
        <v>306</v>
      </c>
      <c r="G278" s="7">
        <f t="shared" ref="G278:U278" si="306">-G127</f>
        <v>0</v>
      </c>
      <c r="H278" s="7">
        <f t="shared" si="306"/>
        <v>18.550999999999998</v>
      </c>
      <c r="I278" s="7">
        <f t="shared" si="306"/>
        <v>0</v>
      </c>
      <c r="J278" s="7">
        <f t="shared" si="306"/>
        <v>7.5850000000000009</v>
      </c>
      <c r="K278" s="7">
        <f t="shared" si="306"/>
        <v>14.348000000000001</v>
      </c>
      <c r="L278" s="7">
        <f t="shared" si="306"/>
        <v>-4.5999999999999999E-2</v>
      </c>
      <c r="M278" s="7">
        <f t="shared" si="306"/>
        <v>1.4389999999999998</v>
      </c>
      <c r="N278" s="7">
        <f t="shared" si="306"/>
        <v>39.425000000000004</v>
      </c>
      <c r="O278" s="7">
        <f t="shared" si="306"/>
        <v>6.6989999999999998</v>
      </c>
      <c r="P278" s="7">
        <f t="shared" si="306"/>
        <v>-0.254</v>
      </c>
      <c r="Q278" s="7">
        <f t="shared" si="306"/>
        <v>2E-3</v>
      </c>
      <c r="R278" s="7">
        <f t="shared" si="306"/>
        <v>37.255999999999993</v>
      </c>
      <c r="S278" s="7">
        <f t="shared" si="306"/>
        <v>10.105</v>
      </c>
      <c r="T278" s="7">
        <f t="shared" si="306"/>
        <v>85.912999999999997</v>
      </c>
      <c r="U278" s="7">
        <f t="shared" si="306"/>
        <v>147.72200000000001</v>
      </c>
      <c r="V278" s="206">
        <f t="shared" ref="V278:AD278" si="307">V274</f>
        <v>12.013324171316841</v>
      </c>
      <c r="W278" s="206">
        <f t="shared" si="307"/>
        <v>36.440416652994422</v>
      </c>
      <c r="X278" s="206">
        <f t="shared" si="307"/>
        <v>36.960994033751483</v>
      </c>
      <c r="Y278" s="206">
        <f t="shared" si="307"/>
        <v>37.481571414508544</v>
      </c>
      <c r="Z278" s="206">
        <f t="shared" si="307"/>
        <v>38.002148795265605</v>
      </c>
      <c r="AA278" s="206">
        <f t="shared" si="307"/>
        <v>51.857516006184362</v>
      </c>
      <c r="AB278" s="206">
        <f t="shared" si="307"/>
        <v>52.558293249511181</v>
      </c>
      <c r="AC278" s="206">
        <f t="shared" si="307"/>
        <v>53.259070492837999</v>
      </c>
      <c r="AD278" s="206">
        <f t="shared" si="307"/>
        <v>53.959847736164811</v>
      </c>
      <c r="AE278" s="7"/>
    </row>
    <row r="279" spans="1:31" ht="15" customHeight="1" outlineLevel="1">
      <c r="D279" s="84" t="s">
        <v>230</v>
      </c>
      <c r="G279" s="7">
        <f t="shared" ref="G279:T279" si="308">G274-G278</f>
        <v>0.183</v>
      </c>
      <c r="H279" s="7">
        <f t="shared" si="308"/>
        <v>2.0740000000000016</v>
      </c>
      <c r="I279" s="7">
        <f t="shared" si="308"/>
        <v>0</v>
      </c>
      <c r="J279" s="7">
        <f t="shared" si="308"/>
        <v>3.370000000000001</v>
      </c>
      <c r="K279" s="7">
        <f t="shared" si="308"/>
        <v>2.4609999999999967</v>
      </c>
      <c r="L279" s="7">
        <f t="shared" si="308"/>
        <v>4.5999999999999999E-2</v>
      </c>
      <c r="M279" s="7">
        <f t="shared" si="308"/>
        <v>0.33600000000000119</v>
      </c>
      <c r="N279" s="7">
        <f t="shared" si="308"/>
        <v>5.5339999999999918</v>
      </c>
      <c r="O279" s="7">
        <f t="shared" si="308"/>
        <v>0</v>
      </c>
      <c r="P279" s="7">
        <f t="shared" si="308"/>
        <v>0.254</v>
      </c>
      <c r="Q279" s="7">
        <f t="shared" si="308"/>
        <v>-2E-3</v>
      </c>
      <c r="R279" s="7">
        <f t="shared" si="308"/>
        <v>2.0590000000000046</v>
      </c>
      <c r="S279" s="7">
        <f t="shared" si="308"/>
        <v>0.12999999999999901</v>
      </c>
      <c r="T279" s="7">
        <f t="shared" si="308"/>
        <v>1.4480000000000217</v>
      </c>
      <c r="U279" s="7">
        <f>U274-U278</f>
        <v>28.287000000000006</v>
      </c>
      <c r="V279" s="7">
        <f t="shared" ref="V279:AD279" si="309">V274-V278</f>
        <v>0</v>
      </c>
      <c r="W279" s="7">
        <f t="shared" si="309"/>
        <v>0</v>
      </c>
      <c r="X279" s="7">
        <f t="shared" si="309"/>
        <v>0</v>
      </c>
      <c r="Y279" s="7">
        <f t="shared" si="309"/>
        <v>0</v>
      </c>
      <c r="Z279" s="7">
        <f t="shared" si="309"/>
        <v>0</v>
      </c>
      <c r="AA279" s="7">
        <f t="shared" si="309"/>
        <v>0</v>
      </c>
      <c r="AB279" s="7">
        <f t="shared" si="309"/>
        <v>0</v>
      </c>
      <c r="AC279" s="7">
        <f t="shared" si="309"/>
        <v>0</v>
      </c>
      <c r="AD279" s="7">
        <f t="shared" si="309"/>
        <v>0</v>
      </c>
      <c r="AE279" s="7"/>
    </row>
    <row r="280" spans="1:31" s="63" customFormat="1" ht="15" customHeight="1" outlineLevel="1">
      <c r="A280" s="199"/>
      <c r="B280" s="142"/>
      <c r="D280" s="84" t="s">
        <v>307</v>
      </c>
      <c r="G280" s="214" t="str">
        <f t="shared" ref="G280:T280" si="310">IFERROR(IF(G278&lt;2,"na",G274/G278-1),"na")</f>
        <v>na</v>
      </c>
      <c r="H280" s="214">
        <f t="shared" si="310"/>
        <v>0.11179990297019038</v>
      </c>
      <c r="I280" s="214" t="str">
        <f t="shared" si="310"/>
        <v>na</v>
      </c>
      <c r="J280" s="214">
        <f t="shared" si="310"/>
        <v>0.44429795649307846</v>
      </c>
      <c r="K280" s="214">
        <f t="shared" si="310"/>
        <v>0.17152216336771642</v>
      </c>
      <c r="L280" s="214" t="str">
        <f t="shared" si="310"/>
        <v>na</v>
      </c>
      <c r="M280" s="214" t="str">
        <f t="shared" si="310"/>
        <v>na</v>
      </c>
      <c r="N280" s="214">
        <f t="shared" si="310"/>
        <v>0.14036778693722241</v>
      </c>
      <c r="O280" s="214">
        <f t="shared" si="310"/>
        <v>2.2204460492503131E-16</v>
      </c>
      <c r="P280" s="214" t="str">
        <f t="shared" si="310"/>
        <v>na</v>
      </c>
      <c r="Q280" s="214" t="str">
        <f t="shared" si="310"/>
        <v>na</v>
      </c>
      <c r="R280" s="214">
        <f t="shared" si="310"/>
        <v>5.5266265836375394E-2</v>
      </c>
      <c r="S280" s="214">
        <f t="shared" si="310"/>
        <v>1.2864918357248678E-2</v>
      </c>
      <c r="T280" s="214">
        <f t="shared" si="310"/>
        <v>1.6854259541629668E-2</v>
      </c>
      <c r="U280" s="214">
        <f>IFERROR(IF(U278&lt;2,"na",U274/U278-1),"na")</f>
        <v>0.19148806542018115</v>
      </c>
      <c r="V280" s="214">
        <f t="shared" ref="V280:AD280" si="311">IFERROR(IF(V278&lt;2,"na",V274/V278-1),"na")</f>
        <v>0</v>
      </c>
      <c r="W280" s="214">
        <f t="shared" si="311"/>
        <v>0</v>
      </c>
      <c r="X280" s="214">
        <f t="shared" si="311"/>
        <v>0</v>
      </c>
      <c r="Y280" s="214">
        <f t="shared" si="311"/>
        <v>0</v>
      </c>
      <c r="Z280" s="214">
        <f t="shared" si="311"/>
        <v>0</v>
      </c>
      <c r="AA280" s="214">
        <f t="shared" si="311"/>
        <v>0</v>
      </c>
      <c r="AB280" s="214">
        <f t="shared" si="311"/>
        <v>0</v>
      </c>
      <c r="AC280" s="214">
        <f t="shared" si="311"/>
        <v>0</v>
      </c>
      <c r="AD280" s="214">
        <f t="shared" si="311"/>
        <v>0</v>
      </c>
      <c r="AE280" s="204"/>
    </row>
    <row r="281" spans="1:31" ht="15" customHeight="1" outlineLevel="1"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"/>
    </row>
    <row r="282" spans="1:31" ht="15" customHeight="1" outlineLevel="1">
      <c r="A282" s="109" t="str">
        <f>"M&amp;A ($) - "&amp;D282</f>
        <v>M&amp;A ($) - Revenue</v>
      </c>
      <c r="D282" s="196" t="s">
        <v>192</v>
      </c>
      <c r="G282" s="7">
        <f t="shared" ref="G282:S282" si="312">G318+G342+G366+G390+G414</f>
        <v>0.16987179487179488</v>
      </c>
      <c r="H282" s="7">
        <f t="shared" si="312"/>
        <v>21.504611650485437</v>
      </c>
      <c r="I282" s="7">
        <f t="shared" si="312"/>
        <v>0</v>
      </c>
      <c r="J282" s="7">
        <f t="shared" si="312"/>
        <v>18.743069306930693</v>
      </c>
      <c r="K282" s="7">
        <f t="shared" si="312"/>
        <v>24.507932692307691</v>
      </c>
      <c r="L282" s="7">
        <f t="shared" si="312"/>
        <v>0</v>
      </c>
      <c r="M282" s="7">
        <f t="shared" si="312"/>
        <v>5.7850490196078432</v>
      </c>
      <c r="N282" s="7">
        <f t="shared" si="312"/>
        <v>64.530693069306935</v>
      </c>
      <c r="O282" s="7">
        <f t="shared" si="312"/>
        <v>1.6942307692307692</v>
      </c>
      <c r="P282" s="7">
        <f t="shared" si="312"/>
        <v>0</v>
      </c>
      <c r="Q282" s="7">
        <f t="shared" si="312"/>
        <v>0</v>
      </c>
      <c r="R282" s="7">
        <f t="shared" si="312"/>
        <v>51.779950495049505</v>
      </c>
      <c r="S282" s="7">
        <f t="shared" si="312"/>
        <v>11.117307692307692</v>
      </c>
      <c r="T282" s="7">
        <f>T318+T342+T366+T390+T414</f>
        <v>52.458899676375403</v>
      </c>
      <c r="U282" s="7">
        <f>U318+U342+U366+U390+U414</f>
        <v>80.765668767506995</v>
      </c>
      <c r="V282" s="206">
        <f t="shared" ref="V282:AD282" si="313">V285*V286/4</f>
        <v>7.5</v>
      </c>
      <c r="W282" s="206">
        <f t="shared" si="313"/>
        <v>32.5</v>
      </c>
      <c r="X282" s="206">
        <f t="shared" si="313"/>
        <v>32.5</v>
      </c>
      <c r="Y282" s="206">
        <f t="shared" si="313"/>
        <v>32.5</v>
      </c>
      <c r="Z282" s="206">
        <f t="shared" si="313"/>
        <v>32.5</v>
      </c>
      <c r="AA282" s="206">
        <f t="shared" si="313"/>
        <v>43.75</v>
      </c>
      <c r="AB282" s="206">
        <f t="shared" si="313"/>
        <v>43.75</v>
      </c>
      <c r="AC282" s="206">
        <f t="shared" si="313"/>
        <v>43.75</v>
      </c>
      <c r="AD282" s="206">
        <f t="shared" si="313"/>
        <v>43.75</v>
      </c>
      <c r="AE282" s="7"/>
    </row>
    <row r="283" spans="1:31" ht="15" customHeight="1" outlineLevel="1">
      <c r="D283" s="250" t="s">
        <v>308</v>
      </c>
      <c r="G283" s="277">
        <f t="shared" ref="G283:T283" si="314">IFERROR((G275)/(G282*4),"na")</f>
        <v>0.62841509433962273</v>
      </c>
      <c r="H283" s="277">
        <f t="shared" si="314"/>
        <v>0.28992618426844546</v>
      </c>
      <c r="I283" s="277" t="str">
        <f t="shared" si="314"/>
        <v>na</v>
      </c>
      <c r="J283" s="277">
        <f t="shared" si="314"/>
        <v>0.23396648266025727</v>
      </c>
      <c r="K283" s="277">
        <f t="shared" si="314"/>
        <v>0.22369287809088506</v>
      </c>
      <c r="L283" s="277" t="str">
        <f t="shared" si="314"/>
        <v>na</v>
      </c>
      <c r="M283" s="277">
        <f t="shared" si="314"/>
        <v>0.30211498538321396</v>
      </c>
      <c r="N283" s="277">
        <f t="shared" si="314"/>
        <v>0.25510341229900579</v>
      </c>
      <c r="O283" s="277">
        <f t="shared" si="314"/>
        <v>2.045028376844495</v>
      </c>
      <c r="P283" s="277" t="str">
        <f t="shared" si="314"/>
        <v>na</v>
      </c>
      <c r="Q283" s="277" t="str">
        <f t="shared" si="314"/>
        <v>na</v>
      </c>
      <c r="R283" s="277">
        <f t="shared" si="314"/>
        <v>0.23385016563810107</v>
      </c>
      <c r="S283" s="277">
        <f t="shared" si="314"/>
        <v>0.45836187510811277</v>
      </c>
      <c r="T283" s="277">
        <f t="shared" si="314"/>
        <v>0.50663948660686742</v>
      </c>
      <c r="U283" s="277">
        <f>IFERROR((U275)/(U282*4),"na")</f>
        <v>0.63179071972878631</v>
      </c>
      <c r="V283" s="259">
        <v>0.5</v>
      </c>
      <c r="W283" s="259">
        <v>0.35</v>
      </c>
      <c r="X283" s="259">
        <f t="shared" ref="X283:AD283" si="315">W283+0.005</f>
        <v>0.35499999999999998</v>
      </c>
      <c r="Y283" s="259">
        <f t="shared" si="315"/>
        <v>0.36</v>
      </c>
      <c r="Z283" s="259">
        <f t="shared" si="315"/>
        <v>0.36499999999999999</v>
      </c>
      <c r="AA283" s="259">
        <f t="shared" si="315"/>
        <v>0.37</v>
      </c>
      <c r="AB283" s="259">
        <f t="shared" si="315"/>
        <v>0.375</v>
      </c>
      <c r="AC283" s="259">
        <f t="shared" si="315"/>
        <v>0.38</v>
      </c>
      <c r="AD283" s="259">
        <f t="shared" si="315"/>
        <v>0.38500000000000001</v>
      </c>
      <c r="AE283" s="7"/>
    </row>
    <row r="284" spans="1:31" ht="15" customHeight="1" outlineLevel="1">
      <c r="D284" s="196" t="s">
        <v>282</v>
      </c>
      <c r="G284" s="7">
        <f t="shared" ref="G284:S284" si="316">G319+G343+G367+G391+G415</f>
        <v>-3.9333333333333331E-2</v>
      </c>
      <c r="H284" s="7">
        <f t="shared" si="316"/>
        <v>-2.2397499999999999</v>
      </c>
      <c r="I284" s="7">
        <f t="shared" si="316"/>
        <v>0</v>
      </c>
      <c r="J284" s="7">
        <f t="shared" si="316"/>
        <v>3.95E-2</v>
      </c>
      <c r="K284" s="7">
        <f t="shared" si="316"/>
        <v>0.70100000000000007</v>
      </c>
      <c r="L284" s="7">
        <f t="shared" si="316"/>
        <v>0</v>
      </c>
      <c r="M284" s="7">
        <f t="shared" si="316"/>
        <v>1.4500000000000001E-2</v>
      </c>
      <c r="N284" s="7">
        <f t="shared" si="316"/>
        <v>0.28800000000000003</v>
      </c>
      <c r="O284" s="7">
        <f t="shared" si="316"/>
        <v>-0.378</v>
      </c>
      <c r="P284" s="7">
        <f t="shared" si="316"/>
        <v>0</v>
      </c>
      <c r="Q284" s="7">
        <f t="shared" si="316"/>
        <v>0</v>
      </c>
      <c r="R284" s="7">
        <f t="shared" si="316"/>
        <v>1.4330000000000001</v>
      </c>
      <c r="S284" s="7">
        <f t="shared" si="316"/>
        <v>0.22466666666666665</v>
      </c>
      <c r="T284" s="7">
        <f>T319+T343+T367+T391+T415</f>
        <v>3.0820000000000007</v>
      </c>
      <c r="U284" s="7">
        <f>U319+U343+U367+U391+U415</f>
        <v>2.6416666666666666</v>
      </c>
      <c r="V284" s="76"/>
      <c r="W284" s="76"/>
      <c r="X284" s="76"/>
      <c r="Y284" s="76"/>
      <c r="Z284" s="76"/>
      <c r="AA284" s="76"/>
      <c r="AB284" s="76"/>
      <c r="AC284" s="76"/>
      <c r="AD284" s="76"/>
      <c r="AE284" s="7"/>
    </row>
    <row r="285" spans="1:31" ht="15" customHeight="1" outlineLevel="1">
      <c r="A285" s="109" t="str">
        <f>"M&amp;A (#) - "&amp;D285</f>
        <v>M&amp;A (#) - Number of acquisitions</v>
      </c>
      <c r="D285" s="196" t="s">
        <v>316</v>
      </c>
      <c r="G285" s="7" cm="1">
        <f t="array" ref="G285">SUMPRODUCT(--(G299:G418&gt;0),--($D299:$D418="Total purchase price"))/2</f>
        <v>1</v>
      </c>
      <c r="H285" s="7" cm="1">
        <f t="array" ref="H285">SUMPRODUCT(--(H299:H418&gt;0),--($D299:$D418="Total purchase price"))/2</f>
        <v>2</v>
      </c>
      <c r="I285" s="7" cm="1">
        <f t="array" ref="I285">SUMPRODUCT(--(I299:I418&gt;0),--($D299:$D418="Total purchase price"))/2</f>
        <v>0</v>
      </c>
      <c r="J285" s="7" cm="1">
        <f t="array" ref="J285">SUMPRODUCT(--(J299:J418&gt;0),--($D299:$D418="Total purchase price"))/2</f>
        <v>1</v>
      </c>
      <c r="K285" s="7" cm="1">
        <f t="array" ref="K285">SUMPRODUCT(--(K299:K418&gt;0),--($D299:$D418="Total purchase price"))/2</f>
        <v>1</v>
      </c>
      <c r="L285" s="7" cm="1">
        <f t="array" ref="L285">SUMPRODUCT(--(L299:L418&gt;0),--($D299:$D418="Total purchase price"))/2</f>
        <v>0</v>
      </c>
      <c r="M285" s="7" cm="1">
        <f t="array" ref="M285">SUMPRODUCT(--(M299:M418&gt;0),--($D299:$D418="Total purchase price"))/2</f>
        <v>1</v>
      </c>
      <c r="N285" s="7" cm="1">
        <f t="array" ref="N285">SUMPRODUCT(--(N299:N418&gt;0),--($D299:$D418="Total purchase price"))/2</f>
        <v>3</v>
      </c>
      <c r="O285" s="7" cm="1">
        <f t="array" ref="O285">SUMPRODUCT(--(O299:O418&gt;0),--($D299:$D418="Total purchase price"))/2</f>
        <v>1</v>
      </c>
      <c r="P285" s="7" cm="1">
        <f t="array" ref="P285">SUMPRODUCT(--(P299:P418&gt;0),--($D299:$D418="Total purchase price"))/2</f>
        <v>0</v>
      </c>
      <c r="Q285" s="7" cm="1">
        <f t="array" ref="Q285">SUMPRODUCT(--(Q299:Q418&gt;0),--($D299:$D418="Total purchase price"))/2</f>
        <v>0</v>
      </c>
      <c r="R285" s="7" cm="1">
        <f t="array" ref="R285">SUMPRODUCT(--(R299:R418&gt;0),--($D299:$D418="Total purchase price"))/2</f>
        <v>4</v>
      </c>
      <c r="S285" s="7" cm="1">
        <f t="array" ref="S285">SUMPRODUCT(--(S299:S418&gt;0),--($D299:$D418="Total purchase price"))/2</f>
        <v>2</v>
      </c>
      <c r="T285" s="7" cm="1">
        <f t="array" ref="T285">SUMPRODUCT(--(T299:T418&gt;0),--($D299:$D418="Total purchase price"))/2</f>
        <v>2</v>
      </c>
      <c r="U285" s="7" cm="1">
        <f t="array" ref="U285">SUMPRODUCT(--(U299:U418&gt;0),--($D299:$D418="Total purchase price"))/2</f>
        <v>3</v>
      </c>
      <c r="V285" s="100">
        <v>2</v>
      </c>
      <c r="W285" s="100">
        <v>2</v>
      </c>
      <c r="X285" s="100">
        <v>2</v>
      </c>
      <c r="Y285" s="100">
        <v>2</v>
      </c>
      <c r="Z285" s="100">
        <v>2</v>
      </c>
      <c r="AA285" s="100">
        <v>2.5</v>
      </c>
      <c r="AB285" s="100">
        <v>2.5</v>
      </c>
      <c r="AC285" s="100">
        <v>2.5</v>
      </c>
      <c r="AD285" s="100">
        <v>2.5</v>
      </c>
      <c r="AE285" s="7"/>
    </row>
    <row r="286" spans="1:31" ht="15" customHeight="1" outlineLevel="1">
      <c r="D286" s="196" t="s">
        <v>329</v>
      </c>
      <c r="G286" s="90">
        <f t="shared" ref="G286:S286" si="317">IFERROR(G282*4/G285,"na")</f>
        <v>0.67948717948717952</v>
      </c>
      <c r="H286" s="90">
        <f t="shared" si="317"/>
        <v>43.009223300970874</v>
      </c>
      <c r="I286" s="90" t="str">
        <f t="shared" si="317"/>
        <v>na</v>
      </c>
      <c r="J286" s="90">
        <f t="shared" si="317"/>
        <v>74.97227722772277</v>
      </c>
      <c r="K286" s="90">
        <f t="shared" si="317"/>
        <v>98.031730769230762</v>
      </c>
      <c r="L286" s="90" t="str">
        <f t="shared" si="317"/>
        <v>na</v>
      </c>
      <c r="M286" s="90">
        <f t="shared" si="317"/>
        <v>23.140196078431373</v>
      </c>
      <c r="N286" s="90">
        <f t="shared" si="317"/>
        <v>86.040924092409242</v>
      </c>
      <c r="O286" s="90">
        <f t="shared" si="317"/>
        <v>6.7769230769230768</v>
      </c>
      <c r="P286" s="90" t="str">
        <f t="shared" si="317"/>
        <v>na</v>
      </c>
      <c r="Q286" s="90" t="str">
        <f t="shared" si="317"/>
        <v>na</v>
      </c>
      <c r="R286" s="90">
        <f t="shared" si="317"/>
        <v>51.779950495049505</v>
      </c>
      <c r="S286" s="90">
        <f t="shared" si="317"/>
        <v>22.234615384615385</v>
      </c>
      <c r="T286" s="90">
        <f>IFERROR(T282*4/T285,"na")</f>
        <v>104.91779935275081</v>
      </c>
      <c r="U286" s="90">
        <f>IFERROR(U282*4/U285,"na")</f>
        <v>107.68755835667599</v>
      </c>
      <c r="V286" s="79">
        <v>15</v>
      </c>
      <c r="W286" s="79">
        <v>65</v>
      </c>
      <c r="X286" s="79">
        <f>W286</f>
        <v>65</v>
      </c>
      <c r="Y286" s="79">
        <f>X286</f>
        <v>65</v>
      </c>
      <c r="Z286" s="79">
        <f>Y286</f>
        <v>65</v>
      </c>
      <c r="AA286" s="79">
        <f>Z286+5</f>
        <v>70</v>
      </c>
      <c r="AB286" s="79">
        <f>AA286</f>
        <v>70</v>
      </c>
      <c r="AC286" s="79">
        <f>AB286</f>
        <v>70</v>
      </c>
      <c r="AD286" s="79">
        <f>AC286</f>
        <v>70</v>
      </c>
      <c r="AE286" s="7"/>
    </row>
    <row r="287" spans="1:31" ht="15" customHeight="1" outlineLevel="1">
      <c r="D287" s="196" t="s">
        <v>443</v>
      </c>
      <c r="F287" s="6">
        <v>2</v>
      </c>
      <c r="G287" s="7">
        <f>F287+G285</f>
        <v>3</v>
      </c>
      <c r="H287" s="7">
        <f t="shared" ref="H287:AD287" si="318">G287+H285</f>
        <v>5</v>
      </c>
      <c r="I287" s="7">
        <f t="shared" si="318"/>
        <v>5</v>
      </c>
      <c r="J287" s="7">
        <f t="shared" si="318"/>
        <v>6</v>
      </c>
      <c r="K287" s="7">
        <f t="shared" si="318"/>
        <v>7</v>
      </c>
      <c r="L287" s="7">
        <f t="shared" si="318"/>
        <v>7</v>
      </c>
      <c r="M287" s="7">
        <f t="shared" si="318"/>
        <v>8</v>
      </c>
      <c r="N287" s="7">
        <f t="shared" si="318"/>
        <v>11</v>
      </c>
      <c r="O287" s="7">
        <f t="shared" si="318"/>
        <v>12</v>
      </c>
      <c r="P287" s="7">
        <f t="shared" si="318"/>
        <v>12</v>
      </c>
      <c r="Q287" s="7">
        <f t="shared" si="318"/>
        <v>12</v>
      </c>
      <c r="R287" s="7">
        <f t="shared" si="318"/>
        <v>16</v>
      </c>
      <c r="S287" s="7">
        <f t="shared" si="318"/>
        <v>18</v>
      </c>
      <c r="T287" s="7">
        <f t="shared" si="318"/>
        <v>20</v>
      </c>
      <c r="U287" s="7">
        <f t="shared" si="318"/>
        <v>23</v>
      </c>
      <c r="V287" s="7">
        <f t="shared" si="318"/>
        <v>25</v>
      </c>
      <c r="W287" s="7">
        <f t="shared" si="318"/>
        <v>27</v>
      </c>
      <c r="X287" s="7">
        <f t="shared" si="318"/>
        <v>29</v>
      </c>
      <c r="Y287" s="7">
        <f t="shared" si="318"/>
        <v>31</v>
      </c>
      <c r="Z287" s="7">
        <f t="shared" si="318"/>
        <v>33</v>
      </c>
      <c r="AA287" s="7">
        <f t="shared" si="318"/>
        <v>35.5</v>
      </c>
      <c r="AB287" s="7">
        <f t="shared" si="318"/>
        <v>38</v>
      </c>
      <c r="AC287" s="7">
        <f t="shared" si="318"/>
        <v>40.5</v>
      </c>
      <c r="AD287" s="7">
        <f t="shared" si="318"/>
        <v>43</v>
      </c>
      <c r="AE287" s="7"/>
    </row>
    <row r="288" spans="1:31" ht="15" customHeight="1" outlineLevel="1">
      <c r="D288" s="5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"/>
    </row>
    <row r="289" spans="1:31" ht="15" customHeight="1" outlineLevel="1">
      <c r="A289" s="109" t="str">
        <f>"M&amp;A - "&amp;D289</f>
        <v>M&amp;A - % - Upfront Equity</v>
      </c>
      <c r="D289" s="84" t="str">
        <f t="shared" ref="D289:D297" si="319">"% - "&amp;D265</f>
        <v>% - Upfront Equity</v>
      </c>
      <c r="G289" s="214">
        <f t="shared" ref="G289:T289" si="320">IFERROR(G265/G$274,"na")</f>
        <v>-1.3333333333333333</v>
      </c>
      <c r="H289" s="214">
        <f t="shared" si="320"/>
        <v>0</v>
      </c>
      <c r="I289" s="214" t="str">
        <f t="shared" si="320"/>
        <v>na</v>
      </c>
      <c r="J289" s="214">
        <f t="shared" si="320"/>
        <v>0</v>
      </c>
      <c r="K289" s="214">
        <f t="shared" si="320"/>
        <v>-0.30459872687250883</v>
      </c>
      <c r="L289" s="214" t="str">
        <f t="shared" si="320"/>
        <v>na</v>
      </c>
      <c r="M289" s="214">
        <f t="shared" si="320"/>
        <v>0</v>
      </c>
      <c r="N289" s="214">
        <f t="shared" si="320"/>
        <v>-5.81196200983118E-2</v>
      </c>
      <c r="O289" s="214">
        <f t="shared" si="320"/>
        <v>0</v>
      </c>
      <c r="P289" s="214" t="str">
        <f t="shared" si="320"/>
        <v>na</v>
      </c>
      <c r="Q289" s="214" t="str">
        <f t="shared" si="320"/>
        <v>na</v>
      </c>
      <c r="R289" s="214">
        <f t="shared" si="320"/>
        <v>-7.2186188477680283E-2</v>
      </c>
      <c r="S289" s="214">
        <f t="shared" si="320"/>
        <v>-0.18319491939423549</v>
      </c>
      <c r="T289" s="214">
        <f t="shared" si="320"/>
        <v>0</v>
      </c>
      <c r="U289" s="214">
        <f t="shared" ref="U289:U297" si="321">IFERROR(U265/U$274,"na")</f>
        <v>0</v>
      </c>
      <c r="V289" s="76">
        <v>0</v>
      </c>
      <c r="W289" s="76">
        <f t="shared" ref="W289:AD291" si="322">V289</f>
        <v>0</v>
      </c>
      <c r="X289" s="76">
        <f t="shared" si="322"/>
        <v>0</v>
      </c>
      <c r="Y289" s="76">
        <f t="shared" si="322"/>
        <v>0</v>
      </c>
      <c r="Z289" s="76">
        <f t="shared" si="322"/>
        <v>0</v>
      </c>
      <c r="AA289" s="76">
        <f t="shared" si="322"/>
        <v>0</v>
      </c>
      <c r="AB289" s="76">
        <f t="shared" si="322"/>
        <v>0</v>
      </c>
      <c r="AC289" s="76">
        <f t="shared" si="322"/>
        <v>0</v>
      </c>
      <c r="AD289" s="76">
        <f t="shared" si="322"/>
        <v>0</v>
      </c>
      <c r="AE289" s="7"/>
    </row>
    <row r="290" spans="1:31" ht="15" customHeight="1" outlineLevel="1">
      <c r="A290" s="109" t="str">
        <f t="shared" ref="A290:A297" si="323">"M&amp;A - "&amp;D290</f>
        <v>M&amp;A - % - Deferred &amp; contingent consideration</v>
      </c>
      <c r="D290" s="84" t="str">
        <f t="shared" si="319"/>
        <v>% - Deferred &amp; contingent consideration</v>
      </c>
      <c r="G290" s="214">
        <f t="shared" ref="G290:T290" si="324">IFERROR(G266/G$274,"na")</f>
        <v>0</v>
      </c>
      <c r="H290" s="214">
        <f t="shared" si="324"/>
        <v>-0.20916363636363636</v>
      </c>
      <c r="I290" s="214" t="str">
        <f t="shared" si="324"/>
        <v>na</v>
      </c>
      <c r="J290" s="214">
        <f t="shared" si="324"/>
        <v>-0.60118667275216786</v>
      </c>
      <c r="K290" s="214">
        <f t="shared" si="324"/>
        <v>0</v>
      </c>
      <c r="L290" s="214" t="str">
        <f t="shared" si="324"/>
        <v>na</v>
      </c>
      <c r="M290" s="214">
        <f t="shared" si="324"/>
        <v>-2.938591549295773</v>
      </c>
      <c r="N290" s="214">
        <f t="shared" si="324"/>
        <v>-0.4065037033741854</v>
      </c>
      <c r="O290" s="214">
        <f t="shared" si="324"/>
        <v>-1.0688162412300342</v>
      </c>
      <c r="P290" s="214" t="str">
        <f t="shared" si="324"/>
        <v>na</v>
      </c>
      <c r="Q290" s="214" t="str">
        <f t="shared" si="324"/>
        <v>na</v>
      </c>
      <c r="R290" s="214">
        <f t="shared" si="324"/>
        <v>-0.15978634109118658</v>
      </c>
      <c r="S290" s="214">
        <f t="shared" si="324"/>
        <v>-0.80830483634587202</v>
      </c>
      <c r="T290" s="214">
        <f t="shared" si="324"/>
        <v>-0.21691601515550413</v>
      </c>
      <c r="U290" s="214">
        <f t="shared" si="321"/>
        <v>-0.15964524541358679</v>
      </c>
      <c r="V290" s="76">
        <f>SUM($G266:U266)/SUM($G$274:U$274)</f>
        <v>-0.24861360486834963</v>
      </c>
      <c r="W290" s="76">
        <f t="shared" si="322"/>
        <v>-0.24861360486834963</v>
      </c>
      <c r="X290" s="76">
        <f t="shared" si="322"/>
        <v>-0.24861360486834963</v>
      </c>
      <c r="Y290" s="76">
        <f t="shared" si="322"/>
        <v>-0.24861360486834963</v>
      </c>
      <c r="Z290" s="76">
        <f t="shared" si="322"/>
        <v>-0.24861360486834963</v>
      </c>
      <c r="AA290" s="76">
        <f t="shared" si="322"/>
        <v>-0.24861360486834963</v>
      </c>
      <c r="AB290" s="76">
        <f t="shared" si="322"/>
        <v>-0.24861360486834963</v>
      </c>
      <c r="AC290" s="76">
        <f t="shared" si="322"/>
        <v>-0.24861360486834963</v>
      </c>
      <c r="AD290" s="76">
        <f t="shared" si="322"/>
        <v>-0.24861360486834963</v>
      </c>
      <c r="AE290" s="7"/>
    </row>
    <row r="291" spans="1:31" ht="15" customHeight="1" outlineLevel="1">
      <c r="A291" s="109" t="str">
        <f t="shared" si="323"/>
        <v>M&amp;A - % - Non-cash NWC</v>
      </c>
      <c r="D291" s="84" t="str">
        <f t="shared" si="319"/>
        <v>% - Non-cash NWC</v>
      </c>
      <c r="G291" s="214">
        <f t="shared" ref="G291:T291" si="325">IFERROR(G267/G$274,"na")</f>
        <v>-0.45901639344262302</v>
      </c>
      <c r="H291" s="214">
        <f t="shared" si="325"/>
        <v>3.9175757575757718E-2</v>
      </c>
      <c r="I291" s="214" t="str">
        <f t="shared" si="325"/>
        <v>na</v>
      </c>
      <c r="J291" s="214">
        <f t="shared" si="325"/>
        <v>-0.36366955727978068</v>
      </c>
      <c r="K291" s="214">
        <f t="shared" si="325"/>
        <v>-0.17139627580462868</v>
      </c>
      <c r="L291" s="214" t="str">
        <f t="shared" si="325"/>
        <v>na</v>
      </c>
      <c r="M291" s="214">
        <f t="shared" si="325"/>
        <v>-0.19774647887323932</v>
      </c>
      <c r="N291" s="214">
        <f t="shared" si="325"/>
        <v>-7.6647612268956167E-2</v>
      </c>
      <c r="O291" s="214">
        <f t="shared" si="325"/>
        <v>-5.6724884311091232E-2</v>
      </c>
      <c r="P291" s="214" t="str">
        <f t="shared" si="325"/>
        <v>na</v>
      </c>
      <c r="Q291" s="214" t="str">
        <f t="shared" si="325"/>
        <v>na</v>
      </c>
      <c r="R291" s="214">
        <f t="shared" si="325"/>
        <v>9.1797024036627276E-2</v>
      </c>
      <c r="S291" s="214">
        <f t="shared" si="325"/>
        <v>-3.4587200781631619E-2</v>
      </c>
      <c r="T291" s="214">
        <f t="shared" si="325"/>
        <v>6.5154931834571495E-2</v>
      </c>
      <c r="U291" s="214">
        <f t="shared" si="321"/>
        <v>-6.709884153651236E-3</v>
      </c>
      <c r="V291" s="76">
        <f>SUM($G267:U267)/SUM($G$274:U$274)</f>
        <v>-6.1505091281556816E-3</v>
      </c>
      <c r="W291" s="76">
        <f t="shared" si="322"/>
        <v>-6.1505091281556816E-3</v>
      </c>
      <c r="X291" s="76">
        <f t="shared" si="322"/>
        <v>-6.1505091281556816E-3</v>
      </c>
      <c r="Y291" s="76">
        <f t="shared" si="322"/>
        <v>-6.1505091281556816E-3</v>
      </c>
      <c r="Z291" s="76">
        <f t="shared" si="322"/>
        <v>-6.1505091281556816E-3</v>
      </c>
      <c r="AA291" s="76">
        <f t="shared" si="322"/>
        <v>-6.1505091281556816E-3</v>
      </c>
      <c r="AB291" s="76">
        <f t="shared" si="322"/>
        <v>-6.1505091281556816E-3</v>
      </c>
      <c r="AC291" s="76">
        <f t="shared" si="322"/>
        <v>-6.1505091281556816E-3</v>
      </c>
      <c r="AD291" s="76">
        <f t="shared" si="322"/>
        <v>-6.1505091281556816E-3</v>
      </c>
      <c r="AE291" s="7"/>
    </row>
    <row r="292" spans="1:31" ht="15" customHeight="1" outlineLevel="1">
      <c r="A292" s="109" t="str">
        <f t="shared" si="323"/>
        <v>M&amp;A - % - PP&amp;E</v>
      </c>
      <c r="D292" s="84" t="str">
        <f t="shared" si="319"/>
        <v>% - PP&amp;E</v>
      </c>
      <c r="G292" s="214">
        <f t="shared" ref="G292:T292" si="326">IFERROR(G268/G$274,"na")</f>
        <v>2.7322404371584702E-2</v>
      </c>
      <c r="H292" s="214">
        <f t="shared" si="326"/>
        <v>0.17304242424242425</v>
      </c>
      <c r="I292" s="214" t="str">
        <f t="shared" si="326"/>
        <v>na</v>
      </c>
      <c r="J292" s="214">
        <f t="shared" si="326"/>
        <v>3.6239160200821539E-2</v>
      </c>
      <c r="K292" s="214">
        <f t="shared" si="326"/>
        <v>6.7404366708311028E-2</v>
      </c>
      <c r="L292" s="214" t="str">
        <f t="shared" si="326"/>
        <v>na</v>
      </c>
      <c r="M292" s="214">
        <f t="shared" si="326"/>
        <v>0.1250704225352112</v>
      </c>
      <c r="N292" s="214">
        <f t="shared" si="326"/>
        <v>7.4979425698970176E-2</v>
      </c>
      <c r="O292" s="214">
        <f t="shared" si="326"/>
        <v>2.0749365576951784E-2</v>
      </c>
      <c r="P292" s="214" t="str">
        <f t="shared" si="326"/>
        <v>na</v>
      </c>
      <c r="Q292" s="214" t="str">
        <f t="shared" si="326"/>
        <v>na</v>
      </c>
      <c r="R292" s="214">
        <f t="shared" si="326"/>
        <v>4.1205646699732932E-3</v>
      </c>
      <c r="S292" s="214">
        <f t="shared" si="326"/>
        <v>9.7508549096238406E-2</v>
      </c>
      <c r="T292" s="214">
        <f t="shared" si="326"/>
        <v>9.2146381108274833E-3</v>
      </c>
      <c r="U292" s="214">
        <f t="shared" si="321"/>
        <v>5.6417569556102241E-3</v>
      </c>
      <c r="V292" s="76">
        <f>SUM($G268:U268)/SUM($G$274:U$274)</f>
        <v>2.8424414050732056E-2</v>
      </c>
      <c r="W292" s="76">
        <f>SUM($G268:V268)/SUM($G$274:V$274)</f>
        <v>2.8424414050732056E-2</v>
      </c>
      <c r="X292" s="76">
        <f t="shared" ref="W292:AD293" si="327">W292</f>
        <v>2.8424414050732056E-2</v>
      </c>
      <c r="Y292" s="76">
        <f t="shared" si="327"/>
        <v>2.8424414050732056E-2</v>
      </c>
      <c r="Z292" s="76">
        <f t="shared" si="327"/>
        <v>2.8424414050732056E-2</v>
      </c>
      <c r="AA292" s="76">
        <f t="shared" si="327"/>
        <v>2.8424414050732056E-2</v>
      </c>
      <c r="AB292" s="76">
        <f t="shared" si="327"/>
        <v>2.8424414050732056E-2</v>
      </c>
      <c r="AC292" s="76">
        <f t="shared" si="327"/>
        <v>2.8424414050732056E-2</v>
      </c>
      <c r="AD292" s="76">
        <f t="shared" si="327"/>
        <v>2.8424414050732056E-2</v>
      </c>
      <c r="AE292" s="7"/>
    </row>
    <row r="293" spans="1:31" ht="15" customHeight="1" outlineLevel="1">
      <c r="A293" s="109" t="str">
        <f t="shared" si="323"/>
        <v>M&amp;A - % - ROU</v>
      </c>
      <c r="D293" s="84" t="str">
        <f t="shared" si="319"/>
        <v>% - ROU</v>
      </c>
      <c r="G293" s="214">
        <f t="shared" ref="G293:T293" si="328">IFERROR(G269/G$274,"na")</f>
        <v>0</v>
      </c>
      <c r="H293" s="214">
        <f t="shared" si="328"/>
        <v>0</v>
      </c>
      <c r="I293" s="214" t="str">
        <f t="shared" si="328"/>
        <v>na</v>
      </c>
      <c r="J293" s="214">
        <f t="shared" si="328"/>
        <v>0</v>
      </c>
      <c r="K293" s="214">
        <f t="shared" si="328"/>
        <v>0.40430721637218164</v>
      </c>
      <c r="L293" s="214" t="str">
        <f t="shared" si="328"/>
        <v>na</v>
      </c>
      <c r="M293" s="214">
        <f t="shared" si="328"/>
        <v>0.70309859154929533</v>
      </c>
      <c r="N293" s="214">
        <f t="shared" si="328"/>
        <v>9.1171956671634163E-2</v>
      </c>
      <c r="O293" s="214">
        <f t="shared" si="328"/>
        <v>5.3590088072846688E-2</v>
      </c>
      <c r="P293" s="214" t="str">
        <f t="shared" si="328"/>
        <v>na</v>
      </c>
      <c r="Q293" s="214" t="str">
        <f t="shared" si="328"/>
        <v>na</v>
      </c>
      <c r="R293" s="214">
        <f t="shared" si="328"/>
        <v>5.3389291618974953E-2</v>
      </c>
      <c r="S293" s="214">
        <f t="shared" si="328"/>
        <v>0.23331704934049829</v>
      </c>
      <c r="T293" s="214">
        <f t="shared" si="328"/>
        <v>2.2172365243071847E-2</v>
      </c>
      <c r="U293" s="214">
        <f t="shared" si="321"/>
        <v>1.5527615065138712E-2</v>
      </c>
      <c r="V293" s="76">
        <f>SUM($G269:U269)/SUM($G$274:U$274)</f>
        <v>5.219979514370067E-2</v>
      </c>
      <c r="W293" s="76">
        <f t="shared" si="327"/>
        <v>5.219979514370067E-2</v>
      </c>
      <c r="X293" s="76">
        <f t="shared" si="327"/>
        <v>5.219979514370067E-2</v>
      </c>
      <c r="Y293" s="76">
        <f t="shared" si="327"/>
        <v>5.219979514370067E-2</v>
      </c>
      <c r="Z293" s="76">
        <f t="shared" si="327"/>
        <v>5.219979514370067E-2</v>
      </c>
      <c r="AA293" s="76">
        <f t="shared" si="327"/>
        <v>5.219979514370067E-2</v>
      </c>
      <c r="AB293" s="76">
        <f t="shared" si="327"/>
        <v>5.219979514370067E-2</v>
      </c>
      <c r="AC293" s="76">
        <f t="shared" si="327"/>
        <v>5.219979514370067E-2</v>
      </c>
      <c r="AD293" s="76">
        <f t="shared" si="327"/>
        <v>5.219979514370067E-2</v>
      </c>
      <c r="AE293" s="7"/>
    </row>
    <row r="294" spans="1:31" ht="15" customHeight="1" outlineLevel="1">
      <c r="A294" s="109" t="str">
        <f t="shared" si="323"/>
        <v>M&amp;A - % - Intangible assets</v>
      </c>
      <c r="D294" s="84" t="str">
        <f t="shared" si="319"/>
        <v>% - Intangible assets</v>
      </c>
      <c r="G294" s="214">
        <f t="shared" ref="G294:T294" si="329">IFERROR(G270/G$274,"na")</f>
        <v>0</v>
      </c>
      <c r="H294" s="214">
        <f t="shared" si="329"/>
        <v>0.69886060606060618</v>
      </c>
      <c r="I294" s="214" t="str">
        <f t="shared" si="329"/>
        <v>na</v>
      </c>
      <c r="J294" s="214">
        <f t="shared" si="329"/>
        <v>1.1193062528525786</v>
      </c>
      <c r="K294" s="214">
        <f t="shared" si="329"/>
        <v>0.704860491403415</v>
      </c>
      <c r="L294" s="214" t="str">
        <f t="shared" si="329"/>
        <v>na</v>
      </c>
      <c r="M294" s="214">
        <f t="shared" si="329"/>
        <v>2.5492957746478861</v>
      </c>
      <c r="N294" s="214">
        <f t="shared" si="329"/>
        <v>0.82355034587068221</v>
      </c>
      <c r="O294" s="214">
        <f t="shared" si="329"/>
        <v>0.77996715927750393</v>
      </c>
      <c r="P294" s="214" t="str">
        <f t="shared" si="329"/>
        <v>na</v>
      </c>
      <c r="Q294" s="214" t="str">
        <f t="shared" si="329"/>
        <v>na</v>
      </c>
      <c r="R294" s="214">
        <f t="shared" si="329"/>
        <v>0.65639069057611599</v>
      </c>
      <c r="S294" s="214">
        <f t="shared" si="329"/>
        <v>0.99570102589154874</v>
      </c>
      <c r="T294" s="214">
        <f t="shared" si="329"/>
        <v>0.4954613614770893</v>
      </c>
      <c r="U294" s="214">
        <f t="shared" si="321"/>
        <v>0.53776227352010408</v>
      </c>
      <c r="V294" s="76">
        <f>SUM($G270:U270)/SUM($G$274:U$274)</f>
        <v>0.62476833162619738</v>
      </c>
      <c r="W294" s="76">
        <f t="shared" ref="W294:AD294" si="330">V294</f>
        <v>0.62476833162619738</v>
      </c>
      <c r="X294" s="76">
        <f t="shared" si="330"/>
        <v>0.62476833162619738</v>
      </c>
      <c r="Y294" s="76">
        <f t="shared" si="330"/>
        <v>0.62476833162619738</v>
      </c>
      <c r="Z294" s="76">
        <f t="shared" si="330"/>
        <v>0.62476833162619738</v>
      </c>
      <c r="AA294" s="76">
        <f t="shared" si="330"/>
        <v>0.62476833162619738</v>
      </c>
      <c r="AB294" s="76">
        <f t="shared" si="330"/>
        <v>0.62476833162619738</v>
      </c>
      <c r="AC294" s="76">
        <f t="shared" si="330"/>
        <v>0.62476833162619738</v>
      </c>
      <c r="AD294" s="76">
        <f t="shared" si="330"/>
        <v>0.62476833162619738</v>
      </c>
      <c r="AE294" s="7"/>
    </row>
    <row r="295" spans="1:31" ht="15" customHeight="1" outlineLevel="1">
      <c r="A295" s="109" t="str">
        <f t="shared" si="323"/>
        <v>M&amp;A - % - Deferred tax liability</v>
      </c>
      <c r="D295" s="84" t="str">
        <f t="shared" si="319"/>
        <v>% - Deferred tax liability</v>
      </c>
      <c r="G295" s="214">
        <f t="shared" ref="G295:T295" si="331">IFERROR(G271/G$274,"na")</f>
        <v>0</v>
      </c>
      <c r="H295" s="214">
        <f t="shared" si="331"/>
        <v>-4.3587878787878787E-2</v>
      </c>
      <c r="I295" s="214" t="str">
        <f t="shared" si="331"/>
        <v>na</v>
      </c>
      <c r="J295" s="214">
        <f t="shared" si="331"/>
        <v>0</v>
      </c>
      <c r="K295" s="214">
        <f t="shared" si="331"/>
        <v>0</v>
      </c>
      <c r="L295" s="214" t="str">
        <f t="shared" si="331"/>
        <v>na</v>
      </c>
      <c r="M295" s="214">
        <f t="shared" si="331"/>
        <v>-0.65690140845070377</v>
      </c>
      <c r="N295" s="214">
        <f t="shared" si="331"/>
        <v>-0.11537178318023088</v>
      </c>
      <c r="O295" s="214">
        <f t="shared" si="331"/>
        <v>-0.20794148380355276</v>
      </c>
      <c r="P295" s="214" t="str">
        <f t="shared" si="331"/>
        <v>na</v>
      </c>
      <c r="Q295" s="214" t="str">
        <f t="shared" si="331"/>
        <v>na</v>
      </c>
      <c r="R295" s="214">
        <f t="shared" si="331"/>
        <v>-0.170927127050744</v>
      </c>
      <c r="S295" s="214">
        <f t="shared" si="331"/>
        <v>-0.25911089399120668</v>
      </c>
      <c r="T295" s="214">
        <f t="shared" si="331"/>
        <v>-0.11454768145969023</v>
      </c>
      <c r="U295" s="214">
        <f t="shared" si="321"/>
        <v>-0.13970308336505519</v>
      </c>
      <c r="V295" s="76">
        <f>SUM($G271:U271)/SUM($G$274:U$274)</f>
        <v>-0.12680122913779596</v>
      </c>
      <c r="W295" s="76">
        <f t="shared" ref="W295:AD295" si="332">V295</f>
        <v>-0.12680122913779596</v>
      </c>
      <c r="X295" s="76">
        <f t="shared" si="332"/>
        <v>-0.12680122913779596</v>
      </c>
      <c r="Y295" s="76">
        <f t="shared" si="332"/>
        <v>-0.12680122913779596</v>
      </c>
      <c r="Z295" s="76">
        <f t="shared" si="332"/>
        <v>-0.12680122913779596</v>
      </c>
      <c r="AA295" s="76">
        <f t="shared" si="332"/>
        <v>-0.12680122913779596</v>
      </c>
      <c r="AB295" s="76">
        <f t="shared" si="332"/>
        <v>-0.12680122913779596</v>
      </c>
      <c r="AC295" s="76">
        <f t="shared" si="332"/>
        <v>-0.12680122913779596</v>
      </c>
      <c r="AD295" s="76">
        <f t="shared" si="332"/>
        <v>-0.12680122913779596</v>
      </c>
      <c r="AE295" s="7"/>
    </row>
    <row r="296" spans="1:31" ht="15" customHeight="1" outlineLevel="1">
      <c r="A296" s="109" t="str">
        <f t="shared" si="323"/>
        <v>M&amp;A - % - Lease Liability</v>
      </c>
      <c r="D296" s="84" t="str">
        <f t="shared" si="319"/>
        <v>% - Lease Liability</v>
      </c>
      <c r="G296" s="214">
        <f t="shared" ref="G296:T296" si="333">IFERROR(G272/G$274,"na")</f>
        <v>0</v>
      </c>
      <c r="H296" s="214">
        <f t="shared" si="333"/>
        <v>-1.5466666666666667E-2</v>
      </c>
      <c r="I296" s="214" t="str">
        <f t="shared" si="333"/>
        <v>na</v>
      </c>
      <c r="J296" s="214">
        <f t="shared" si="333"/>
        <v>0</v>
      </c>
      <c r="K296" s="214">
        <f t="shared" si="333"/>
        <v>-0.40430721637218164</v>
      </c>
      <c r="L296" s="214" t="str">
        <f t="shared" si="333"/>
        <v>na</v>
      </c>
      <c r="M296" s="214">
        <f t="shared" si="333"/>
        <v>-0.70309859154929533</v>
      </c>
      <c r="N296" s="214">
        <f t="shared" si="333"/>
        <v>-9.1171956671634163E-2</v>
      </c>
      <c r="O296" s="214">
        <f t="shared" si="333"/>
        <v>-5.3590088072846688E-2</v>
      </c>
      <c r="P296" s="214" t="str">
        <f t="shared" si="333"/>
        <v>na</v>
      </c>
      <c r="Q296" s="214" t="str">
        <f t="shared" si="333"/>
        <v>na</v>
      </c>
      <c r="R296" s="214">
        <f t="shared" si="333"/>
        <v>-5.3262113697062199E-2</v>
      </c>
      <c r="S296" s="214">
        <f t="shared" si="333"/>
        <v>-0.23331704934049829</v>
      </c>
      <c r="T296" s="214">
        <f t="shared" si="333"/>
        <v>-2.1554240450544288E-2</v>
      </c>
      <c r="U296" s="214">
        <f t="shared" si="321"/>
        <v>-1.5527615065138712E-2</v>
      </c>
      <c r="V296" s="76">
        <f>-V293</f>
        <v>-5.219979514370067E-2</v>
      </c>
      <c r="W296" s="76">
        <f t="shared" ref="W296:AD296" si="334">-W293</f>
        <v>-5.219979514370067E-2</v>
      </c>
      <c r="X296" s="76">
        <f t="shared" si="334"/>
        <v>-5.219979514370067E-2</v>
      </c>
      <c r="Y296" s="76">
        <f t="shared" si="334"/>
        <v>-5.219979514370067E-2</v>
      </c>
      <c r="Z296" s="76">
        <f t="shared" si="334"/>
        <v>-5.219979514370067E-2</v>
      </c>
      <c r="AA296" s="76">
        <f t="shared" si="334"/>
        <v>-5.219979514370067E-2</v>
      </c>
      <c r="AB296" s="76">
        <f t="shared" si="334"/>
        <v>-5.219979514370067E-2</v>
      </c>
      <c r="AC296" s="76">
        <f t="shared" si="334"/>
        <v>-5.219979514370067E-2</v>
      </c>
      <c r="AD296" s="76">
        <f t="shared" si="334"/>
        <v>-5.219979514370067E-2</v>
      </c>
      <c r="AE296" s="7"/>
    </row>
    <row r="297" spans="1:31" ht="15" customHeight="1" outlineLevel="1">
      <c r="A297" s="109" t="str">
        <f t="shared" si="323"/>
        <v>M&amp;A - % - Goodwill</v>
      </c>
      <c r="D297" s="84" t="str">
        <f t="shared" si="319"/>
        <v>% - Goodwill</v>
      </c>
      <c r="G297" s="214">
        <f t="shared" ref="G297:T297" si="335">IFERROR(G273/G$274,"na")</f>
        <v>2.7650273224043715</v>
      </c>
      <c r="H297" s="214">
        <f t="shared" si="335"/>
        <v>0.35713939393939392</v>
      </c>
      <c r="I297" s="214" t="str">
        <f t="shared" si="335"/>
        <v>na</v>
      </c>
      <c r="J297" s="214">
        <f t="shared" si="335"/>
        <v>0.80931081697854845</v>
      </c>
      <c r="K297" s="214">
        <f t="shared" si="335"/>
        <v>0.7037301445654115</v>
      </c>
      <c r="L297" s="214" t="str">
        <f t="shared" si="335"/>
        <v>na</v>
      </c>
      <c r="M297" s="214">
        <f t="shared" si="335"/>
        <v>2.1188732394366188</v>
      </c>
      <c r="N297" s="214">
        <f t="shared" si="335"/>
        <v>0.75811294735203194</v>
      </c>
      <c r="O297" s="214">
        <f t="shared" si="335"/>
        <v>1.5327660844902224</v>
      </c>
      <c r="P297" s="214" t="str">
        <f t="shared" si="335"/>
        <v>na</v>
      </c>
      <c r="Q297" s="214" t="str">
        <f t="shared" si="335"/>
        <v>na</v>
      </c>
      <c r="R297" s="214">
        <f t="shared" si="335"/>
        <v>0.65046419941498157</v>
      </c>
      <c r="S297" s="214">
        <f t="shared" si="335"/>
        <v>1.1919882755251587</v>
      </c>
      <c r="T297" s="214">
        <f t="shared" si="335"/>
        <v>0.76101464040017841</v>
      </c>
      <c r="U297" s="214">
        <f t="shared" si="321"/>
        <v>0.7626541824565789</v>
      </c>
      <c r="V297" s="76">
        <f>1-SUM(V289:V296)</f>
        <v>0.72837259745737182</v>
      </c>
      <c r="W297" s="76">
        <f t="shared" ref="W297:AD297" si="336">1-SUM(W289:W296)</f>
        <v>0.72837259745737182</v>
      </c>
      <c r="X297" s="76">
        <f t="shared" si="336"/>
        <v>0.72837259745737182</v>
      </c>
      <c r="Y297" s="76">
        <f t="shared" si="336"/>
        <v>0.72837259745737182</v>
      </c>
      <c r="Z297" s="76">
        <f t="shared" si="336"/>
        <v>0.72837259745737182</v>
      </c>
      <c r="AA297" s="76">
        <f t="shared" si="336"/>
        <v>0.72837259745737182</v>
      </c>
      <c r="AB297" s="76">
        <f t="shared" si="336"/>
        <v>0.72837259745737182</v>
      </c>
      <c r="AC297" s="76">
        <f t="shared" si="336"/>
        <v>0.72837259745737182</v>
      </c>
      <c r="AD297" s="76">
        <f t="shared" si="336"/>
        <v>0.72837259745737182</v>
      </c>
      <c r="AE297" s="7"/>
    </row>
    <row r="298" spans="1:31" ht="15" customHeight="1"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"/>
    </row>
    <row r="299" spans="1:31" ht="15" customHeight="1">
      <c r="A299" s="110" t="s">
        <v>285</v>
      </c>
      <c r="D299" s="241" t="s">
        <v>301</v>
      </c>
      <c r="G299" s="64" t="s">
        <v>314</v>
      </c>
      <c r="H299" s="64"/>
      <c r="I299" s="64"/>
      <c r="J299" s="64"/>
      <c r="K299" s="332" t="s">
        <v>309</v>
      </c>
      <c r="L299" s="332"/>
      <c r="M299" s="332"/>
      <c r="N299" s="332"/>
      <c r="O299" s="332" t="s">
        <v>295</v>
      </c>
      <c r="P299" s="332"/>
      <c r="Q299" s="332"/>
      <c r="R299" s="332"/>
      <c r="S299" s="332" t="s">
        <v>286</v>
      </c>
      <c r="T299" s="332"/>
      <c r="U299" s="332" t="s">
        <v>490</v>
      </c>
      <c r="V299" s="332"/>
      <c r="W299" s="64"/>
      <c r="X299" s="64"/>
      <c r="Y299" s="64"/>
      <c r="Z299" s="64"/>
      <c r="AA299" s="64"/>
      <c r="AB299" s="64"/>
      <c r="AC299" s="64"/>
      <c r="AD299" s="64"/>
      <c r="AE299" s="7"/>
    </row>
    <row r="300" spans="1:31" ht="15" hidden="1" customHeight="1" outlineLevel="1">
      <c r="D300" s="70" t="s">
        <v>276</v>
      </c>
      <c r="G300" s="225">
        <v>0.3</v>
      </c>
      <c r="H300" s="225"/>
      <c r="I300" s="225"/>
      <c r="J300" s="225"/>
      <c r="K300" s="225">
        <v>16.056000000000001</v>
      </c>
      <c r="L300" s="225"/>
      <c r="M300" s="225"/>
      <c r="N300" s="225"/>
      <c r="O300" s="225">
        <v>7</v>
      </c>
      <c r="P300" s="225"/>
      <c r="Q300" s="225"/>
      <c r="R300" s="225"/>
      <c r="S300" s="225">
        <v>1.609</v>
      </c>
      <c r="T300" s="225"/>
      <c r="U300" s="225">
        <v>3.97</v>
      </c>
      <c r="V300" s="225"/>
      <c r="W300" s="225"/>
      <c r="X300" s="225"/>
      <c r="Y300" s="225"/>
      <c r="Z300" s="225"/>
      <c r="AA300" s="225"/>
      <c r="AB300" s="225"/>
      <c r="AC300" s="225"/>
      <c r="AD300" s="225"/>
      <c r="AE300" s="7"/>
    </row>
    <row r="301" spans="1:31" ht="15" hidden="1" customHeight="1" outlineLevel="1">
      <c r="D301" s="70" t="s">
        <v>277</v>
      </c>
      <c r="G301" s="225">
        <v>0.24399999999999999</v>
      </c>
      <c r="H301" s="225"/>
      <c r="I301" s="225"/>
      <c r="J301" s="225"/>
      <c r="K301" s="225">
        <v>5.12</v>
      </c>
      <c r="L301" s="225"/>
      <c r="M301" s="225"/>
      <c r="N301" s="225"/>
      <c r="O301" s="225"/>
      <c r="P301" s="225"/>
      <c r="Q301" s="225"/>
      <c r="R301" s="225"/>
      <c r="S301" s="225">
        <v>1.875</v>
      </c>
      <c r="T301" s="225"/>
      <c r="U301" s="225"/>
      <c r="V301" s="225"/>
      <c r="W301" s="225"/>
      <c r="X301" s="225"/>
      <c r="Y301" s="225"/>
      <c r="Z301" s="225"/>
      <c r="AA301" s="225"/>
      <c r="AB301" s="225"/>
      <c r="AC301" s="225"/>
      <c r="AD301" s="225"/>
      <c r="AE301" s="7"/>
    </row>
    <row r="302" spans="1:31" ht="15" hidden="1" customHeight="1" outlineLevel="1">
      <c r="D302" s="70" t="s">
        <v>275</v>
      </c>
      <c r="G302" s="225"/>
      <c r="H302" s="225"/>
      <c r="I302" s="225"/>
      <c r="J302" s="225"/>
      <c r="K302" s="225"/>
      <c r="L302" s="225"/>
      <c r="M302" s="225"/>
      <c r="N302" s="225"/>
      <c r="O302" s="225">
        <f>O314-O300</f>
        <v>7.16</v>
      </c>
      <c r="P302" s="225"/>
      <c r="Q302" s="225"/>
      <c r="R302" s="225"/>
      <c r="S302" s="225">
        <v>2.1970000000000001</v>
      </c>
      <c r="T302" s="225"/>
      <c r="U302" s="225"/>
      <c r="V302" s="225"/>
      <c r="W302" s="225"/>
      <c r="X302" s="225"/>
      <c r="Y302" s="225"/>
      <c r="Z302" s="225"/>
      <c r="AA302" s="225"/>
      <c r="AB302" s="225"/>
      <c r="AC302" s="225"/>
      <c r="AD302" s="225"/>
      <c r="AE302" s="7"/>
    </row>
    <row r="303" spans="1:31" ht="15" hidden="1" customHeight="1" outlineLevel="1">
      <c r="D303" s="70" t="s">
        <v>127</v>
      </c>
      <c r="G303" s="225"/>
      <c r="H303" s="225"/>
      <c r="I303" s="225"/>
      <c r="J303" s="225"/>
      <c r="K303" s="225"/>
      <c r="L303" s="225"/>
      <c r="M303" s="225"/>
      <c r="N303" s="225"/>
      <c r="O303" s="225"/>
      <c r="P303" s="225"/>
      <c r="Q303" s="225"/>
      <c r="R303" s="225"/>
      <c r="S303" s="225"/>
      <c r="T303" s="225"/>
      <c r="U303" s="225"/>
      <c r="V303" s="225"/>
      <c r="W303" s="225"/>
      <c r="X303" s="225"/>
      <c r="Y303" s="225"/>
      <c r="Z303" s="225"/>
      <c r="AA303" s="225"/>
      <c r="AB303" s="225"/>
      <c r="AC303" s="225"/>
      <c r="AD303" s="225"/>
      <c r="AE303" s="7"/>
    </row>
    <row r="304" spans="1:31" s="3" customFormat="1" hidden="1" outlineLevel="1">
      <c r="A304" s="110"/>
      <c r="B304" s="143"/>
      <c r="D304" s="150" t="s">
        <v>317</v>
      </c>
      <c r="E304" s="2"/>
      <c r="F304" s="2"/>
      <c r="G304" s="173">
        <f>SUM(G300:G303)</f>
        <v>0.54400000000000004</v>
      </c>
      <c r="H304" s="173">
        <f t="shared" ref="H304:AD304" si="337">SUM(H300:H303)</f>
        <v>0</v>
      </c>
      <c r="I304" s="173">
        <f t="shared" si="337"/>
        <v>0</v>
      </c>
      <c r="J304" s="173">
        <f t="shared" si="337"/>
        <v>0</v>
      </c>
      <c r="K304" s="173">
        <f t="shared" si="337"/>
        <v>21.176000000000002</v>
      </c>
      <c r="L304" s="173">
        <f t="shared" si="337"/>
        <v>0</v>
      </c>
      <c r="M304" s="173">
        <f t="shared" si="337"/>
        <v>0</v>
      </c>
      <c r="N304" s="173">
        <f t="shared" si="337"/>
        <v>0</v>
      </c>
      <c r="O304" s="173">
        <f t="shared" si="337"/>
        <v>14.16</v>
      </c>
      <c r="P304" s="173">
        <f t="shared" si="337"/>
        <v>0</v>
      </c>
      <c r="Q304" s="173">
        <f t="shared" si="337"/>
        <v>0</v>
      </c>
      <c r="R304" s="173">
        <f t="shared" si="337"/>
        <v>0</v>
      </c>
      <c r="S304" s="173">
        <f t="shared" si="337"/>
        <v>5.681</v>
      </c>
      <c r="T304" s="173">
        <f t="shared" si="337"/>
        <v>0</v>
      </c>
      <c r="U304" s="173">
        <f t="shared" si="337"/>
        <v>3.97</v>
      </c>
      <c r="V304" s="173">
        <f t="shared" si="337"/>
        <v>0</v>
      </c>
      <c r="W304" s="173">
        <f t="shared" si="337"/>
        <v>0</v>
      </c>
      <c r="X304" s="173">
        <f t="shared" si="337"/>
        <v>0</v>
      </c>
      <c r="Y304" s="173">
        <f t="shared" si="337"/>
        <v>0</v>
      </c>
      <c r="Z304" s="173">
        <f t="shared" si="337"/>
        <v>0</v>
      </c>
      <c r="AA304" s="173">
        <f t="shared" si="337"/>
        <v>0</v>
      </c>
      <c r="AB304" s="173">
        <f t="shared" si="337"/>
        <v>0</v>
      </c>
      <c r="AC304" s="173">
        <f t="shared" si="337"/>
        <v>0</v>
      </c>
      <c r="AD304" s="173">
        <f t="shared" si="337"/>
        <v>0</v>
      </c>
      <c r="AE304"/>
    </row>
    <row r="305" spans="1:31" s="3" customFormat="1" hidden="1" outlineLevel="1">
      <c r="A305" s="110"/>
      <c r="B305" s="143"/>
      <c r="D305" s="242"/>
      <c r="E305" s="167"/>
      <c r="F305" s="167"/>
      <c r="G305" s="243"/>
      <c r="H305" s="243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4"/>
      <c r="W305" s="244"/>
      <c r="X305" s="244"/>
      <c r="Y305" s="244"/>
      <c r="Z305" s="244"/>
      <c r="AA305" s="244"/>
      <c r="AB305" s="244"/>
      <c r="AC305" s="244"/>
      <c r="AD305" s="244"/>
      <c r="AE305"/>
    </row>
    <row r="306" spans="1:31" ht="15" hidden="1" customHeight="1" outlineLevel="1">
      <c r="D306" s="70" t="s">
        <v>236</v>
      </c>
      <c r="G306" s="225">
        <v>0.11700000000000001</v>
      </c>
      <c r="H306" s="225"/>
      <c r="I306" s="225"/>
      <c r="J306" s="225"/>
      <c r="K306" s="225">
        <f>0.768-1.521</f>
        <v>-0.75299999999999989</v>
      </c>
      <c r="L306" s="225"/>
      <c r="M306" s="225"/>
      <c r="N306" s="225"/>
      <c r="O306" s="225">
        <v>0.30099999999999999</v>
      </c>
      <c r="P306" s="225"/>
      <c r="Q306" s="225"/>
      <c r="R306" s="225"/>
      <c r="S306" s="225">
        <v>0.42499999999999999</v>
      </c>
      <c r="T306" s="225"/>
      <c r="U306" s="225">
        <v>0.36699999999999999</v>
      </c>
      <c r="V306" s="225"/>
      <c r="W306" s="225"/>
      <c r="X306" s="225"/>
      <c r="Y306" s="225"/>
      <c r="Z306" s="225"/>
      <c r="AA306" s="225"/>
      <c r="AB306" s="225"/>
      <c r="AC306" s="225"/>
      <c r="AD306" s="225"/>
      <c r="AE306" s="7"/>
    </row>
    <row r="307" spans="1:31" ht="15" hidden="1" customHeight="1" outlineLevel="1">
      <c r="D307" s="70" t="s">
        <v>278</v>
      </c>
      <c r="G307" s="225">
        <f>0.114-0.034-0.164</f>
        <v>-8.4000000000000005E-2</v>
      </c>
      <c r="H307" s="225"/>
      <c r="I307" s="225"/>
      <c r="J307" s="225"/>
      <c r="K307" s="225">
        <f>18.278+0.101-18.03-0.313-2.917</f>
        <v>-2.8810000000000033</v>
      </c>
      <c r="L307" s="225"/>
      <c r="M307" s="225"/>
      <c r="N307" s="225"/>
      <c r="O307" s="225">
        <f>6.26+0.042+0.071-6.379-0.374</f>
        <v>-0.38000000000000023</v>
      </c>
      <c r="P307" s="225"/>
      <c r="Q307" s="225"/>
      <c r="R307" s="225"/>
      <c r="S307" s="225">
        <f>0.91-1.058</f>
        <v>-0.14800000000000002</v>
      </c>
      <c r="T307" s="225"/>
      <c r="U307" s="225">
        <f>2.081-0.117</f>
        <v>1.964</v>
      </c>
      <c r="V307" s="225"/>
      <c r="W307" s="225"/>
      <c r="X307" s="225"/>
      <c r="Y307" s="225"/>
      <c r="Z307" s="225"/>
      <c r="AA307" s="225"/>
      <c r="AB307" s="225"/>
      <c r="AC307" s="225"/>
      <c r="AD307" s="225"/>
      <c r="AE307" s="7"/>
    </row>
    <row r="308" spans="1:31" ht="15" hidden="1" customHeight="1" outlineLevel="1">
      <c r="D308" s="70" t="s">
        <v>141</v>
      </c>
      <c r="G308" s="225">
        <v>5.0000000000000001E-3</v>
      </c>
      <c r="H308" s="225"/>
      <c r="I308" s="225"/>
      <c r="J308" s="225"/>
      <c r="K308" s="225">
        <v>1.133</v>
      </c>
      <c r="L308" s="225"/>
      <c r="M308" s="225"/>
      <c r="N308" s="225"/>
      <c r="O308" s="225">
        <v>0.13900000000000001</v>
      </c>
      <c r="P308" s="225"/>
      <c r="Q308" s="225"/>
      <c r="R308" s="225"/>
      <c r="S308" s="225">
        <v>0</v>
      </c>
      <c r="T308" s="225"/>
      <c r="U308" s="225">
        <v>0</v>
      </c>
      <c r="V308" s="225"/>
      <c r="W308" s="225"/>
      <c r="X308" s="225"/>
      <c r="Y308" s="225"/>
      <c r="Z308" s="225"/>
      <c r="AA308" s="225"/>
      <c r="AB308" s="225"/>
      <c r="AC308" s="225"/>
      <c r="AD308" s="225"/>
      <c r="AE308" s="7"/>
    </row>
    <row r="309" spans="1:31" ht="15" hidden="1" customHeight="1" outlineLevel="1">
      <c r="D309" s="70" t="s">
        <v>281</v>
      </c>
      <c r="G309" s="225"/>
      <c r="H309" s="225"/>
      <c r="I309" s="225"/>
      <c r="J309" s="225"/>
      <c r="K309" s="225">
        <v>6.7960000000000003</v>
      </c>
      <c r="L309" s="225"/>
      <c r="M309" s="225"/>
      <c r="N309" s="225"/>
      <c r="O309" s="225">
        <v>0.35899999999999999</v>
      </c>
      <c r="P309" s="225"/>
      <c r="Q309" s="225"/>
      <c r="R309" s="225"/>
      <c r="S309" s="225">
        <v>0</v>
      </c>
      <c r="T309" s="225"/>
      <c r="U309" s="225">
        <v>0</v>
      </c>
      <c r="V309" s="225"/>
      <c r="W309" s="225"/>
      <c r="X309" s="225"/>
      <c r="Y309" s="225"/>
      <c r="Z309" s="225"/>
      <c r="AA309" s="225"/>
      <c r="AB309" s="225"/>
      <c r="AC309" s="225"/>
      <c r="AD309" s="225"/>
      <c r="AE309" s="7"/>
    </row>
    <row r="310" spans="1:31" ht="15" hidden="1" customHeight="1" outlineLevel="1">
      <c r="D310" s="70" t="s">
        <v>280</v>
      </c>
      <c r="G310" s="225"/>
      <c r="H310" s="225"/>
      <c r="I310" s="225"/>
      <c r="J310" s="225"/>
      <c r="K310" s="225">
        <v>11.848000000000001</v>
      </c>
      <c r="L310" s="225"/>
      <c r="M310" s="225"/>
      <c r="N310" s="225"/>
      <c r="O310" s="225">
        <v>5.2249999999999996</v>
      </c>
      <c r="P310" s="225"/>
      <c r="Q310" s="225"/>
      <c r="R310" s="225"/>
      <c r="S310" s="225">
        <v>2.6930000000000001</v>
      </c>
      <c r="T310" s="225"/>
      <c r="U310" s="225">
        <v>1.1459999999999999</v>
      </c>
      <c r="V310" s="225"/>
      <c r="W310" s="225"/>
      <c r="X310" s="225"/>
      <c r="Y310" s="225"/>
      <c r="Z310" s="225"/>
      <c r="AA310" s="225"/>
      <c r="AB310" s="225"/>
      <c r="AC310" s="225"/>
      <c r="AD310" s="225"/>
      <c r="AE310" s="7"/>
    </row>
    <row r="311" spans="1:31" ht="15" hidden="1" customHeight="1" outlineLevel="1">
      <c r="D311" s="70" t="s">
        <v>287</v>
      </c>
      <c r="G311" s="225"/>
      <c r="H311" s="225"/>
      <c r="I311" s="225"/>
      <c r="J311" s="225"/>
      <c r="K311" s="225"/>
      <c r="L311" s="225"/>
      <c r="M311" s="225"/>
      <c r="N311" s="225"/>
      <c r="O311" s="225">
        <v>-1.393</v>
      </c>
      <c r="P311" s="225"/>
      <c r="Q311" s="225"/>
      <c r="R311" s="225"/>
      <c r="S311" s="225">
        <v>-0.7</v>
      </c>
      <c r="T311" s="225"/>
      <c r="U311" s="225">
        <v>-0.29699999999999999</v>
      </c>
      <c r="V311" s="225"/>
      <c r="W311" s="225"/>
      <c r="X311" s="225"/>
      <c r="Y311" s="225"/>
      <c r="Z311" s="225"/>
      <c r="AA311" s="225"/>
      <c r="AB311" s="225"/>
      <c r="AC311" s="225"/>
      <c r="AD311" s="225"/>
      <c r="AE311" s="7"/>
    </row>
    <row r="312" spans="1:31" ht="15" hidden="1" customHeight="1" outlineLevel="1">
      <c r="D312" s="70" t="s">
        <v>268</v>
      </c>
      <c r="G312" s="225"/>
      <c r="H312" s="225"/>
      <c r="I312" s="225"/>
      <c r="J312" s="225"/>
      <c r="K312" s="225">
        <v>-6.7960000000000003</v>
      </c>
      <c r="L312" s="225"/>
      <c r="M312" s="225"/>
      <c r="N312" s="225"/>
      <c r="O312" s="225">
        <v>-0.35899999999999999</v>
      </c>
      <c r="P312" s="225"/>
      <c r="Q312" s="225"/>
      <c r="R312" s="225"/>
      <c r="S312" s="225">
        <v>0</v>
      </c>
      <c r="T312" s="225"/>
      <c r="U312" s="225">
        <v>0</v>
      </c>
      <c r="V312" s="225"/>
      <c r="W312" s="225"/>
      <c r="X312" s="225"/>
      <c r="Y312" s="225"/>
      <c r="Z312" s="225"/>
      <c r="AA312" s="225"/>
      <c r="AB312" s="225"/>
      <c r="AC312" s="225"/>
      <c r="AD312" s="225"/>
      <c r="AE312" s="7"/>
    </row>
    <row r="313" spans="1:31" ht="15" hidden="1" customHeight="1" outlineLevel="1">
      <c r="D313" s="70" t="s">
        <v>142</v>
      </c>
      <c r="G313" s="225">
        <v>0.50600000000000001</v>
      </c>
      <c r="H313" s="225"/>
      <c r="I313" s="225"/>
      <c r="J313" s="225"/>
      <c r="K313" s="225">
        <v>11.829000000000001</v>
      </c>
      <c r="L313" s="225"/>
      <c r="M313" s="225"/>
      <c r="N313" s="225"/>
      <c r="O313" s="225">
        <v>10.268000000000001</v>
      </c>
      <c r="P313" s="225"/>
      <c r="Q313" s="225"/>
      <c r="R313" s="225"/>
      <c r="S313" s="225">
        <v>3.411</v>
      </c>
      <c r="T313" s="225"/>
      <c r="U313" s="225">
        <f>0.791-0.001</f>
        <v>0.79</v>
      </c>
      <c r="V313" s="225"/>
      <c r="W313" s="225"/>
      <c r="X313" s="225"/>
      <c r="Y313" s="225"/>
      <c r="Z313" s="225"/>
      <c r="AA313" s="225"/>
      <c r="AB313" s="225"/>
      <c r="AC313" s="225"/>
      <c r="AD313" s="225"/>
      <c r="AE313" s="7"/>
    </row>
    <row r="314" spans="1:31" s="3" customFormat="1" hidden="1" outlineLevel="1">
      <c r="A314" s="110"/>
      <c r="B314" s="143"/>
      <c r="D314" s="150" t="s">
        <v>317</v>
      </c>
      <c r="E314" s="2"/>
      <c r="F314" s="2"/>
      <c r="G314" s="207">
        <f>SUM(G306:G313)</f>
        <v>0.54400000000000004</v>
      </c>
      <c r="H314" s="207">
        <f t="shared" ref="H314:AD314" si="338">SUM(H306:H313)</f>
        <v>0</v>
      </c>
      <c r="I314" s="207">
        <f t="shared" si="338"/>
        <v>0</v>
      </c>
      <c r="J314" s="207">
        <f t="shared" si="338"/>
        <v>0</v>
      </c>
      <c r="K314" s="207">
        <f t="shared" si="338"/>
        <v>21.175999999999998</v>
      </c>
      <c r="L314" s="207">
        <f t="shared" si="338"/>
        <v>0</v>
      </c>
      <c r="M314" s="207">
        <f t="shared" si="338"/>
        <v>0</v>
      </c>
      <c r="N314" s="207">
        <f t="shared" si="338"/>
        <v>0</v>
      </c>
      <c r="O314" s="207">
        <f t="shared" si="338"/>
        <v>14.16</v>
      </c>
      <c r="P314" s="163">
        <f t="shared" si="338"/>
        <v>0</v>
      </c>
      <c r="Q314" s="163">
        <f t="shared" si="338"/>
        <v>0</v>
      </c>
      <c r="R314" s="163">
        <f t="shared" si="338"/>
        <v>0</v>
      </c>
      <c r="S314" s="163">
        <f t="shared" si="338"/>
        <v>5.6810000000000009</v>
      </c>
      <c r="T314" s="207">
        <f t="shared" si="338"/>
        <v>0</v>
      </c>
      <c r="U314" s="207">
        <f t="shared" si="338"/>
        <v>3.9699999999999998</v>
      </c>
      <c r="V314" s="173">
        <f t="shared" si="338"/>
        <v>0</v>
      </c>
      <c r="W314" s="173">
        <f t="shared" si="338"/>
        <v>0</v>
      </c>
      <c r="X314" s="173">
        <f t="shared" si="338"/>
        <v>0</v>
      </c>
      <c r="Y314" s="173">
        <f t="shared" si="338"/>
        <v>0</v>
      </c>
      <c r="Z314" s="173">
        <f t="shared" si="338"/>
        <v>0</v>
      </c>
      <c r="AA314" s="173">
        <f t="shared" si="338"/>
        <v>0</v>
      </c>
      <c r="AB314" s="173">
        <f t="shared" si="338"/>
        <v>0</v>
      </c>
      <c r="AC314" s="173">
        <f t="shared" si="338"/>
        <v>0</v>
      </c>
      <c r="AD314" s="173">
        <f t="shared" si="338"/>
        <v>0</v>
      </c>
      <c r="AE314"/>
    </row>
    <row r="315" spans="1:31" s="63" customFormat="1" ht="15" hidden="1" customHeight="1" outlineLevel="1">
      <c r="A315" s="199"/>
      <c r="B315" s="142"/>
      <c r="D315" s="84" t="s">
        <v>120</v>
      </c>
      <c r="G315" s="99" t="b">
        <f>G314=G304</f>
        <v>1</v>
      </c>
      <c r="H315" s="99" t="b">
        <f t="shared" ref="H315:AD315" si="339">H314=H304</f>
        <v>1</v>
      </c>
      <c r="I315" s="99" t="b">
        <f t="shared" si="339"/>
        <v>1</v>
      </c>
      <c r="J315" s="99" t="b">
        <f t="shared" si="339"/>
        <v>1</v>
      </c>
      <c r="K315" s="99" t="b">
        <f t="shared" si="339"/>
        <v>1</v>
      </c>
      <c r="L315" s="99" t="b">
        <f t="shared" si="339"/>
        <v>1</v>
      </c>
      <c r="M315" s="99" t="b">
        <f t="shared" si="339"/>
        <v>1</v>
      </c>
      <c r="N315" s="99" t="b">
        <f t="shared" si="339"/>
        <v>1</v>
      </c>
      <c r="O315" s="99" t="b">
        <f t="shared" si="339"/>
        <v>1</v>
      </c>
      <c r="P315" s="99" t="b">
        <f t="shared" si="339"/>
        <v>1</v>
      </c>
      <c r="Q315" s="99" t="b">
        <f t="shared" si="339"/>
        <v>1</v>
      </c>
      <c r="R315" s="99" t="b">
        <f t="shared" si="339"/>
        <v>1</v>
      </c>
      <c r="S315" s="99" t="b">
        <f t="shared" si="339"/>
        <v>1</v>
      </c>
      <c r="T315" s="99" t="b">
        <f t="shared" si="339"/>
        <v>1</v>
      </c>
      <c r="U315" s="99" t="b">
        <f>U314=U304</f>
        <v>1</v>
      </c>
      <c r="V315" s="99" t="b">
        <f t="shared" si="339"/>
        <v>1</v>
      </c>
      <c r="W315" s="99" t="b">
        <f t="shared" si="339"/>
        <v>1</v>
      </c>
      <c r="X315" s="99" t="b">
        <f t="shared" si="339"/>
        <v>1</v>
      </c>
      <c r="Y315" s="99" t="b">
        <f t="shared" si="339"/>
        <v>1</v>
      </c>
      <c r="Z315" s="99" t="b">
        <f t="shared" si="339"/>
        <v>1</v>
      </c>
      <c r="AA315" s="99" t="b">
        <f t="shared" si="339"/>
        <v>1</v>
      </c>
      <c r="AB315" s="99" t="b">
        <f t="shared" si="339"/>
        <v>1</v>
      </c>
      <c r="AC315" s="99" t="b">
        <f t="shared" si="339"/>
        <v>1</v>
      </c>
      <c r="AD315" s="99" t="b">
        <f t="shared" si="339"/>
        <v>1</v>
      </c>
      <c r="AE315" s="204"/>
    </row>
    <row r="316" spans="1:31" ht="15" hidden="1" customHeight="1" outlineLevel="1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"/>
    </row>
    <row r="317" spans="1:31" s="27" customFormat="1" ht="15" hidden="1" customHeight="1" outlineLevel="1">
      <c r="A317" s="200"/>
      <c r="B317" s="201"/>
      <c r="D317" s="247" t="s">
        <v>258</v>
      </c>
      <c r="G317" s="202">
        <f t="shared" ref="G317:R317" si="340">IF(G304-G306=0,"",G304-G306)</f>
        <v>0.42700000000000005</v>
      </c>
      <c r="H317" s="202" t="str">
        <f t="shared" si="340"/>
        <v/>
      </c>
      <c r="I317" s="202" t="str">
        <f t="shared" si="340"/>
        <v/>
      </c>
      <c r="J317" s="202" t="str">
        <f t="shared" si="340"/>
        <v/>
      </c>
      <c r="K317" s="202">
        <f t="shared" si="340"/>
        <v>21.929000000000002</v>
      </c>
      <c r="L317" s="202" t="str">
        <f t="shared" si="340"/>
        <v/>
      </c>
      <c r="M317" s="202" t="str">
        <f t="shared" si="340"/>
        <v/>
      </c>
      <c r="N317" s="202" t="str">
        <f t="shared" si="340"/>
        <v/>
      </c>
      <c r="O317" s="202">
        <f t="shared" si="340"/>
        <v>13.859</v>
      </c>
      <c r="P317" s="202" t="str">
        <f t="shared" si="340"/>
        <v/>
      </c>
      <c r="Q317" s="202" t="str">
        <f t="shared" si="340"/>
        <v/>
      </c>
      <c r="R317" s="202" t="str">
        <f t="shared" si="340"/>
        <v/>
      </c>
      <c r="S317" s="202">
        <f>IF(S304-S306=0,"",S304-S306)</f>
        <v>5.2560000000000002</v>
      </c>
      <c r="T317" s="202" t="str">
        <f t="shared" ref="T317:AD317" si="341">IF(T304-T306=0,"",T304-T306)</f>
        <v/>
      </c>
      <c r="U317" s="202">
        <f t="shared" si="341"/>
        <v>3.6030000000000002</v>
      </c>
      <c r="V317" s="202" t="str">
        <f t="shared" si="341"/>
        <v/>
      </c>
      <c r="W317" s="202" t="str">
        <f t="shared" si="341"/>
        <v/>
      </c>
      <c r="X317" s="202" t="str">
        <f t="shared" si="341"/>
        <v/>
      </c>
      <c r="Y317" s="202" t="str">
        <f t="shared" si="341"/>
        <v/>
      </c>
      <c r="Z317" s="202" t="str">
        <f t="shared" si="341"/>
        <v/>
      </c>
      <c r="AA317" s="202" t="str">
        <f t="shared" si="341"/>
        <v/>
      </c>
      <c r="AB317" s="202" t="str">
        <f t="shared" si="341"/>
        <v/>
      </c>
      <c r="AC317" s="202" t="str">
        <f t="shared" si="341"/>
        <v/>
      </c>
      <c r="AD317" s="202" t="str">
        <f t="shared" si="341"/>
        <v/>
      </c>
      <c r="AE317" s="202"/>
    </row>
    <row r="318" spans="1:31" ht="15" hidden="1" customHeight="1" outlineLevel="1">
      <c r="D318" s="70" t="s">
        <v>192</v>
      </c>
      <c r="G318" s="225">
        <f>0.53/3/1.04</f>
        <v>0.16987179487179488</v>
      </c>
      <c r="H318" s="225"/>
      <c r="I318" s="225"/>
      <c r="J318" s="225"/>
      <c r="K318" s="225">
        <f>101.953/4/1.04</f>
        <v>24.507932692307691</v>
      </c>
      <c r="L318" s="225"/>
      <c r="M318" s="225"/>
      <c r="N318" s="225"/>
      <c r="O318" s="225">
        <f>7.048/4/(1.04)</f>
        <v>1.6942307692307692</v>
      </c>
      <c r="P318" s="225"/>
      <c r="Q318" s="225"/>
      <c r="R318" s="225"/>
      <c r="S318" s="225">
        <f>2.857/3/1.04</f>
        <v>0.91570512820512817</v>
      </c>
      <c r="T318" s="225"/>
      <c r="U318" s="225">
        <f>6.077/3/1.02</f>
        <v>1.9859477124183005</v>
      </c>
      <c r="V318" s="225"/>
      <c r="W318" s="225"/>
      <c r="X318" s="225"/>
      <c r="Y318" s="225"/>
      <c r="Z318" s="225"/>
      <c r="AA318" s="225"/>
      <c r="AB318" s="225"/>
      <c r="AC318" s="225"/>
      <c r="AD318" s="225"/>
      <c r="AE318" s="7"/>
    </row>
    <row r="319" spans="1:31" ht="15" hidden="1" customHeight="1" outlineLevel="1">
      <c r="D319" s="70" t="s">
        <v>282</v>
      </c>
      <c r="G319" s="225">
        <f>-0.118/3</f>
        <v>-3.9333333333333331E-2</v>
      </c>
      <c r="H319" s="225"/>
      <c r="I319" s="225"/>
      <c r="J319" s="225"/>
      <c r="K319" s="225">
        <f>2.103/3</f>
        <v>0.70100000000000007</v>
      </c>
      <c r="L319" s="225"/>
      <c r="M319" s="225"/>
      <c r="N319" s="225"/>
      <c r="O319" s="225">
        <v>-0.378</v>
      </c>
      <c r="P319" s="225"/>
      <c r="Q319" s="225"/>
      <c r="R319" s="225"/>
      <c r="S319" s="225">
        <f>AVERAGE(0.219,0.365/3)</f>
        <v>0.17033333333333334</v>
      </c>
      <c r="T319" s="225"/>
      <c r="U319" s="225">
        <f>AVERAGE(0.352,1.245/3)</f>
        <v>0.38350000000000001</v>
      </c>
      <c r="V319" s="225"/>
      <c r="W319" s="225"/>
      <c r="X319" s="225"/>
      <c r="Y319" s="225"/>
      <c r="Z319" s="225"/>
      <c r="AA319" s="225"/>
      <c r="AB319" s="225"/>
      <c r="AC319" s="225"/>
      <c r="AD319" s="225"/>
      <c r="AE319" s="7"/>
    </row>
    <row r="320" spans="1:31" ht="15" hidden="1" customHeight="1" outlineLevel="1">
      <c r="D320" s="245" t="s">
        <v>284</v>
      </c>
      <c r="G320" s="149">
        <f t="shared" ref="G320:N320" si="342">IF(G304=0,"",IFERROR((G304-G306)/(SUM(G318)*4),""))</f>
        <v>0.62841509433962273</v>
      </c>
      <c r="H320" s="149" t="str">
        <f t="shared" si="342"/>
        <v/>
      </c>
      <c r="I320" s="149" t="str">
        <f t="shared" si="342"/>
        <v/>
      </c>
      <c r="J320" s="149" t="str">
        <f t="shared" si="342"/>
        <v/>
      </c>
      <c r="K320" s="149">
        <f t="shared" si="342"/>
        <v>0.22369287809088506</v>
      </c>
      <c r="L320" s="149" t="str">
        <f t="shared" si="342"/>
        <v/>
      </c>
      <c r="M320" s="149" t="str">
        <f t="shared" si="342"/>
        <v/>
      </c>
      <c r="N320" s="149" t="str">
        <f t="shared" si="342"/>
        <v/>
      </c>
      <c r="O320" s="149">
        <f>IF(O304=0,"",IFERROR((O304-O306)/(SUM(O318)*4),""))</f>
        <v>2.045028376844495</v>
      </c>
      <c r="P320" s="149" t="str">
        <f t="shared" ref="P320:AD320" si="343">IF(P304=0,"",IFERROR((P304-P306)/(SUM(P318)*4),""))</f>
        <v/>
      </c>
      <c r="Q320" s="149" t="str">
        <f t="shared" si="343"/>
        <v/>
      </c>
      <c r="R320" s="149" t="str">
        <f t="shared" si="343"/>
        <v/>
      </c>
      <c r="S320" s="149">
        <f t="shared" si="343"/>
        <v>1.4349597479873994</v>
      </c>
      <c r="T320" s="149" t="str">
        <f t="shared" si="343"/>
        <v/>
      </c>
      <c r="U320" s="149">
        <f t="shared" si="343"/>
        <v>0.45356179035708416</v>
      </c>
      <c r="V320" s="149" t="str">
        <f t="shared" si="343"/>
        <v/>
      </c>
      <c r="W320" s="149" t="str">
        <f t="shared" si="343"/>
        <v/>
      </c>
      <c r="X320" s="149" t="str">
        <f t="shared" si="343"/>
        <v/>
      </c>
      <c r="Y320" s="149" t="str">
        <f t="shared" si="343"/>
        <v/>
      </c>
      <c r="Z320" s="149" t="str">
        <f t="shared" si="343"/>
        <v/>
      </c>
      <c r="AA320" s="149" t="str">
        <f t="shared" si="343"/>
        <v/>
      </c>
      <c r="AB320" s="149" t="str">
        <f t="shared" si="343"/>
        <v/>
      </c>
      <c r="AC320" s="149" t="str">
        <f t="shared" si="343"/>
        <v/>
      </c>
      <c r="AD320" s="149" t="str">
        <f t="shared" si="343"/>
        <v/>
      </c>
      <c r="AE320" s="7"/>
    </row>
    <row r="321" spans="1:31" ht="15" hidden="1" customHeight="1" outlineLevel="1">
      <c r="D321" s="245" t="s">
        <v>283</v>
      </c>
      <c r="G321" s="149" t="str">
        <f t="shared" ref="G321:N321" si="344">IF(G304=0,"",IFERROR(IF(OR((G304-G306)/(G319*4)&lt;0,(G304-G306)/(G319*4)&gt;40),"na",(G304-G306)/(G319*4)),""))</f>
        <v>na</v>
      </c>
      <c r="H321" s="149" t="str">
        <f t="shared" si="344"/>
        <v/>
      </c>
      <c r="I321" s="149" t="str">
        <f t="shared" si="344"/>
        <v/>
      </c>
      <c r="J321" s="149" t="str">
        <f t="shared" si="344"/>
        <v/>
      </c>
      <c r="K321" s="149">
        <f t="shared" si="344"/>
        <v>7.8206134094151212</v>
      </c>
      <c r="L321" s="149" t="str">
        <f t="shared" si="344"/>
        <v/>
      </c>
      <c r="M321" s="149" t="str">
        <f t="shared" si="344"/>
        <v/>
      </c>
      <c r="N321" s="149" t="str">
        <f t="shared" si="344"/>
        <v/>
      </c>
      <c r="O321" s="149" t="str">
        <f>IF(O304=0,"",IFERROR(IF(OR((O304-O306)/(O319*4)&lt;0,(O304-O306)/(O319*4)&gt;40),"na",(O304-O306)/(O319*4)),""))</f>
        <v>na</v>
      </c>
      <c r="P321" s="149" t="str">
        <f t="shared" ref="P321:AD321" si="345">IF(P304=0,"",IFERROR(IF(OR((P304-P306)/(P319*4)&lt;0,(P304-P306)/(P319*4)&gt;40),"na",(P304-P306)/(P319*4)),""))</f>
        <v/>
      </c>
      <c r="Q321" s="149" t="str">
        <f t="shared" si="345"/>
        <v/>
      </c>
      <c r="R321" s="149" t="str">
        <f t="shared" si="345"/>
        <v/>
      </c>
      <c r="S321" s="149">
        <f t="shared" si="345"/>
        <v>7.7142857142857144</v>
      </c>
      <c r="T321" s="149" t="str">
        <f t="shared" si="345"/>
        <v/>
      </c>
      <c r="U321" s="149">
        <f t="shared" si="345"/>
        <v>2.3487614080834422</v>
      </c>
      <c r="V321" s="149" t="str">
        <f t="shared" si="345"/>
        <v/>
      </c>
      <c r="W321" s="149" t="str">
        <f t="shared" si="345"/>
        <v/>
      </c>
      <c r="X321" s="149" t="str">
        <f t="shared" si="345"/>
        <v/>
      </c>
      <c r="Y321" s="149" t="str">
        <f t="shared" si="345"/>
        <v/>
      </c>
      <c r="Z321" s="149" t="str">
        <f t="shared" si="345"/>
        <v/>
      </c>
      <c r="AA321" s="149" t="str">
        <f t="shared" si="345"/>
        <v/>
      </c>
      <c r="AB321" s="149" t="str">
        <f t="shared" si="345"/>
        <v/>
      </c>
      <c r="AC321" s="149" t="str">
        <f t="shared" si="345"/>
        <v/>
      </c>
      <c r="AD321" s="149" t="str">
        <f t="shared" si="345"/>
        <v/>
      </c>
      <c r="AE321" s="7"/>
    </row>
    <row r="322" spans="1:31" ht="15" customHeight="1" collapsed="1"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"/>
    </row>
    <row r="323" spans="1:31" ht="15" customHeight="1">
      <c r="A323" s="110" t="s">
        <v>288</v>
      </c>
      <c r="D323" s="241" t="s">
        <v>302</v>
      </c>
      <c r="G323" s="64"/>
      <c r="H323" s="64" t="s">
        <v>315</v>
      </c>
      <c r="I323" s="64"/>
      <c r="J323" s="64"/>
      <c r="K323" s="332"/>
      <c r="L323" s="332"/>
      <c r="M323" s="332" t="s">
        <v>310</v>
      </c>
      <c r="N323" s="332"/>
      <c r="O323" s="332"/>
      <c r="P323" s="332"/>
      <c r="Q323" s="332"/>
      <c r="R323" s="332" t="s">
        <v>296</v>
      </c>
      <c r="S323" s="332" t="s">
        <v>289</v>
      </c>
      <c r="T323" s="332"/>
      <c r="U323" s="332" t="s">
        <v>491</v>
      </c>
      <c r="V323" s="64"/>
      <c r="W323" s="64"/>
      <c r="X323" s="64"/>
      <c r="Y323" s="64"/>
      <c r="Z323" s="64"/>
      <c r="AA323" s="64"/>
      <c r="AB323" s="64"/>
      <c r="AC323" s="64"/>
      <c r="AD323" s="64"/>
      <c r="AE323" s="7"/>
    </row>
    <row r="324" spans="1:31" ht="15" hidden="1" customHeight="1" outlineLevel="1">
      <c r="D324" s="70" t="s">
        <v>276</v>
      </c>
      <c r="G324" s="225"/>
      <c r="H324" s="225">
        <v>2.597</v>
      </c>
      <c r="I324" s="225"/>
      <c r="J324" s="225"/>
      <c r="K324" s="225"/>
      <c r="L324" s="225"/>
      <c r="M324" s="225">
        <v>3.141</v>
      </c>
      <c r="N324" s="225"/>
      <c r="O324" s="225"/>
      <c r="P324" s="225"/>
      <c r="Q324" s="225"/>
      <c r="R324" s="225">
        <v>9.0640000000000001</v>
      </c>
      <c r="S324" s="225">
        <v>13.923999999999999</v>
      </c>
      <c r="T324" s="225"/>
      <c r="U324" s="225">
        <v>145.04900000000001</v>
      </c>
      <c r="V324" s="225"/>
      <c r="W324" s="225"/>
      <c r="X324" s="225"/>
      <c r="Y324" s="225"/>
      <c r="Z324" s="225"/>
      <c r="AA324" s="225"/>
      <c r="AB324" s="225"/>
      <c r="AC324" s="225"/>
      <c r="AD324" s="225"/>
      <c r="AE324" s="7"/>
    </row>
    <row r="325" spans="1:31" ht="15" hidden="1" customHeight="1" outlineLevel="1">
      <c r="D325" s="70" t="s">
        <v>277</v>
      </c>
      <c r="G325" s="225"/>
      <c r="H325" s="225"/>
      <c r="I325" s="225"/>
      <c r="J325" s="225"/>
      <c r="K325" s="225"/>
      <c r="L325" s="225"/>
      <c r="M325" s="225"/>
      <c r="N325" s="225"/>
      <c r="O325" s="225"/>
      <c r="P325" s="225"/>
      <c r="Q325" s="225"/>
      <c r="R325" s="225"/>
      <c r="S325" s="225"/>
      <c r="T325" s="225"/>
      <c r="U325" s="225"/>
      <c r="V325" s="225"/>
      <c r="W325" s="225"/>
      <c r="X325" s="225"/>
      <c r="Y325" s="225"/>
      <c r="Z325" s="225"/>
      <c r="AA325" s="225"/>
      <c r="AB325" s="225"/>
      <c r="AC325" s="225"/>
      <c r="AD325" s="225"/>
      <c r="AE325" s="7"/>
    </row>
    <row r="326" spans="1:31" ht="15" hidden="1" customHeight="1" outlineLevel="1">
      <c r="D326" s="70" t="s">
        <v>275</v>
      </c>
      <c r="G326" s="225"/>
      <c r="H326" s="225">
        <f>2.466+1.848</f>
        <v>4.3140000000000001</v>
      </c>
      <c r="I326" s="225"/>
      <c r="J326" s="225"/>
      <c r="K326" s="225"/>
      <c r="L326" s="225"/>
      <c r="M326" s="225">
        <v>5.2160000000000002</v>
      </c>
      <c r="N326" s="225"/>
      <c r="O326" s="225"/>
      <c r="P326" s="225"/>
      <c r="Q326" s="225"/>
      <c r="R326" s="225">
        <f>3.679+0.98</f>
        <v>4.6589999999999998</v>
      </c>
      <c r="S326" s="225">
        <v>6.0759999999999996</v>
      </c>
      <c r="T326" s="225"/>
      <c r="U326" s="225">
        <v>28.099</v>
      </c>
      <c r="V326" s="225"/>
      <c r="W326" s="225"/>
      <c r="X326" s="225"/>
      <c r="Y326" s="225"/>
      <c r="Z326" s="225"/>
      <c r="AA326" s="225"/>
      <c r="AB326" s="225"/>
      <c r="AC326" s="225"/>
      <c r="AD326" s="225"/>
      <c r="AE326" s="7"/>
    </row>
    <row r="327" spans="1:31" ht="15" hidden="1" customHeight="1" outlineLevel="1">
      <c r="D327" s="70" t="s">
        <v>127</v>
      </c>
      <c r="G327" s="225"/>
      <c r="H327" s="225">
        <v>5.6970000000000001</v>
      </c>
      <c r="I327" s="225"/>
      <c r="J327" s="225"/>
      <c r="K327" s="225"/>
      <c r="L327" s="225"/>
      <c r="M327" s="225"/>
      <c r="N327" s="225"/>
      <c r="O327" s="225"/>
      <c r="P327" s="225"/>
      <c r="Q327" s="225"/>
      <c r="R327" s="225"/>
      <c r="S327" s="225"/>
      <c r="T327" s="225"/>
      <c r="U327" s="225">
        <f>24.392</f>
        <v>24.391999999999999</v>
      </c>
      <c r="V327" s="225"/>
      <c r="W327" s="225"/>
      <c r="X327" s="225"/>
      <c r="Y327" s="225"/>
      <c r="Z327" s="225"/>
      <c r="AA327" s="225"/>
      <c r="AB327" s="225"/>
      <c r="AC327" s="225"/>
      <c r="AD327" s="225"/>
      <c r="AE327" s="7"/>
    </row>
    <row r="328" spans="1:31" s="3" customFormat="1" hidden="1" outlineLevel="1">
      <c r="A328" s="110"/>
      <c r="B328" s="143"/>
      <c r="D328" s="150" t="s">
        <v>317</v>
      </c>
      <c r="E328" s="2"/>
      <c r="F328" s="2"/>
      <c r="G328" s="173">
        <f t="shared" ref="G328:AD328" si="346">SUM(G324:G327)</f>
        <v>0</v>
      </c>
      <c r="H328" s="173">
        <f t="shared" si="346"/>
        <v>12.608000000000001</v>
      </c>
      <c r="I328" s="173">
        <f t="shared" si="346"/>
        <v>0</v>
      </c>
      <c r="J328" s="173">
        <f t="shared" si="346"/>
        <v>0</v>
      </c>
      <c r="K328" s="173">
        <f t="shared" si="346"/>
        <v>0</v>
      </c>
      <c r="L328" s="173">
        <f t="shared" si="346"/>
        <v>0</v>
      </c>
      <c r="M328" s="173">
        <f t="shared" si="346"/>
        <v>8.3569999999999993</v>
      </c>
      <c r="N328" s="173">
        <f t="shared" si="346"/>
        <v>0</v>
      </c>
      <c r="O328" s="173">
        <f t="shared" si="346"/>
        <v>0</v>
      </c>
      <c r="P328" s="173">
        <f t="shared" si="346"/>
        <v>0</v>
      </c>
      <c r="Q328" s="173">
        <f t="shared" si="346"/>
        <v>0</v>
      </c>
      <c r="R328" s="173">
        <f t="shared" si="346"/>
        <v>13.722999999999999</v>
      </c>
      <c r="S328" s="173">
        <f t="shared" si="346"/>
        <v>20</v>
      </c>
      <c r="T328" s="173">
        <f t="shared" si="346"/>
        <v>0</v>
      </c>
      <c r="U328" s="173">
        <f t="shared" si="346"/>
        <v>197.54</v>
      </c>
      <c r="V328" s="173">
        <f t="shared" si="346"/>
        <v>0</v>
      </c>
      <c r="W328" s="173">
        <f t="shared" si="346"/>
        <v>0</v>
      </c>
      <c r="X328" s="173">
        <f t="shared" si="346"/>
        <v>0</v>
      </c>
      <c r="Y328" s="173">
        <f t="shared" si="346"/>
        <v>0</v>
      </c>
      <c r="Z328" s="173">
        <f t="shared" si="346"/>
        <v>0</v>
      </c>
      <c r="AA328" s="173">
        <f t="shared" si="346"/>
        <v>0</v>
      </c>
      <c r="AB328" s="173">
        <f t="shared" si="346"/>
        <v>0</v>
      </c>
      <c r="AC328" s="173">
        <f t="shared" si="346"/>
        <v>0</v>
      </c>
      <c r="AD328" s="173">
        <f t="shared" si="346"/>
        <v>0</v>
      </c>
      <c r="AE328"/>
    </row>
    <row r="329" spans="1:31" s="3" customFormat="1" hidden="1" outlineLevel="1">
      <c r="A329" s="110"/>
      <c r="B329" s="143"/>
      <c r="D329" s="242"/>
      <c r="E329" s="167"/>
      <c r="F329" s="167"/>
      <c r="G329" s="243"/>
      <c r="H329" s="243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/>
    </row>
    <row r="330" spans="1:31" ht="15" hidden="1" customHeight="1" outlineLevel="1">
      <c r="D330" s="70" t="s">
        <v>236</v>
      </c>
      <c r="G330" s="225"/>
      <c r="H330" s="225">
        <v>0.70399999999999996</v>
      </c>
      <c r="I330" s="225"/>
      <c r="J330" s="225"/>
      <c r="K330" s="225"/>
      <c r="L330" s="225"/>
      <c r="M330" s="225">
        <v>1.3660000000000001</v>
      </c>
      <c r="N330" s="225"/>
      <c r="O330" s="225"/>
      <c r="P330" s="225"/>
      <c r="Q330" s="225"/>
      <c r="R330" s="225">
        <v>3.4470000000000001</v>
      </c>
      <c r="S330" s="225">
        <v>4.8730000000000002</v>
      </c>
      <c r="T330" s="225"/>
      <c r="U330" s="225">
        <v>11.023999999999999</v>
      </c>
      <c r="V330" s="225"/>
      <c r="W330" s="225"/>
      <c r="X330" s="225"/>
      <c r="Y330" s="225"/>
      <c r="Z330" s="225"/>
      <c r="AA330" s="225"/>
      <c r="AB330" s="225"/>
      <c r="AC330" s="225"/>
      <c r="AD330" s="225"/>
      <c r="AE330" s="7"/>
    </row>
    <row r="331" spans="1:31" ht="15" hidden="1" customHeight="1" outlineLevel="1">
      <c r="D331" s="70" t="s">
        <v>278</v>
      </c>
      <c r="G331" s="225"/>
      <c r="H331" s="225">
        <f>0.28+14.271+2.595+0.469-16.5-0.722</f>
        <v>0.39300000000000201</v>
      </c>
      <c r="I331" s="225"/>
      <c r="J331" s="225"/>
      <c r="K331" s="225"/>
      <c r="L331" s="225"/>
      <c r="M331" s="225">
        <f>0.916+0.084+0.067-1.418</f>
        <v>-0.35099999999999998</v>
      </c>
      <c r="N331" s="225"/>
      <c r="O331" s="225"/>
      <c r="P331" s="225"/>
      <c r="Q331" s="225"/>
      <c r="R331" s="225">
        <f>5.819+0.021-4.351-1.325</f>
        <v>0.16399999999999992</v>
      </c>
      <c r="S331" s="225">
        <f>6.232+0.362-6.755-0.045</f>
        <v>-0.20599999999999957</v>
      </c>
      <c r="T331" s="225"/>
      <c r="U331" s="225">
        <f>26.065+0.019+9.087-33.253-3.601</f>
        <v>-1.6830000000000007</v>
      </c>
      <c r="V331" s="225"/>
      <c r="W331" s="225"/>
      <c r="X331" s="225"/>
      <c r="Y331" s="225"/>
      <c r="Z331" s="225"/>
      <c r="AA331" s="225"/>
      <c r="AB331" s="225"/>
      <c r="AC331" s="225"/>
      <c r="AD331" s="225"/>
      <c r="AE331" s="7"/>
    </row>
    <row r="332" spans="1:31" ht="15" hidden="1" customHeight="1" outlineLevel="1">
      <c r="D332" s="70" t="s">
        <v>141</v>
      </c>
      <c r="G332" s="225"/>
      <c r="H332" s="225">
        <v>3.3340000000000001</v>
      </c>
      <c r="I332" s="225"/>
      <c r="J332" s="225"/>
      <c r="K332" s="225"/>
      <c r="L332" s="225"/>
      <c r="M332" s="225">
        <v>0.222</v>
      </c>
      <c r="N332" s="225"/>
      <c r="O332" s="225"/>
      <c r="P332" s="225"/>
      <c r="Q332" s="225"/>
      <c r="R332" s="225">
        <v>0</v>
      </c>
      <c r="S332" s="225">
        <v>0.998</v>
      </c>
      <c r="T332" s="225"/>
      <c r="U332" s="225">
        <v>0.751</v>
      </c>
      <c r="V332" s="225"/>
      <c r="W332" s="225"/>
      <c r="X332" s="225"/>
      <c r="Y332" s="225"/>
      <c r="Z332" s="225"/>
      <c r="AA332" s="225"/>
      <c r="AB332" s="225"/>
      <c r="AC332" s="225"/>
      <c r="AD332" s="225"/>
      <c r="AE332" s="7"/>
    </row>
    <row r="333" spans="1:31" ht="15" hidden="1" customHeight="1" outlineLevel="1">
      <c r="D333" s="70" t="s">
        <v>281</v>
      </c>
      <c r="G333" s="225"/>
      <c r="H333" s="225"/>
      <c r="I333" s="225"/>
      <c r="J333" s="225"/>
      <c r="K333" s="225"/>
      <c r="L333" s="225"/>
      <c r="M333" s="225">
        <v>1.248</v>
      </c>
      <c r="N333" s="225"/>
      <c r="O333" s="225"/>
      <c r="P333" s="225"/>
      <c r="Q333" s="225"/>
      <c r="R333" s="225">
        <v>0.45800000000000002</v>
      </c>
      <c r="S333" s="225">
        <v>2.3879999999999999</v>
      </c>
      <c r="T333" s="225"/>
      <c r="U333" s="225">
        <v>2.5499999999999998</v>
      </c>
      <c r="V333" s="225"/>
      <c r="W333" s="225"/>
      <c r="X333" s="225"/>
      <c r="Y333" s="225"/>
      <c r="Z333" s="225"/>
      <c r="AA333" s="225"/>
      <c r="AB333" s="225"/>
      <c r="AC333" s="225"/>
      <c r="AD333" s="225"/>
      <c r="AE333" s="7"/>
    </row>
    <row r="334" spans="1:31" ht="15" hidden="1" customHeight="1" outlineLevel="1">
      <c r="D334" s="70" t="s">
        <v>280</v>
      </c>
      <c r="G334" s="225"/>
      <c r="H334" s="225">
        <f>5.456+1.491</f>
        <v>6.947000000000001</v>
      </c>
      <c r="I334" s="225"/>
      <c r="J334" s="225"/>
      <c r="K334" s="225"/>
      <c r="L334" s="225"/>
      <c r="M334" s="225">
        <v>4.5250000000000004</v>
      </c>
      <c r="N334" s="225"/>
      <c r="O334" s="225"/>
      <c r="P334" s="225"/>
      <c r="Q334" s="225"/>
      <c r="R334" s="225">
        <v>5.5270000000000001</v>
      </c>
      <c r="S334" s="225">
        <v>7.4980000000000002</v>
      </c>
      <c r="T334" s="225"/>
      <c r="U334" s="225">
        <v>85.415000000000006</v>
      </c>
      <c r="V334" s="225"/>
      <c r="W334" s="225"/>
      <c r="X334" s="225"/>
      <c r="Y334" s="225"/>
      <c r="Z334" s="225"/>
      <c r="AA334" s="225"/>
      <c r="AB334" s="225"/>
      <c r="AC334" s="225"/>
      <c r="AD334" s="225"/>
      <c r="AE334" s="7"/>
    </row>
    <row r="335" spans="1:31" ht="15" hidden="1" customHeight="1" outlineLevel="1">
      <c r="D335" s="70" t="s">
        <v>287</v>
      </c>
      <c r="G335" s="225"/>
      <c r="H335" s="225">
        <v>-0.89900000000000002</v>
      </c>
      <c r="I335" s="225"/>
      <c r="J335" s="225"/>
      <c r="K335" s="225"/>
      <c r="L335" s="225"/>
      <c r="M335" s="225">
        <v>-1.1659999999999999</v>
      </c>
      <c r="N335" s="225"/>
      <c r="O335" s="225"/>
      <c r="P335" s="225"/>
      <c r="Q335" s="225"/>
      <c r="R335" s="225">
        <v>-1.4370000000000001</v>
      </c>
      <c r="S335" s="225">
        <v>-1.952</v>
      </c>
      <c r="T335" s="225"/>
      <c r="U335" s="225">
        <v>-22.187999999999999</v>
      </c>
      <c r="V335" s="225"/>
      <c r="W335" s="225"/>
      <c r="X335" s="225"/>
      <c r="Y335" s="225"/>
      <c r="Z335" s="225"/>
      <c r="AA335" s="225"/>
      <c r="AB335" s="225"/>
      <c r="AC335" s="225"/>
      <c r="AD335" s="225"/>
      <c r="AE335" s="7"/>
    </row>
    <row r="336" spans="1:31" ht="15" hidden="1" customHeight="1" outlineLevel="1">
      <c r="D336" s="70" t="s">
        <v>268</v>
      </c>
      <c r="G336" s="225"/>
      <c r="H336" s="225">
        <v>-0.31900000000000001</v>
      </c>
      <c r="I336" s="225"/>
      <c r="J336" s="225"/>
      <c r="K336" s="225"/>
      <c r="L336" s="225"/>
      <c r="M336" s="225">
        <v>-1.248</v>
      </c>
      <c r="N336" s="225"/>
      <c r="O336" s="225"/>
      <c r="P336" s="225"/>
      <c r="Q336" s="225"/>
      <c r="R336" s="225">
        <v>-0.45400000000000001</v>
      </c>
      <c r="S336" s="225">
        <v>-2.3879999999999999</v>
      </c>
      <c r="T336" s="225"/>
      <c r="U336" s="225">
        <v>-2.5499999999999998</v>
      </c>
      <c r="V336" s="225"/>
      <c r="W336" s="225"/>
      <c r="X336" s="225"/>
      <c r="Y336" s="225"/>
      <c r="Z336" s="225"/>
      <c r="AA336" s="225"/>
      <c r="AB336" s="225"/>
      <c r="AC336" s="225"/>
      <c r="AD336" s="225"/>
      <c r="AE336" s="7"/>
    </row>
    <row r="337" spans="1:31" ht="15" hidden="1" customHeight="1" outlineLevel="1">
      <c r="D337" s="70" t="s">
        <v>142</v>
      </c>
      <c r="G337" s="225"/>
      <c r="H337" s="225">
        <v>2.448</v>
      </c>
      <c r="I337" s="225"/>
      <c r="J337" s="225"/>
      <c r="K337" s="225"/>
      <c r="L337" s="225"/>
      <c r="M337" s="225">
        <v>3.7610000000000001</v>
      </c>
      <c r="N337" s="225"/>
      <c r="O337" s="225"/>
      <c r="P337" s="225"/>
      <c r="Q337" s="225"/>
      <c r="R337" s="225">
        <v>6.0179999999999998</v>
      </c>
      <c r="S337" s="225">
        <v>8.7889999999999997</v>
      </c>
      <c r="T337" s="225"/>
      <c r="U337" s="225">
        <v>124.221</v>
      </c>
      <c r="V337" s="225"/>
      <c r="W337" s="225"/>
      <c r="X337" s="225"/>
      <c r="Y337" s="225"/>
      <c r="Z337" s="225"/>
      <c r="AA337" s="225"/>
      <c r="AB337" s="225"/>
      <c r="AC337" s="225"/>
      <c r="AD337" s="225"/>
      <c r="AE337" s="7"/>
    </row>
    <row r="338" spans="1:31" s="3" customFormat="1" hidden="1" outlineLevel="1">
      <c r="A338" s="110"/>
      <c r="B338" s="143"/>
      <c r="D338" s="150" t="s">
        <v>317</v>
      </c>
      <c r="E338" s="2"/>
      <c r="F338" s="2"/>
      <c r="G338" s="207">
        <f t="shared" ref="G338:AD338" si="347">SUM(G330:G337)</f>
        <v>0</v>
      </c>
      <c r="H338" s="207">
        <f t="shared" si="347"/>
        <v>12.608000000000002</v>
      </c>
      <c r="I338" s="207">
        <f t="shared" si="347"/>
        <v>0</v>
      </c>
      <c r="J338" s="207">
        <f t="shared" si="347"/>
        <v>0</v>
      </c>
      <c r="K338" s="207">
        <f t="shared" si="347"/>
        <v>0</v>
      </c>
      <c r="L338" s="207">
        <f t="shared" si="347"/>
        <v>0</v>
      </c>
      <c r="M338" s="207">
        <f t="shared" si="347"/>
        <v>8.3570000000000011</v>
      </c>
      <c r="N338" s="207">
        <f t="shared" si="347"/>
        <v>0</v>
      </c>
      <c r="O338" s="207">
        <f t="shared" si="347"/>
        <v>0</v>
      </c>
      <c r="P338" s="163">
        <f t="shared" si="347"/>
        <v>0</v>
      </c>
      <c r="Q338" s="163">
        <f t="shared" si="347"/>
        <v>0</v>
      </c>
      <c r="R338" s="163">
        <f t="shared" si="347"/>
        <v>13.723000000000001</v>
      </c>
      <c r="S338" s="163">
        <f t="shared" si="347"/>
        <v>20</v>
      </c>
      <c r="T338" s="207">
        <f t="shared" si="347"/>
        <v>0</v>
      </c>
      <c r="U338" s="173">
        <f t="shared" si="347"/>
        <v>197.54000000000002</v>
      </c>
      <c r="V338" s="173">
        <f t="shared" si="347"/>
        <v>0</v>
      </c>
      <c r="W338" s="173">
        <f t="shared" si="347"/>
        <v>0</v>
      </c>
      <c r="X338" s="173">
        <f t="shared" si="347"/>
        <v>0</v>
      </c>
      <c r="Y338" s="173">
        <f t="shared" si="347"/>
        <v>0</v>
      </c>
      <c r="Z338" s="173">
        <f t="shared" si="347"/>
        <v>0</v>
      </c>
      <c r="AA338" s="173">
        <f t="shared" si="347"/>
        <v>0</v>
      </c>
      <c r="AB338" s="173">
        <f t="shared" si="347"/>
        <v>0</v>
      </c>
      <c r="AC338" s="173">
        <f t="shared" si="347"/>
        <v>0</v>
      </c>
      <c r="AD338" s="173">
        <f t="shared" si="347"/>
        <v>0</v>
      </c>
      <c r="AE338"/>
    </row>
    <row r="339" spans="1:31" s="63" customFormat="1" ht="15" hidden="1" customHeight="1" outlineLevel="1">
      <c r="A339" s="199"/>
      <c r="B339" s="142"/>
      <c r="D339" s="84" t="s">
        <v>120</v>
      </c>
      <c r="G339" s="99" t="b">
        <f t="shared" ref="G339:AD339" si="348">G338=G328</f>
        <v>1</v>
      </c>
      <c r="H339" s="99" t="b">
        <f t="shared" si="348"/>
        <v>1</v>
      </c>
      <c r="I339" s="99" t="b">
        <f t="shared" si="348"/>
        <v>1</v>
      </c>
      <c r="J339" s="99" t="b">
        <f t="shared" si="348"/>
        <v>1</v>
      </c>
      <c r="K339" s="99" t="b">
        <f t="shared" si="348"/>
        <v>1</v>
      </c>
      <c r="L339" s="99" t="b">
        <f t="shared" si="348"/>
        <v>1</v>
      </c>
      <c r="M339" s="99" t="b">
        <f t="shared" si="348"/>
        <v>1</v>
      </c>
      <c r="N339" s="99" t="b">
        <f t="shared" si="348"/>
        <v>1</v>
      </c>
      <c r="O339" s="99" t="b">
        <f t="shared" si="348"/>
        <v>1</v>
      </c>
      <c r="P339" s="99" t="b">
        <f t="shared" si="348"/>
        <v>1</v>
      </c>
      <c r="Q339" s="99" t="b">
        <f t="shared" si="348"/>
        <v>1</v>
      </c>
      <c r="R339" s="99" t="b">
        <f t="shared" si="348"/>
        <v>1</v>
      </c>
      <c r="S339" s="99" t="b">
        <f t="shared" si="348"/>
        <v>1</v>
      </c>
      <c r="T339" s="99" t="b">
        <f t="shared" si="348"/>
        <v>1</v>
      </c>
      <c r="U339" s="99" t="b">
        <f t="shared" si="348"/>
        <v>1</v>
      </c>
      <c r="V339" s="99" t="b">
        <f t="shared" si="348"/>
        <v>1</v>
      </c>
      <c r="W339" s="99" t="b">
        <f t="shared" si="348"/>
        <v>1</v>
      </c>
      <c r="X339" s="99" t="b">
        <f t="shared" si="348"/>
        <v>1</v>
      </c>
      <c r="Y339" s="99" t="b">
        <f t="shared" si="348"/>
        <v>1</v>
      </c>
      <c r="Z339" s="99" t="b">
        <f t="shared" si="348"/>
        <v>1</v>
      </c>
      <c r="AA339" s="99" t="b">
        <f t="shared" si="348"/>
        <v>1</v>
      </c>
      <c r="AB339" s="99" t="b">
        <f t="shared" si="348"/>
        <v>1</v>
      </c>
      <c r="AC339" s="99" t="b">
        <f t="shared" si="348"/>
        <v>1</v>
      </c>
      <c r="AD339" s="99" t="b">
        <f t="shared" si="348"/>
        <v>1</v>
      </c>
      <c r="AE339" s="204"/>
    </row>
    <row r="340" spans="1:31" ht="15" hidden="1" customHeight="1" outlineLevel="1"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6"/>
      <c r="V340" s="76"/>
      <c r="W340" s="76"/>
      <c r="X340" s="76"/>
      <c r="Y340" s="76"/>
      <c r="Z340" s="76"/>
      <c r="AA340" s="76"/>
      <c r="AB340" s="76"/>
      <c r="AC340" s="76"/>
      <c r="AD340" s="76"/>
      <c r="AE340" s="7"/>
    </row>
    <row r="341" spans="1:31" s="27" customFormat="1" ht="15" hidden="1" customHeight="1" outlineLevel="1">
      <c r="A341" s="200"/>
      <c r="B341" s="201"/>
      <c r="D341" s="247" t="s">
        <v>258</v>
      </c>
      <c r="G341" s="202" t="str">
        <f t="shared" ref="G341:R341" si="349">IF(G328-G330=0,"",G328-G330)</f>
        <v/>
      </c>
      <c r="H341" s="202">
        <f t="shared" si="349"/>
        <v>11.904</v>
      </c>
      <c r="I341" s="202" t="str">
        <f t="shared" si="349"/>
        <v/>
      </c>
      <c r="J341" s="202" t="str">
        <f t="shared" si="349"/>
        <v/>
      </c>
      <c r="K341" s="202" t="str">
        <f t="shared" si="349"/>
        <v/>
      </c>
      <c r="L341" s="202" t="str">
        <f t="shared" si="349"/>
        <v/>
      </c>
      <c r="M341" s="202">
        <f t="shared" si="349"/>
        <v>6.9909999999999997</v>
      </c>
      <c r="N341" s="202" t="str">
        <f t="shared" si="349"/>
        <v/>
      </c>
      <c r="O341" s="202" t="str">
        <f t="shared" si="349"/>
        <v/>
      </c>
      <c r="P341" s="202" t="str">
        <f t="shared" si="349"/>
        <v/>
      </c>
      <c r="Q341" s="202" t="str">
        <f t="shared" si="349"/>
        <v/>
      </c>
      <c r="R341" s="202">
        <f t="shared" si="349"/>
        <v>10.276</v>
      </c>
      <c r="S341" s="202">
        <f>IF(S328-S330=0,"",S328-S330)</f>
        <v>15.126999999999999</v>
      </c>
      <c r="T341" s="202" t="str">
        <f t="shared" ref="T341:AD341" si="350">IF(T328-T330=0,"",T328-T330)</f>
        <v/>
      </c>
      <c r="U341" s="202">
        <f t="shared" si="350"/>
        <v>186.51599999999999</v>
      </c>
      <c r="V341" s="202" t="str">
        <f t="shared" si="350"/>
        <v/>
      </c>
      <c r="W341" s="202" t="str">
        <f t="shared" si="350"/>
        <v/>
      </c>
      <c r="X341" s="202" t="str">
        <f t="shared" si="350"/>
        <v/>
      </c>
      <c r="Y341" s="202" t="str">
        <f t="shared" si="350"/>
        <v/>
      </c>
      <c r="Z341" s="202" t="str">
        <f t="shared" si="350"/>
        <v/>
      </c>
      <c r="AA341" s="202" t="str">
        <f t="shared" si="350"/>
        <v/>
      </c>
      <c r="AB341" s="202" t="str">
        <f t="shared" si="350"/>
        <v/>
      </c>
      <c r="AC341" s="202" t="str">
        <f t="shared" si="350"/>
        <v/>
      </c>
      <c r="AD341" s="202" t="str">
        <f t="shared" si="350"/>
        <v/>
      </c>
      <c r="AE341" s="202"/>
    </row>
    <row r="342" spans="1:31" ht="15" hidden="1" customHeight="1" outlineLevel="1">
      <c r="D342" s="70" t="s">
        <v>192</v>
      </c>
      <c r="G342" s="225"/>
      <c r="H342" s="225">
        <f>88.599/4*H328/(SUM(H352,H328))/1.03</f>
        <v>10.522787537426082</v>
      </c>
      <c r="I342" s="225"/>
      <c r="J342" s="225"/>
      <c r="K342" s="225"/>
      <c r="L342" s="225"/>
      <c r="M342" s="225">
        <f>23.603/4/1.02</f>
        <v>5.7850490196078432</v>
      </c>
      <c r="N342" s="225"/>
      <c r="O342" s="225"/>
      <c r="P342" s="225"/>
      <c r="Q342" s="225"/>
      <c r="R342" s="225">
        <f>48.213/4/1.01</f>
        <v>11.933910891089109</v>
      </c>
      <c r="S342" s="225">
        <f>31.829/3/1.04</f>
        <v>10.201602564102565</v>
      </c>
      <c r="T342" s="225"/>
      <c r="U342" s="225">
        <f>205.767/3/1.12</f>
        <v>61.240178571428565</v>
      </c>
      <c r="V342" s="225"/>
      <c r="W342" s="225"/>
      <c r="X342" s="225"/>
      <c r="Y342" s="225"/>
      <c r="Z342" s="225"/>
      <c r="AA342" s="225"/>
      <c r="AB342" s="225"/>
      <c r="AC342" s="225"/>
      <c r="AD342" s="225"/>
      <c r="AE342" s="7"/>
    </row>
    <row r="343" spans="1:31" ht="15" hidden="1" customHeight="1" outlineLevel="1">
      <c r="D343" s="70" t="s">
        <v>282</v>
      </c>
      <c r="G343" s="225"/>
      <c r="H343" s="225">
        <f>-8.959/4*H328/(SUM(H352,H328))</f>
        <v>-1.0959701932779633</v>
      </c>
      <c r="I343" s="225"/>
      <c r="J343" s="225"/>
      <c r="K343" s="225"/>
      <c r="L343" s="225"/>
      <c r="M343" s="225">
        <f>0.058/4</f>
        <v>1.4500000000000001E-2</v>
      </c>
      <c r="N343" s="225"/>
      <c r="O343" s="225"/>
      <c r="P343" s="225"/>
      <c r="Q343" s="225"/>
      <c r="R343" s="225">
        <f>0.051/4</f>
        <v>1.2749999999999999E-2</v>
      </c>
      <c r="S343" s="225">
        <f>AVERAGE(0.295,-0.559/3)</f>
        <v>5.4333333333333317E-2</v>
      </c>
      <c r="T343" s="225"/>
      <c r="U343" s="225">
        <f>AVERAGE(2.813,-3.498/3)</f>
        <v>0.82350000000000001</v>
      </c>
      <c r="V343" s="225"/>
      <c r="W343" s="225"/>
      <c r="X343" s="225"/>
      <c r="Y343" s="225"/>
      <c r="Z343" s="225"/>
      <c r="AA343" s="225"/>
      <c r="AB343" s="225"/>
      <c r="AC343" s="225"/>
      <c r="AD343" s="225"/>
      <c r="AE343" s="7"/>
    </row>
    <row r="344" spans="1:31" ht="15" hidden="1" customHeight="1" outlineLevel="1">
      <c r="D344" s="245" t="s">
        <v>284</v>
      </c>
      <c r="G344" s="149" t="str">
        <f t="shared" ref="G344:AD344" si="351">IF(G328=0,"",IFERROR((G328-G330)/(SUM(G342)*4),""))</f>
        <v/>
      </c>
      <c r="H344" s="149">
        <f t="shared" si="351"/>
        <v>0.28281479497855017</v>
      </c>
      <c r="I344" s="149" t="str">
        <f t="shared" si="351"/>
        <v/>
      </c>
      <c r="J344" s="149" t="str">
        <f t="shared" si="351"/>
        <v/>
      </c>
      <c r="K344" s="149" t="str">
        <f t="shared" si="351"/>
        <v/>
      </c>
      <c r="L344" s="149" t="str">
        <f t="shared" si="351"/>
        <v/>
      </c>
      <c r="M344" s="149">
        <f t="shared" si="351"/>
        <v>0.30211498538321396</v>
      </c>
      <c r="N344" s="149" t="str">
        <f t="shared" si="351"/>
        <v/>
      </c>
      <c r="O344" s="149" t="str">
        <f t="shared" si="351"/>
        <v/>
      </c>
      <c r="P344" s="149" t="str">
        <f t="shared" si="351"/>
        <v/>
      </c>
      <c r="Q344" s="149" t="str">
        <f t="shared" si="351"/>
        <v/>
      </c>
      <c r="R344" s="149">
        <f t="shared" si="351"/>
        <v>0.21526891087466035</v>
      </c>
      <c r="S344" s="149">
        <f t="shared" si="351"/>
        <v>0.37070156146910044</v>
      </c>
      <c r="T344" s="149" t="str">
        <f t="shared" si="351"/>
        <v/>
      </c>
      <c r="U344" s="149">
        <f t="shared" si="351"/>
        <v>0.7614118882036478</v>
      </c>
      <c r="V344" s="149" t="str">
        <f t="shared" si="351"/>
        <v/>
      </c>
      <c r="W344" s="149" t="str">
        <f t="shared" si="351"/>
        <v/>
      </c>
      <c r="X344" s="149" t="str">
        <f t="shared" si="351"/>
        <v/>
      </c>
      <c r="Y344" s="149" t="str">
        <f t="shared" si="351"/>
        <v/>
      </c>
      <c r="Z344" s="149" t="str">
        <f t="shared" si="351"/>
        <v/>
      </c>
      <c r="AA344" s="149" t="str">
        <f t="shared" si="351"/>
        <v/>
      </c>
      <c r="AB344" s="149" t="str">
        <f t="shared" si="351"/>
        <v/>
      </c>
      <c r="AC344" s="149" t="str">
        <f t="shared" si="351"/>
        <v/>
      </c>
      <c r="AD344" s="149" t="str">
        <f t="shared" si="351"/>
        <v/>
      </c>
      <c r="AE344" s="7"/>
    </row>
    <row r="345" spans="1:31" ht="15" hidden="1" customHeight="1" outlineLevel="1">
      <c r="D345" s="245" t="s">
        <v>283</v>
      </c>
      <c r="G345" s="149" t="str">
        <f t="shared" ref="G345:AD345" si="352">IF(G328=0,"",IFERROR(IF(OR((G328-G330)/(G343*4)&lt;0,(G328-G330)/(G343*4)&gt;40),"na",(G328-G330)/(G343*4)),""))</f>
        <v/>
      </c>
      <c r="H345" s="149" t="str">
        <f t="shared" si="352"/>
        <v>na</v>
      </c>
      <c r="I345" s="149" t="str">
        <f t="shared" si="352"/>
        <v/>
      </c>
      <c r="J345" s="149" t="str">
        <f t="shared" si="352"/>
        <v/>
      </c>
      <c r="K345" s="149" t="str">
        <f t="shared" si="352"/>
        <v/>
      </c>
      <c r="L345" s="149" t="str">
        <f t="shared" si="352"/>
        <v/>
      </c>
      <c r="M345" s="149" t="str">
        <f t="shared" si="352"/>
        <v>na</v>
      </c>
      <c r="N345" s="149" t="str">
        <f t="shared" si="352"/>
        <v/>
      </c>
      <c r="O345" s="149" t="str">
        <f t="shared" si="352"/>
        <v/>
      </c>
      <c r="P345" s="149" t="str">
        <f t="shared" si="352"/>
        <v/>
      </c>
      <c r="Q345" s="149" t="str">
        <f t="shared" si="352"/>
        <v/>
      </c>
      <c r="R345" s="149" t="str">
        <f t="shared" si="352"/>
        <v>na</v>
      </c>
      <c r="S345" s="149" t="str">
        <f t="shared" si="352"/>
        <v>na</v>
      </c>
      <c r="T345" s="149" t="str">
        <f t="shared" si="352"/>
        <v/>
      </c>
      <c r="U345" s="149" t="str">
        <f t="shared" si="352"/>
        <v>na</v>
      </c>
      <c r="V345" s="149" t="str">
        <f t="shared" si="352"/>
        <v/>
      </c>
      <c r="W345" s="149" t="str">
        <f t="shared" si="352"/>
        <v/>
      </c>
      <c r="X345" s="149" t="str">
        <f t="shared" si="352"/>
        <v/>
      </c>
      <c r="Y345" s="149" t="str">
        <f t="shared" si="352"/>
        <v/>
      </c>
      <c r="Z345" s="149" t="str">
        <f t="shared" si="352"/>
        <v/>
      </c>
      <c r="AA345" s="149" t="str">
        <f t="shared" si="352"/>
        <v/>
      </c>
      <c r="AB345" s="149" t="str">
        <f t="shared" si="352"/>
        <v/>
      </c>
      <c r="AC345" s="149" t="str">
        <f t="shared" si="352"/>
        <v/>
      </c>
      <c r="AD345" s="149" t="str">
        <f t="shared" si="352"/>
        <v/>
      </c>
      <c r="AE345" s="7"/>
    </row>
    <row r="346" spans="1:31" ht="15" customHeight="1" collapsed="1"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"/>
    </row>
    <row r="347" spans="1:31" ht="15" customHeight="1">
      <c r="A347" s="110" t="s">
        <v>290</v>
      </c>
      <c r="D347" s="241" t="s">
        <v>303</v>
      </c>
      <c r="G347" s="64"/>
      <c r="H347" s="64" t="s">
        <v>318</v>
      </c>
      <c r="I347" s="64"/>
      <c r="J347" s="64"/>
      <c r="K347" s="332"/>
      <c r="L347" s="332"/>
      <c r="M347" s="332"/>
      <c r="N347" s="332" t="s">
        <v>311</v>
      </c>
      <c r="O347" s="332"/>
      <c r="P347" s="332"/>
      <c r="Q347" s="332"/>
      <c r="R347" s="332" t="s">
        <v>297</v>
      </c>
      <c r="S347" s="332"/>
      <c r="T347" s="332" t="s">
        <v>291</v>
      </c>
      <c r="U347" s="332"/>
      <c r="V347" s="249"/>
      <c r="W347" s="249"/>
      <c r="X347" s="249"/>
      <c r="Y347" s="249"/>
      <c r="Z347" s="249"/>
      <c r="AA347" s="249"/>
      <c r="AB347" s="249"/>
      <c r="AC347" s="249"/>
      <c r="AD347" s="249"/>
      <c r="AE347" s="7"/>
    </row>
    <row r="348" spans="1:31" ht="15" hidden="1" customHeight="1" outlineLevel="1">
      <c r="D348" s="70" t="s">
        <v>276</v>
      </c>
      <c r="G348" s="225"/>
      <c r="H348" s="225">
        <v>11.532999999999999</v>
      </c>
      <c r="I348" s="225"/>
      <c r="J348" s="225"/>
      <c r="K348" s="225"/>
      <c r="L348" s="225"/>
      <c r="M348" s="225"/>
      <c r="N348" s="225"/>
      <c r="O348" s="225"/>
      <c r="P348" s="225"/>
      <c r="Q348" s="225"/>
      <c r="R348" s="225">
        <v>0.36399999999999999</v>
      </c>
      <c r="S348" s="225"/>
      <c r="T348" s="225">
        <v>49.781999999999996</v>
      </c>
      <c r="U348" s="225"/>
      <c r="V348" s="225"/>
      <c r="W348" s="225"/>
      <c r="X348" s="225"/>
      <c r="Y348" s="225"/>
      <c r="Z348" s="225"/>
      <c r="AA348" s="225"/>
      <c r="AB348" s="225"/>
      <c r="AC348" s="225"/>
      <c r="AD348" s="225"/>
      <c r="AE348" s="7"/>
    </row>
    <row r="349" spans="1:31" ht="15" hidden="1" customHeight="1" outlineLevel="1">
      <c r="D349" s="70" t="s">
        <v>277</v>
      </c>
      <c r="G349" s="225"/>
      <c r="H349" s="225"/>
      <c r="I349" s="225"/>
      <c r="J349" s="225"/>
      <c r="K349" s="225"/>
      <c r="L349" s="225"/>
      <c r="M349" s="225"/>
      <c r="N349" s="225"/>
      <c r="O349" s="225"/>
      <c r="P349" s="225"/>
      <c r="Q349" s="225"/>
      <c r="R349" s="225">
        <v>1.3380000000000001</v>
      </c>
      <c r="S349" s="225"/>
      <c r="T349" s="225"/>
      <c r="U349" s="225"/>
      <c r="V349" s="225"/>
      <c r="W349" s="225"/>
      <c r="X349" s="225"/>
      <c r="Y349" s="225"/>
      <c r="Z349" s="225"/>
      <c r="AA349" s="225"/>
      <c r="AB349" s="225"/>
      <c r="AC349" s="225"/>
      <c r="AD349" s="225"/>
      <c r="AE349" s="7"/>
    </row>
    <row r="350" spans="1:31" ht="15" hidden="1" customHeight="1" outlineLevel="1">
      <c r="D350" s="70" t="s">
        <v>275</v>
      </c>
      <c r="G350" s="225"/>
      <c r="H350" s="225"/>
      <c r="I350" s="225"/>
      <c r="J350" s="225"/>
      <c r="K350" s="225"/>
      <c r="L350" s="225"/>
      <c r="M350" s="225"/>
      <c r="N350" s="225"/>
      <c r="O350" s="225"/>
      <c r="P350" s="225"/>
      <c r="Q350" s="225"/>
      <c r="R350" s="225"/>
      <c r="S350" s="225"/>
      <c r="T350" s="225">
        <v>11.031000000000001</v>
      </c>
      <c r="U350" s="225"/>
      <c r="V350" s="225"/>
      <c r="W350" s="225"/>
      <c r="X350" s="225"/>
      <c r="Y350" s="225"/>
      <c r="Z350" s="225"/>
      <c r="AA350" s="225"/>
      <c r="AB350" s="225"/>
      <c r="AC350" s="225"/>
      <c r="AD350" s="225"/>
      <c r="AE350" s="7"/>
    </row>
    <row r="351" spans="1:31" ht="15" hidden="1" customHeight="1" outlineLevel="1">
      <c r="D351" s="70" t="s">
        <v>127</v>
      </c>
      <c r="G351" s="225"/>
      <c r="H351" s="225">
        <v>1.625</v>
      </c>
      <c r="I351" s="225"/>
      <c r="J351" s="225"/>
      <c r="K351" s="225"/>
      <c r="L351" s="225"/>
      <c r="M351" s="225"/>
      <c r="N351" s="225">
        <v>6.4349999999999996</v>
      </c>
      <c r="O351" s="225"/>
      <c r="P351" s="225"/>
      <c r="Q351" s="225"/>
      <c r="R351" s="225"/>
      <c r="S351" s="225"/>
      <c r="T351" s="225">
        <v>13.829000000000001</v>
      </c>
      <c r="U351" s="225"/>
      <c r="V351" s="225"/>
      <c r="W351" s="225"/>
      <c r="X351" s="225"/>
      <c r="Y351" s="225"/>
      <c r="Z351" s="225"/>
      <c r="AA351" s="225"/>
      <c r="AB351" s="225"/>
      <c r="AC351" s="225"/>
      <c r="AD351" s="225"/>
      <c r="AE351" s="7"/>
    </row>
    <row r="352" spans="1:31" s="3" customFormat="1" hidden="1" outlineLevel="1">
      <c r="A352" s="110"/>
      <c r="B352" s="143"/>
      <c r="D352" s="150" t="s">
        <v>317</v>
      </c>
      <c r="E352" s="2"/>
      <c r="F352" s="2"/>
      <c r="G352" s="173">
        <f t="shared" ref="G352:AD352" si="353">SUM(G348:G351)</f>
        <v>0</v>
      </c>
      <c r="H352" s="173">
        <f t="shared" si="353"/>
        <v>13.157999999999999</v>
      </c>
      <c r="I352" s="173">
        <f t="shared" si="353"/>
        <v>0</v>
      </c>
      <c r="J352" s="173">
        <f t="shared" si="353"/>
        <v>0</v>
      </c>
      <c r="K352" s="173">
        <f t="shared" si="353"/>
        <v>0</v>
      </c>
      <c r="L352" s="173">
        <f t="shared" si="353"/>
        <v>0</v>
      </c>
      <c r="M352" s="173">
        <f t="shared" si="353"/>
        <v>0</v>
      </c>
      <c r="N352" s="173">
        <f t="shared" si="353"/>
        <v>6.4349999999999996</v>
      </c>
      <c r="O352" s="173">
        <f t="shared" si="353"/>
        <v>0</v>
      </c>
      <c r="P352" s="173">
        <f t="shared" si="353"/>
        <v>0</v>
      </c>
      <c r="Q352" s="173">
        <f t="shared" si="353"/>
        <v>0</v>
      </c>
      <c r="R352" s="173">
        <f t="shared" si="353"/>
        <v>1.702</v>
      </c>
      <c r="S352" s="173">
        <f t="shared" si="353"/>
        <v>0</v>
      </c>
      <c r="T352" s="173">
        <f t="shared" si="353"/>
        <v>74.641999999999996</v>
      </c>
      <c r="U352" s="173">
        <f t="shared" si="353"/>
        <v>0</v>
      </c>
      <c r="V352" s="173">
        <f t="shared" si="353"/>
        <v>0</v>
      </c>
      <c r="W352" s="173">
        <f t="shared" si="353"/>
        <v>0</v>
      </c>
      <c r="X352" s="173">
        <f t="shared" si="353"/>
        <v>0</v>
      </c>
      <c r="Y352" s="173">
        <f t="shared" si="353"/>
        <v>0</v>
      </c>
      <c r="Z352" s="173">
        <f t="shared" si="353"/>
        <v>0</v>
      </c>
      <c r="AA352" s="173">
        <f t="shared" si="353"/>
        <v>0</v>
      </c>
      <c r="AB352" s="173">
        <f t="shared" si="353"/>
        <v>0</v>
      </c>
      <c r="AC352" s="173">
        <f t="shared" si="353"/>
        <v>0</v>
      </c>
      <c r="AD352" s="173">
        <f t="shared" si="353"/>
        <v>0</v>
      </c>
      <c r="AE352"/>
    </row>
    <row r="353" spans="1:31" s="3" customFormat="1" hidden="1" outlineLevel="1">
      <c r="A353" s="110"/>
      <c r="B353" s="143"/>
      <c r="D353" s="242"/>
      <c r="E353" s="167"/>
      <c r="F353" s="167"/>
      <c r="G353" s="243"/>
      <c r="H353" s="243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/>
    </row>
    <row r="354" spans="1:31" ht="15" hidden="1" customHeight="1" outlineLevel="1">
      <c r="D354" s="70" t="s">
        <v>236</v>
      </c>
      <c r="G354" s="225"/>
      <c r="H354" s="225">
        <v>0.123</v>
      </c>
      <c r="I354" s="225"/>
      <c r="J354" s="225"/>
      <c r="K354" s="225"/>
      <c r="L354" s="225"/>
      <c r="M354" s="225"/>
      <c r="N354" s="225">
        <f>1.124+0.839</f>
        <v>1.9630000000000001</v>
      </c>
      <c r="O354" s="225"/>
      <c r="P354" s="225"/>
      <c r="Q354" s="225"/>
      <c r="R354" s="225">
        <v>0.24299999999999999</v>
      </c>
      <c r="S354" s="225"/>
      <c r="T354" s="225">
        <v>8.0440000000000005</v>
      </c>
      <c r="U354" s="225"/>
      <c r="V354" s="225"/>
      <c r="W354" s="225"/>
      <c r="X354" s="225"/>
      <c r="Y354" s="225"/>
      <c r="Z354" s="225"/>
      <c r="AA354" s="225"/>
      <c r="AB354" s="225"/>
      <c r="AC354" s="225"/>
      <c r="AD354" s="225"/>
      <c r="AE354" s="7"/>
    </row>
    <row r="355" spans="1:31" ht="15" hidden="1" customHeight="1" outlineLevel="1">
      <c r="D355" s="70" t="s">
        <v>278</v>
      </c>
      <c r="G355" s="225"/>
      <c r="H355" s="225">
        <f>10.284+0.221+0.532-10.481-0.141</f>
        <v>0.41500000000000092</v>
      </c>
      <c r="I355" s="225"/>
      <c r="J355" s="225"/>
      <c r="K355" s="225"/>
      <c r="L355" s="225"/>
      <c r="M355" s="225"/>
      <c r="N355" s="225">
        <f>13.563+0.131+0.88-17.108-0.534-9.804</f>
        <v>-12.872</v>
      </c>
      <c r="O355" s="225"/>
      <c r="P355" s="225"/>
      <c r="Q355" s="225"/>
      <c r="R355" s="225">
        <f>0.039-0.037-0.035</f>
        <v>-3.3000000000000002E-2</v>
      </c>
      <c r="S355" s="225"/>
      <c r="T355" s="225">
        <f>47.368+0.055+0.738-42.055-0.244</f>
        <v>5.8620000000000019</v>
      </c>
      <c r="U355" s="225"/>
      <c r="V355" s="225"/>
      <c r="W355" s="225"/>
      <c r="X355" s="225"/>
      <c r="Y355" s="225"/>
      <c r="Z355" s="225"/>
      <c r="AA355" s="225"/>
      <c r="AB355" s="225"/>
      <c r="AC355" s="225"/>
      <c r="AD355" s="225"/>
      <c r="AE355" s="7"/>
    </row>
    <row r="356" spans="1:31" ht="15" hidden="1" customHeight="1" outlineLevel="1">
      <c r="D356" s="70" t="s">
        <v>141</v>
      </c>
      <c r="G356" s="225"/>
      <c r="H356" s="225">
        <v>0.23499999999999999</v>
      </c>
      <c r="I356" s="225"/>
      <c r="J356" s="225"/>
      <c r="K356" s="225"/>
      <c r="L356" s="225"/>
      <c r="M356" s="225"/>
      <c r="N356" s="225">
        <v>0.127</v>
      </c>
      <c r="O356" s="225"/>
      <c r="P356" s="225"/>
      <c r="Q356" s="225"/>
      <c r="R356" s="225">
        <v>4.1000000000000002E-2</v>
      </c>
      <c r="S356" s="225"/>
      <c r="T356" s="225">
        <v>0.41299999999999998</v>
      </c>
      <c r="U356" s="225"/>
      <c r="V356" s="225"/>
      <c r="W356" s="225"/>
      <c r="X356" s="225"/>
      <c r="Y356" s="225"/>
      <c r="Z356" s="225"/>
      <c r="AA356" s="225"/>
      <c r="AB356" s="225"/>
      <c r="AC356" s="225"/>
      <c r="AD356" s="225"/>
      <c r="AE356" s="7"/>
    </row>
    <row r="357" spans="1:31" ht="15" hidden="1" customHeight="1" outlineLevel="1">
      <c r="D357" s="70" t="s">
        <v>281</v>
      </c>
      <c r="G357" s="225"/>
      <c r="H357" s="225"/>
      <c r="I357" s="225"/>
      <c r="J357" s="225"/>
      <c r="K357" s="225"/>
      <c r="L357" s="225"/>
      <c r="M357" s="225"/>
      <c r="N357" s="225">
        <v>1.286</v>
      </c>
      <c r="O357" s="225"/>
      <c r="P357" s="225"/>
      <c r="Q357" s="225"/>
      <c r="R357" s="225"/>
      <c r="S357" s="225"/>
      <c r="T357" s="225">
        <v>1.0620000000000001</v>
      </c>
      <c r="U357" s="225"/>
      <c r="V357" s="225"/>
      <c r="W357" s="225"/>
      <c r="X357" s="225"/>
      <c r="Y357" s="225"/>
      <c r="Z357" s="225"/>
      <c r="AA357" s="225"/>
      <c r="AB357" s="225"/>
      <c r="AC357" s="225"/>
      <c r="AD357" s="225"/>
      <c r="AE357" s="7"/>
    </row>
    <row r="358" spans="1:31" ht="15" hidden="1" customHeight="1" outlineLevel="1">
      <c r="D358" s="70" t="s">
        <v>280</v>
      </c>
      <c r="G358" s="225"/>
      <c r="H358" s="225">
        <f>0.198+5.163+2.106</f>
        <v>7.4670000000000005</v>
      </c>
      <c r="I358" s="225"/>
      <c r="J358" s="225"/>
      <c r="K358" s="225"/>
      <c r="L358" s="225"/>
      <c r="M358" s="225"/>
      <c r="N358" s="225">
        <v>8.2870000000000008</v>
      </c>
      <c r="O358" s="225"/>
      <c r="P358" s="225"/>
      <c r="Q358" s="225"/>
      <c r="R358" s="225">
        <v>0.871</v>
      </c>
      <c r="S358" s="225"/>
      <c r="T358" s="225">
        <v>32.374000000000002</v>
      </c>
      <c r="U358" s="225"/>
      <c r="V358" s="225"/>
      <c r="W358" s="225"/>
      <c r="X358" s="225"/>
      <c r="Y358" s="225"/>
      <c r="Z358" s="225"/>
      <c r="AA358" s="225"/>
      <c r="AB358" s="225"/>
      <c r="AC358" s="225"/>
      <c r="AD358" s="225"/>
      <c r="AE358" s="7"/>
    </row>
    <row r="359" spans="1:31" ht="15" hidden="1" customHeight="1" outlineLevel="1">
      <c r="D359" s="70" t="s">
        <v>287</v>
      </c>
      <c r="G359" s="225"/>
      <c r="H359" s="225"/>
      <c r="I359" s="225"/>
      <c r="J359" s="225"/>
      <c r="K359" s="225"/>
      <c r="L359" s="225"/>
      <c r="M359" s="225"/>
      <c r="N359" s="225">
        <v>-2.1539999999999999</v>
      </c>
      <c r="O359" s="225"/>
      <c r="P359" s="225"/>
      <c r="Q359" s="225"/>
      <c r="R359" s="225">
        <v>-0.22900000000000001</v>
      </c>
      <c r="S359" s="225"/>
      <c r="T359" s="225">
        <v>-8.4169999999999998</v>
      </c>
      <c r="U359" s="225"/>
      <c r="V359" s="225"/>
      <c r="W359" s="225"/>
      <c r="X359" s="225"/>
      <c r="Y359" s="225"/>
      <c r="Z359" s="225"/>
      <c r="AA359" s="225"/>
      <c r="AB359" s="225"/>
      <c r="AC359" s="225"/>
      <c r="AD359" s="225"/>
      <c r="AE359" s="7"/>
    </row>
    <row r="360" spans="1:31" ht="15" hidden="1" customHeight="1" outlineLevel="1">
      <c r="D360" s="70" t="s">
        <v>268</v>
      </c>
      <c r="G360" s="225"/>
      <c r="H360" s="225"/>
      <c r="I360" s="225"/>
      <c r="J360" s="225"/>
      <c r="K360" s="225"/>
      <c r="L360" s="225"/>
      <c r="M360" s="225"/>
      <c r="N360" s="225">
        <v>-1.286</v>
      </c>
      <c r="O360" s="225"/>
      <c r="P360" s="225"/>
      <c r="Q360" s="225"/>
      <c r="R360" s="225"/>
      <c r="S360" s="225"/>
      <c r="T360" s="225">
        <v>-0.98799999999999999</v>
      </c>
      <c r="U360" s="225"/>
      <c r="V360" s="225"/>
      <c r="W360" s="225"/>
      <c r="X360" s="225"/>
      <c r="Y360" s="225"/>
      <c r="Z360" s="225"/>
      <c r="AA360" s="225"/>
      <c r="AB360" s="225"/>
      <c r="AC360" s="225"/>
      <c r="AD360" s="225"/>
      <c r="AE360" s="7"/>
    </row>
    <row r="361" spans="1:31" ht="15" hidden="1" customHeight="1" outlineLevel="1">
      <c r="D361" s="70" t="s">
        <v>142</v>
      </c>
      <c r="G361" s="225"/>
      <c r="H361" s="225">
        <v>4.9180000000000001</v>
      </c>
      <c r="I361" s="225"/>
      <c r="J361" s="225"/>
      <c r="K361" s="225"/>
      <c r="L361" s="225"/>
      <c r="M361" s="225"/>
      <c r="N361" s="225">
        <v>11.084</v>
      </c>
      <c r="O361" s="225"/>
      <c r="P361" s="225"/>
      <c r="Q361" s="225"/>
      <c r="R361" s="225">
        <v>0.80900000000000005</v>
      </c>
      <c r="S361" s="225"/>
      <c r="T361" s="225">
        <v>36.292000000000002</v>
      </c>
      <c r="U361" s="225"/>
      <c r="V361" s="225"/>
      <c r="W361" s="225"/>
      <c r="X361" s="225"/>
      <c r="Y361" s="225"/>
      <c r="Z361" s="225"/>
      <c r="AA361" s="225"/>
      <c r="AB361" s="225"/>
      <c r="AC361" s="225"/>
      <c r="AD361" s="225"/>
      <c r="AE361" s="7"/>
    </row>
    <row r="362" spans="1:31" s="3" customFormat="1" hidden="1" outlineLevel="1">
      <c r="A362" s="110"/>
      <c r="B362" s="143"/>
      <c r="D362" s="150" t="s">
        <v>317</v>
      </c>
      <c r="E362" s="2"/>
      <c r="F362" s="2"/>
      <c r="G362" s="207">
        <f t="shared" ref="G362:AD362" si="354">SUM(G354:G361)</f>
        <v>0</v>
      </c>
      <c r="H362" s="207">
        <f t="shared" si="354"/>
        <v>13.158000000000001</v>
      </c>
      <c r="I362" s="207">
        <f t="shared" si="354"/>
        <v>0</v>
      </c>
      <c r="J362" s="207">
        <f t="shared" si="354"/>
        <v>0</v>
      </c>
      <c r="K362" s="207">
        <f t="shared" si="354"/>
        <v>0</v>
      </c>
      <c r="L362" s="207">
        <f t="shared" si="354"/>
        <v>0</v>
      </c>
      <c r="M362" s="207">
        <f t="shared" si="354"/>
        <v>0</v>
      </c>
      <c r="N362" s="207">
        <f t="shared" si="354"/>
        <v>6.4350000000000023</v>
      </c>
      <c r="O362" s="207">
        <f t="shared" si="354"/>
        <v>0</v>
      </c>
      <c r="P362" s="163">
        <f t="shared" si="354"/>
        <v>0</v>
      </c>
      <c r="Q362" s="163">
        <f t="shared" si="354"/>
        <v>0</v>
      </c>
      <c r="R362" s="163">
        <f t="shared" si="354"/>
        <v>1.702</v>
      </c>
      <c r="S362" s="163">
        <f t="shared" si="354"/>
        <v>0</v>
      </c>
      <c r="T362" s="207">
        <f t="shared" si="354"/>
        <v>74.641999999999996</v>
      </c>
      <c r="U362" s="173">
        <f t="shared" si="354"/>
        <v>0</v>
      </c>
      <c r="V362" s="173">
        <f t="shared" si="354"/>
        <v>0</v>
      </c>
      <c r="W362" s="173">
        <f t="shared" si="354"/>
        <v>0</v>
      </c>
      <c r="X362" s="173">
        <f t="shared" si="354"/>
        <v>0</v>
      </c>
      <c r="Y362" s="173">
        <f t="shared" si="354"/>
        <v>0</v>
      </c>
      <c r="Z362" s="173">
        <f t="shared" si="354"/>
        <v>0</v>
      </c>
      <c r="AA362" s="173">
        <f t="shared" si="354"/>
        <v>0</v>
      </c>
      <c r="AB362" s="173">
        <f t="shared" si="354"/>
        <v>0</v>
      </c>
      <c r="AC362" s="173">
        <f t="shared" si="354"/>
        <v>0</v>
      </c>
      <c r="AD362" s="173">
        <f t="shared" si="354"/>
        <v>0</v>
      </c>
      <c r="AE362"/>
    </row>
    <row r="363" spans="1:31" s="63" customFormat="1" ht="15" hidden="1" customHeight="1" outlineLevel="1">
      <c r="A363" s="199"/>
      <c r="B363" s="142"/>
      <c r="D363" s="84" t="s">
        <v>120</v>
      </c>
      <c r="G363" s="99" t="b">
        <f t="shared" ref="G363:AD363" si="355">G362=G352</f>
        <v>1</v>
      </c>
      <c r="H363" s="99" t="b">
        <f t="shared" si="355"/>
        <v>1</v>
      </c>
      <c r="I363" s="99" t="b">
        <f t="shared" si="355"/>
        <v>1</v>
      </c>
      <c r="J363" s="99" t="b">
        <f t="shared" si="355"/>
        <v>1</v>
      </c>
      <c r="K363" s="99" t="b">
        <f t="shared" si="355"/>
        <v>1</v>
      </c>
      <c r="L363" s="99" t="b">
        <f t="shared" si="355"/>
        <v>1</v>
      </c>
      <c r="M363" s="99" t="b">
        <f t="shared" si="355"/>
        <v>1</v>
      </c>
      <c r="N363" s="99" t="b">
        <f t="shared" si="355"/>
        <v>1</v>
      </c>
      <c r="O363" s="99" t="b">
        <f t="shared" si="355"/>
        <v>1</v>
      </c>
      <c r="P363" s="99" t="b">
        <f t="shared" si="355"/>
        <v>1</v>
      </c>
      <c r="Q363" s="99" t="b">
        <f t="shared" si="355"/>
        <v>1</v>
      </c>
      <c r="R363" s="99" t="b">
        <f t="shared" si="355"/>
        <v>1</v>
      </c>
      <c r="S363" s="99" t="b">
        <f t="shared" si="355"/>
        <v>1</v>
      </c>
      <c r="T363" s="99" t="b">
        <f t="shared" si="355"/>
        <v>1</v>
      </c>
      <c r="U363" s="99" t="b">
        <f t="shared" si="355"/>
        <v>1</v>
      </c>
      <c r="V363" s="99" t="b">
        <f t="shared" si="355"/>
        <v>1</v>
      </c>
      <c r="W363" s="99" t="b">
        <f t="shared" si="355"/>
        <v>1</v>
      </c>
      <c r="X363" s="99" t="b">
        <f t="shared" si="355"/>
        <v>1</v>
      </c>
      <c r="Y363" s="99" t="b">
        <f t="shared" si="355"/>
        <v>1</v>
      </c>
      <c r="Z363" s="99" t="b">
        <f t="shared" si="355"/>
        <v>1</v>
      </c>
      <c r="AA363" s="99" t="b">
        <f t="shared" si="355"/>
        <v>1</v>
      </c>
      <c r="AB363" s="99" t="b">
        <f t="shared" si="355"/>
        <v>1</v>
      </c>
      <c r="AC363" s="99" t="b">
        <f t="shared" si="355"/>
        <v>1</v>
      </c>
      <c r="AD363" s="99" t="b">
        <f t="shared" si="355"/>
        <v>1</v>
      </c>
      <c r="AE363" s="204"/>
    </row>
    <row r="364" spans="1:31" ht="15" hidden="1" customHeight="1" outlineLevel="1"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"/>
    </row>
    <row r="365" spans="1:31" s="27" customFormat="1" ht="15" hidden="1" customHeight="1" outlineLevel="1">
      <c r="A365" s="200"/>
      <c r="B365" s="201"/>
      <c r="D365" s="247" t="s">
        <v>258</v>
      </c>
      <c r="G365" s="202" t="str">
        <f t="shared" ref="G365:R365" si="356">IF(G352-G354=0,"",G352-G354)</f>
        <v/>
      </c>
      <c r="H365" s="202">
        <f t="shared" si="356"/>
        <v>13.035</v>
      </c>
      <c r="I365" s="202" t="str">
        <f t="shared" si="356"/>
        <v/>
      </c>
      <c r="J365" s="202" t="str">
        <f t="shared" si="356"/>
        <v/>
      </c>
      <c r="K365" s="202" t="str">
        <f t="shared" si="356"/>
        <v/>
      </c>
      <c r="L365" s="202" t="str">
        <f t="shared" si="356"/>
        <v/>
      </c>
      <c r="M365" s="202" t="str">
        <f t="shared" si="356"/>
        <v/>
      </c>
      <c r="N365" s="202">
        <f t="shared" si="356"/>
        <v>4.4719999999999995</v>
      </c>
      <c r="O365" s="202" t="str">
        <f t="shared" si="356"/>
        <v/>
      </c>
      <c r="P365" s="202" t="str">
        <f t="shared" si="356"/>
        <v/>
      </c>
      <c r="Q365" s="202" t="str">
        <f t="shared" si="356"/>
        <v/>
      </c>
      <c r="R365" s="202">
        <f t="shared" si="356"/>
        <v>1.4590000000000001</v>
      </c>
      <c r="S365" s="202" t="str">
        <f>IF(S352-S354=0,"",S352-S354)</f>
        <v/>
      </c>
      <c r="T365" s="202">
        <f t="shared" ref="T365:AD365" si="357">IF(T352-T354=0,"",T352-T354)</f>
        <v>66.597999999999999</v>
      </c>
      <c r="U365" s="246" t="str">
        <f t="shared" si="357"/>
        <v/>
      </c>
      <c r="V365" s="246" t="str">
        <f t="shared" si="357"/>
        <v/>
      </c>
      <c r="W365" s="246" t="str">
        <f t="shared" si="357"/>
        <v/>
      </c>
      <c r="X365" s="246" t="str">
        <f t="shared" si="357"/>
        <v/>
      </c>
      <c r="Y365" s="246" t="str">
        <f t="shared" si="357"/>
        <v/>
      </c>
      <c r="Z365" s="246" t="str">
        <f t="shared" si="357"/>
        <v/>
      </c>
      <c r="AA365" s="246" t="str">
        <f t="shared" si="357"/>
        <v/>
      </c>
      <c r="AB365" s="246" t="str">
        <f t="shared" si="357"/>
        <v/>
      </c>
      <c r="AC365" s="246" t="str">
        <f t="shared" si="357"/>
        <v/>
      </c>
      <c r="AD365" s="246" t="str">
        <f t="shared" si="357"/>
        <v/>
      </c>
      <c r="AE365" s="202"/>
    </row>
    <row r="366" spans="1:31" ht="15" hidden="1" customHeight="1" outlineLevel="1">
      <c r="D366" s="70" t="s">
        <v>192</v>
      </c>
      <c r="G366" s="225"/>
      <c r="H366" s="225">
        <f>88.599/4*H352/(SUM(H352,H338))/1.03</f>
        <v>10.981824113059357</v>
      </c>
      <c r="I366" s="225"/>
      <c r="J366" s="225"/>
      <c r="K366" s="225"/>
      <c r="L366" s="225"/>
      <c r="M366" s="225"/>
      <c r="N366" s="225">
        <f>58.429/4/1.01</f>
        <v>14.462623762376237</v>
      </c>
      <c r="O366" s="225"/>
      <c r="P366" s="225"/>
      <c r="Q366" s="225"/>
      <c r="R366" s="225">
        <f>12.092/4/1.01</f>
        <v>2.9930693069306931</v>
      </c>
      <c r="S366" s="225"/>
      <c r="T366" s="225">
        <f>150.65/3/1.03</f>
        <v>48.754045307443363</v>
      </c>
      <c r="U366" s="225"/>
      <c r="V366" s="225"/>
      <c r="W366" s="225"/>
      <c r="X366" s="225"/>
      <c r="Y366" s="225"/>
      <c r="Z366" s="225"/>
      <c r="AA366" s="225"/>
      <c r="AB366" s="225"/>
      <c r="AC366" s="225"/>
      <c r="AD366" s="225"/>
      <c r="AE366" s="7"/>
    </row>
    <row r="367" spans="1:31" ht="15" hidden="1" customHeight="1" outlineLevel="1">
      <c r="D367" s="70" t="s">
        <v>282</v>
      </c>
      <c r="G367" s="225"/>
      <c r="H367" s="225">
        <f>-8.959/4*H352/(SUM(H352,H338))</f>
        <v>-1.1437798067220366</v>
      </c>
      <c r="I367" s="225"/>
      <c r="J367" s="225"/>
      <c r="K367" s="225"/>
      <c r="L367" s="225"/>
      <c r="M367" s="225"/>
      <c r="N367" s="225">
        <f>-0.583/4</f>
        <v>-0.14574999999999999</v>
      </c>
      <c r="O367" s="225"/>
      <c r="P367" s="225"/>
      <c r="Q367" s="225"/>
      <c r="R367" s="225">
        <f>0.207/4</f>
        <v>5.1749999999999997E-2</v>
      </c>
      <c r="S367" s="225"/>
      <c r="T367" s="225">
        <f>AVERAGE(4.062,12.297/3)</f>
        <v>4.0805000000000007</v>
      </c>
      <c r="U367" s="225"/>
      <c r="V367" s="225"/>
      <c r="W367" s="225"/>
      <c r="X367" s="225"/>
      <c r="Y367" s="225"/>
      <c r="Z367" s="225"/>
      <c r="AA367" s="225"/>
      <c r="AB367" s="225"/>
      <c r="AC367" s="225"/>
      <c r="AD367" s="225"/>
      <c r="AE367" s="7"/>
    </row>
    <row r="368" spans="1:31" ht="15" hidden="1" customHeight="1" outlineLevel="1">
      <c r="D368" s="245" t="s">
        <v>284</v>
      </c>
      <c r="G368" s="149" t="str">
        <f t="shared" ref="G368:AD368" si="358">IF(G352=0,"",IFERROR((G352-G354)/(SUM(G366)*4),""))</f>
        <v/>
      </c>
      <c r="H368" s="149">
        <f t="shared" si="358"/>
        <v>0.29674031986405264</v>
      </c>
      <c r="I368" s="149" t="str">
        <f t="shared" si="358"/>
        <v/>
      </c>
      <c r="J368" s="149" t="str">
        <f t="shared" si="358"/>
        <v/>
      </c>
      <c r="K368" s="149" t="str">
        <f t="shared" si="358"/>
        <v/>
      </c>
      <c r="L368" s="149" t="str">
        <f t="shared" si="358"/>
        <v/>
      </c>
      <c r="M368" s="149" t="str">
        <f t="shared" si="358"/>
        <v/>
      </c>
      <c r="N368" s="149">
        <f t="shared" si="358"/>
        <v>7.7302709271081127E-2</v>
      </c>
      <c r="O368" s="149" t="str">
        <f t="shared" si="358"/>
        <v/>
      </c>
      <c r="P368" s="149" t="str">
        <f t="shared" si="358"/>
        <v/>
      </c>
      <c r="Q368" s="149" t="str">
        <f t="shared" si="358"/>
        <v/>
      </c>
      <c r="R368" s="149">
        <f t="shared" si="358"/>
        <v>0.12186486933509759</v>
      </c>
      <c r="S368" s="149" t="str">
        <f t="shared" si="358"/>
        <v/>
      </c>
      <c r="T368" s="149">
        <f t="shared" si="358"/>
        <v>0.34149986724195158</v>
      </c>
      <c r="U368" s="149" t="str">
        <f t="shared" si="358"/>
        <v/>
      </c>
      <c r="V368" s="149" t="str">
        <f t="shared" si="358"/>
        <v/>
      </c>
      <c r="W368" s="149" t="str">
        <f t="shared" si="358"/>
        <v/>
      </c>
      <c r="X368" s="149" t="str">
        <f t="shared" si="358"/>
        <v/>
      </c>
      <c r="Y368" s="149" t="str">
        <f t="shared" si="358"/>
        <v/>
      </c>
      <c r="Z368" s="149" t="str">
        <f t="shared" si="358"/>
        <v/>
      </c>
      <c r="AA368" s="149" t="str">
        <f t="shared" si="358"/>
        <v/>
      </c>
      <c r="AB368" s="149" t="str">
        <f t="shared" si="358"/>
        <v/>
      </c>
      <c r="AC368" s="149" t="str">
        <f t="shared" si="358"/>
        <v/>
      </c>
      <c r="AD368" s="149" t="str">
        <f t="shared" si="358"/>
        <v/>
      </c>
      <c r="AE368" s="7"/>
    </row>
    <row r="369" spans="1:31" ht="15" hidden="1" customHeight="1" outlineLevel="1">
      <c r="D369" s="245" t="s">
        <v>283</v>
      </c>
      <c r="G369" s="149" t="str">
        <f t="shared" ref="G369:AD369" si="359">IF(G352=0,"",IFERROR(IF(OR((G352-G354)/(G367*4)&lt;0,(G352-G354)/(G367*4)&gt;40),"na",(G352-G354)/(G367*4)),""))</f>
        <v/>
      </c>
      <c r="H369" s="149" t="str">
        <f t="shared" si="359"/>
        <v>na</v>
      </c>
      <c r="I369" s="149" t="str">
        <f t="shared" si="359"/>
        <v/>
      </c>
      <c r="J369" s="149" t="str">
        <f t="shared" si="359"/>
        <v/>
      </c>
      <c r="K369" s="149" t="str">
        <f t="shared" si="359"/>
        <v/>
      </c>
      <c r="L369" s="149" t="str">
        <f t="shared" si="359"/>
        <v/>
      </c>
      <c r="M369" s="149" t="str">
        <f t="shared" si="359"/>
        <v/>
      </c>
      <c r="N369" s="149" t="str">
        <f t="shared" si="359"/>
        <v>na</v>
      </c>
      <c r="O369" s="149" t="str">
        <f t="shared" si="359"/>
        <v/>
      </c>
      <c r="P369" s="149" t="str">
        <f t="shared" si="359"/>
        <v/>
      </c>
      <c r="Q369" s="149" t="str">
        <f t="shared" si="359"/>
        <v/>
      </c>
      <c r="R369" s="149">
        <f t="shared" si="359"/>
        <v>7.0483091787439625</v>
      </c>
      <c r="S369" s="149" t="str">
        <f t="shared" si="359"/>
        <v/>
      </c>
      <c r="T369" s="149">
        <f t="shared" si="359"/>
        <v>4.0802597720867535</v>
      </c>
      <c r="U369" s="149" t="str">
        <f t="shared" si="359"/>
        <v/>
      </c>
      <c r="V369" s="149" t="str">
        <f t="shared" si="359"/>
        <v/>
      </c>
      <c r="W369" s="149" t="str">
        <f t="shared" si="359"/>
        <v/>
      </c>
      <c r="X369" s="149" t="str">
        <f t="shared" si="359"/>
        <v/>
      </c>
      <c r="Y369" s="149" t="str">
        <f t="shared" si="359"/>
        <v/>
      </c>
      <c r="Z369" s="149" t="str">
        <f t="shared" si="359"/>
        <v/>
      </c>
      <c r="AA369" s="149" t="str">
        <f t="shared" si="359"/>
        <v/>
      </c>
      <c r="AB369" s="149" t="str">
        <f t="shared" si="359"/>
        <v/>
      </c>
      <c r="AC369" s="149" t="str">
        <f t="shared" si="359"/>
        <v/>
      </c>
      <c r="AD369" s="149" t="str">
        <f t="shared" si="359"/>
        <v/>
      </c>
      <c r="AE369" s="7"/>
    </row>
    <row r="370" spans="1:31" ht="15" customHeight="1" collapsed="1"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"/>
    </row>
    <row r="371" spans="1:31" ht="15" customHeight="1">
      <c r="A371" s="110" t="s">
        <v>292</v>
      </c>
      <c r="D371" s="241" t="s">
        <v>304</v>
      </c>
      <c r="G371" s="64"/>
      <c r="H371" s="64"/>
      <c r="I371" s="64"/>
      <c r="J371" s="64" t="s">
        <v>319</v>
      </c>
      <c r="K371" s="332"/>
      <c r="L371" s="332"/>
      <c r="M371" s="332"/>
      <c r="N371" s="332" t="s">
        <v>312</v>
      </c>
      <c r="O371" s="332"/>
      <c r="P371" s="332"/>
      <c r="Q371" s="332"/>
      <c r="R371" s="332" t="s">
        <v>298</v>
      </c>
      <c r="S371" s="332"/>
      <c r="T371" s="332" t="s">
        <v>293</v>
      </c>
      <c r="U371" s="332"/>
      <c r="V371" s="249"/>
      <c r="W371" s="249"/>
      <c r="X371" s="249"/>
      <c r="Y371" s="249"/>
      <c r="Z371" s="249"/>
      <c r="AA371" s="249"/>
      <c r="AB371" s="249"/>
      <c r="AC371" s="249"/>
      <c r="AD371" s="249"/>
      <c r="AE371" s="7"/>
    </row>
    <row r="372" spans="1:31" ht="15" hidden="1" customHeight="1" outlineLevel="1">
      <c r="D372" s="70" t="s">
        <v>276</v>
      </c>
      <c r="G372" s="225"/>
      <c r="H372" s="225"/>
      <c r="I372" s="225"/>
      <c r="J372" s="225">
        <v>16.492999999999999</v>
      </c>
      <c r="K372" s="225"/>
      <c r="L372" s="225"/>
      <c r="M372" s="225"/>
      <c r="N372" s="225">
        <v>19.86</v>
      </c>
      <c r="O372" s="225"/>
      <c r="P372" s="225"/>
      <c r="Q372" s="225"/>
      <c r="R372" s="225">
        <v>3.302</v>
      </c>
      <c r="S372" s="225"/>
      <c r="T372" s="225">
        <v>35.189</v>
      </c>
      <c r="U372" s="225"/>
      <c r="V372" s="225"/>
      <c r="W372" s="225"/>
      <c r="X372" s="225"/>
      <c r="Y372" s="225"/>
      <c r="Z372" s="225"/>
      <c r="AA372" s="225"/>
      <c r="AB372" s="225"/>
      <c r="AC372" s="225"/>
      <c r="AD372" s="225"/>
      <c r="AE372" s="7"/>
    </row>
    <row r="373" spans="1:31" ht="15" hidden="1" customHeight="1" outlineLevel="1">
      <c r="D373" s="70" t="s">
        <v>277</v>
      </c>
      <c r="G373" s="225"/>
      <c r="H373" s="225"/>
      <c r="I373" s="225"/>
      <c r="J373" s="225"/>
      <c r="K373" s="225"/>
      <c r="L373" s="225"/>
      <c r="M373" s="225"/>
      <c r="N373" s="225"/>
      <c r="O373" s="225"/>
      <c r="P373" s="225"/>
      <c r="Q373" s="225"/>
      <c r="R373" s="225">
        <v>1.5</v>
      </c>
      <c r="S373" s="225"/>
      <c r="T373" s="225"/>
      <c r="U373" s="225"/>
      <c r="V373" s="225"/>
      <c r="W373" s="225"/>
      <c r="X373" s="225"/>
      <c r="Y373" s="225"/>
      <c r="Z373" s="225"/>
      <c r="AA373" s="225"/>
      <c r="AB373" s="225"/>
      <c r="AC373" s="225"/>
      <c r="AD373" s="225"/>
      <c r="AE373" s="7"/>
    </row>
    <row r="374" spans="1:31" ht="15" hidden="1" customHeight="1" outlineLevel="1">
      <c r="D374" s="70" t="s">
        <v>275</v>
      </c>
      <c r="G374" s="225"/>
      <c r="H374" s="225"/>
      <c r="I374" s="225"/>
      <c r="J374" s="225">
        <v>6.5860000000000003</v>
      </c>
      <c r="K374" s="225"/>
      <c r="L374" s="225"/>
      <c r="M374" s="225"/>
      <c r="N374" s="225">
        <v>7.8979999999999997</v>
      </c>
      <c r="O374" s="225"/>
      <c r="P374" s="225"/>
      <c r="Q374" s="225"/>
      <c r="R374" s="225">
        <v>1.623</v>
      </c>
      <c r="S374" s="225"/>
      <c r="T374" s="225">
        <v>7.9189999999999996</v>
      </c>
      <c r="U374" s="225"/>
      <c r="V374" s="225"/>
      <c r="W374" s="225"/>
      <c r="X374" s="225"/>
      <c r="Y374" s="225"/>
      <c r="Z374" s="225"/>
      <c r="AA374" s="225"/>
      <c r="AB374" s="225"/>
      <c r="AC374" s="225"/>
      <c r="AD374" s="225"/>
      <c r="AE374" s="7"/>
    </row>
    <row r="375" spans="1:31" ht="15" hidden="1" customHeight="1" outlineLevel="1">
      <c r="D375" s="70" t="s">
        <v>127</v>
      </c>
      <c r="G375" s="225"/>
      <c r="H375" s="225"/>
      <c r="I375" s="225"/>
      <c r="J375" s="225"/>
      <c r="K375" s="225"/>
      <c r="L375" s="225"/>
      <c r="M375" s="225"/>
      <c r="N375" s="225"/>
      <c r="O375" s="225"/>
      <c r="P375" s="225"/>
      <c r="Q375" s="225"/>
      <c r="R375" s="225"/>
      <c r="S375" s="225"/>
      <c r="T375" s="225"/>
      <c r="U375" s="225"/>
      <c r="V375" s="225"/>
      <c r="W375" s="225"/>
      <c r="X375" s="225"/>
      <c r="Y375" s="225"/>
      <c r="Z375" s="225"/>
      <c r="AA375" s="225"/>
      <c r="AB375" s="225"/>
      <c r="AC375" s="225"/>
      <c r="AD375" s="225"/>
      <c r="AE375" s="7"/>
    </row>
    <row r="376" spans="1:31" s="3" customFormat="1" hidden="1" outlineLevel="1">
      <c r="A376" s="110"/>
      <c r="B376" s="143"/>
      <c r="D376" s="150" t="s">
        <v>317</v>
      </c>
      <c r="E376" s="2"/>
      <c r="F376" s="2"/>
      <c r="G376" s="173">
        <f t="shared" ref="G376:AD376" si="360">SUM(G372:G375)</f>
        <v>0</v>
      </c>
      <c r="H376" s="173">
        <f t="shared" si="360"/>
        <v>0</v>
      </c>
      <c r="I376" s="173">
        <f t="shared" si="360"/>
        <v>0</v>
      </c>
      <c r="J376" s="173">
        <f t="shared" si="360"/>
        <v>23.079000000000001</v>
      </c>
      <c r="K376" s="173">
        <f t="shared" si="360"/>
        <v>0</v>
      </c>
      <c r="L376" s="173">
        <f t="shared" si="360"/>
        <v>0</v>
      </c>
      <c r="M376" s="173">
        <f t="shared" si="360"/>
        <v>0</v>
      </c>
      <c r="N376" s="173">
        <f t="shared" si="360"/>
        <v>27.757999999999999</v>
      </c>
      <c r="O376" s="173">
        <f t="shared" si="360"/>
        <v>0</v>
      </c>
      <c r="P376" s="173">
        <f t="shared" si="360"/>
        <v>0</v>
      </c>
      <c r="Q376" s="173">
        <f t="shared" si="360"/>
        <v>0</v>
      </c>
      <c r="R376" s="173">
        <f t="shared" si="360"/>
        <v>6.4249999999999998</v>
      </c>
      <c r="S376" s="173">
        <f t="shared" si="360"/>
        <v>0</v>
      </c>
      <c r="T376" s="173">
        <f t="shared" si="360"/>
        <v>43.107999999999997</v>
      </c>
      <c r="U376" s="173">
        <f t="shared" si="360"/>
        <v>0</v>
      </c>
      <c r="V376" s="173">
        <f t="shared" si="360"/>
        <v>0</v>
      </c>
      <c r="W376" s="173">
        <f t="shared" si="360"/>
        <v>0</v>
      </c>
      <c r="X376" s="173">
        <f t="shared" si="360"/>
        <v>0</v>
      </c>
      <c r="Y376" s="173">
        <f t="shared" si="360"/>
        <v>0</v>
      </c>
      <c r="Z376" s="173">
        <f t="shared" si="360"/>
        <v>0</v>
      </c>
      <c r="AA376" s="173">
        <f t="shared" si="360"/>
        <v>0</v>
      </c>
      <c r="AB376" s="173">
        <f t="shared" si="360"/>
        <v>0</v>
      </c>
      <c r="AC376" s="173">
        <f t="shared" si="360"/>
        <v>0</v>
      </c>
      <c r="AD376" s="173">
        <f t="shared" si="360"/>
        <v>0</v>
      </c>
      <c r="AE376"/>
    </row>
    <row r="377" spans="1:31" s="3" customFormat="1" hidden="1" outlineLevel="1">
      <c r="A377" s="110"/>
      <c r="B377" s="143"/>
      <c r="D377" s="242"/>
      <c r="E377" s="167"/>
      <c r="F377" s="167"/>
      <c r="G377" s="243"/>
      <c r="H377" s="243"/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/>
    </row>
    <row r="378" spans="1:31" ht="15" hidden="1" customHeight="1" outlineLevel="1">
      <c r="D378" s="70" t="s">
        <v>236</v>
      </c>
      <c r="G378" s="225"/>
      <c r="H378" s="225"/>
      <c r="I378" s="225"/>
      <c r="J378" s="225">
        <f>9.02-3.482</f>
        <v>5.5379999999999994</v>
      </c>
      <c r="K378" s="225"/>
      <c r="L378" s="225"/>
      <c r="M378" s="225"/>
      <c r="N378" s="225">
        <v>0.19700000000000001</v>
      </c>
      <c r="O378" s="225"/>
      <c r="P378" s="225"/>
      <c r="Q378" s="225"/>
      <c r="R378" s="225">
        <v>1.482</v>
      </c>
      <c r="S378" s="225"/>
      <c r="T378" s="225">
        <v>3.395</v>
      </c>
      <c r="U378" s="225"/>
      <c r="V378" s="225"/>
      <c r="W378" s="225"/>
      <c r="X378" s="225"/>
      <c r="Y378" s="225"/>
      <c r="Z378" s="225"/>
      <c r="AA378" s="225"/>
      <c r="AB378" s="225"/>
      <c r="AC378" s="225"/>
      <c r="AD378" s="225"/>
      <c r="AE378" s="7"/>
    </row>
    <row r="379" spans="1:31" ht="15" hidden="1" customHeight="1" outlineLevel="1">
      <c r="D379" s="70" t="s">
        <v>278</v>
      </c>
      <c r="G379" s="225"/>
      <c r="H379" s="225"/>
      <c r="I379" s="225"/>
      <c r="J379" s="225">
        <f>16.951+0.431+0.949-21.338-0.977</f>
        <v>-3.9839999999999978</v>
      </c>
      <c r="K379" s="225"/>
      <c r="L379" s="225"/>
      <c r="M379" s="225"/>
      <c r="N379" s="225">
        <f>25.741+3.687+0.375-21.857-0.568</f>
        <v>7.3780000000000019</v>
      </c>
      <c r="O379" s="225"/>
      <c r="P379" s="225"/>
      <c r="Q379" s="225"/>
      <c r="R379" s="225">
        <f>0.304+0.168-0.102</f>
        <v>0.37</v>
      </c>
      <c r="S379" s="225"/>
      <c r="T379" s="225">
        <f>2.838+0.049-3.057</f>
        <v>-0.16999999999999993</v>
      </c>
      <c r="U379" s="225"/>
      <c r="V379" s="225"/>
      <c r="W379" s="225"/>
      <c r="X379" s="225"/>
      <c r="Y379" s="225"/>
      <c r="Z379" s="225"/>
      <c r="AA379" s="225"/>
      <c r="AB379" s="225"/>
      <c r="AC379" s="225"/>
      <c r="AD379" s="225"/>
      <c r="AE379" s="7"/>
    </row>
    <row r="380" spans="1:31" ht="15" hidden="1" customHeight="1" outlineLevel="1">
      <c r="D380" s="70" t="s">
        <v>141</v>
      </c>
      <c r="G380" s="225"/>
      <c r="H380" s="225"/>
      <c r="I380" s="225"/>
      <c r="J380" s="225">
        <v>0.39700000000000002</v>
      </c>
      <c r="K380" s="225"/>
      <c r="L380" s="225"/>
      <c r="M380" s="225"/>
      <c r="N380" s="225">
        <v>0.437</v>
      </c>
      <c r="O380" s="225"/>
      <c r="P380" s="225"/>
      <c r="Q380" s="225"/>
      <c r="R380" s="225">
        <v>6.0999999999999999E-2</v>
      </c>
      <c r="S380" s="225"/>
      <c r="T380" s="225">
        <v>0.39200000000000002</v>
      </c>
      <c r="U380" s="225"/>
      <c r="V380" s="225"/>
      <c r="W380" s="225"/>
      <c r="X380" s="225"/>
      <c r="Y380" s="225"/>
      <c r="Z380" s="225"/>
      <c r="AA380" s="225"/>
      <c r="AB380" s="225"/>
      <c r="AC380" s="225"/>
      <c r="AD380" s="225"/>
      <c r="AE380" s="7"/>
    </row>
    <row r="381" spans="1:31" ht="15" hidden="1" customHeight="1" outlineLevel="1">
      <c r="D381" s="70" t="s">
        <v>281</v>
      </c>
      <c r="G381" s="225"/>
      <c r="H381" s="225"/>
      <c r="I381" s="225"/>
      <c r="J381" s="225"/>
      <c r="K381" s="225"/>
      <c r="L381" s="225"/>
      <c r="M381" s="225"/>
      <c r="N381" s="225">
        <v>0.81399999999999995</v>
      </c>
      <c r="O381" s="225"/>
      <c r="P381" s="225"/>
      <c r="Q381" s="225"/>
      <c r="R381" s="225">
        <v>0.27500000000000002</v>
      </c>
      <c r="S381" s="225"/>
      <c r="T381" s="225">
        <v>0.875</v>
      </c>
      <c r="U381" s="225"/>
      <c r="V381" s="225"/>
      <c r="W381" s="225"/>
      <c r="X381" s="225"/>
      <c r="Y381" s="225"/>
      <c r="Z381" s="225"/>
      <c r="AA381" s="225"/>
      <c r="AB381" s="225"/>
      <c r="AC381" s="225"/>
      <c r="AD381" s="225"/>
      <c r="AE381" s="7"/>
    </row>
    <row r="382" spans="1:31" ht="15" hidden="1" customHeight="1" outlineLevel="1">
      <c r="D382" s="70" t="s">
        <v>280</v>
      </c>
      <c r="G382" s="225"/>
      <c r="H382" s="225"/>
      <c r="I382" s="225"/>
      <c r="J382" s="225">
        <f>9.106+3.156</f>
        <v>12.262</v>
      </c>
      <c r="K382" s="225"/>
      <c r="L382" s="225"/>
      <c r="M382" s="225"/>
      <c r="N382" s="225">
        <v>11.757</v>
      </c>
      <c r="O382" s="225"/>
      <c r="P382" s="225"/>
      <c r="Q382" s="225"/>
      <c r="R382" s="225">
        <v>1.8160000000000001</v>
      </c>
      <c r="S382" s="225"/>
      <c r="T382" s="225">
        <v>10.91</v>
      </c>
      <c r="U382" s="225"/>
      <c r="V382" s="225"/>
      <c r="W382" s="225"/>
      <c r="X382" s="225"/>
      <c r="Y382" s="225"/>
      <c r="Z382" s="225"/>
      <c r="AA382" s="225"/>
      <c r="AB382" s="225"/>
      <c r="AC382" s="225"/>
      <c r="AD382" s="225"/>
      <c r="AE382" s="7"/>
    </row>
    <row r="383" spans="1:31" ht="15" hidden="1" customHeight="1" outlineLevel="1">
      <c r="D383" s="70" t="s">
        <v>287</v>
      </c>
      <c r="G383" s="225"/>
      <c r="H383" s="225"/>
      <c r="I383" s="225"/>
      <c r="J383" s="225"/>
      <c r="K383" s="225"/>
      <c r="L383" s="225"/>
      <c r="M383" s="225"/>
      <c r="N383" s="225">
        <v>-3.0329999999999999</v>
      </c>
      <c r="O383" s="225"/>
      <c r="P383" s="225"/>
      <c r="Q383" s="225"/>
      <c r="R383" s="225">
        <v>-0.48099999999999998</v>
      </c>
      <c r="S383" s="225"/>
      <c r="T383" s="225">
        <f>1.247-2.837</f>
        <v>-1.59</v>
      </c>
      <c r="U383" s="225"/>
      <c r="V383" s="225"/>
      <c r="W383" s="225"/>
      <c r="X383" s="225"/>
      <c r="Y383" s="225"/>
      <c r="Z383" s="225"/>
      <c r="AA383" s="225"/>
      <c r="AB383" s="225"/>
      <c r="AC383" s="225"/>
      <c r="AD383" s="225"/>
      <c r="AE383" s="7"/>
    </row>
    <row r="384" spans="1:31" ht="15" hidden="1" customHeight="1" outlineLevel="1">
      <c r="D384" s="70" t="s">
        <v>268</v>
      </c>
      <c r="G384" s="225"/>
      <c r="H384" s="225"/>
      <c r="I384" s="225"/>
      <c r="J384" s="225"/>
      <c r="K384" s="225"/>
      <c r="L384" s="225"/>
      <c r="M384" s="225"/>
      <c r="N384" s="225">
        <v>-0.81399999999999995</v>
      </c>
      <c r="O384" s="225"/>
      <c r="P384" s="225"/>
      <c r="Q384" s="225"/>
      <c r="R384" s="225">
        <v>-0.27500000000000002</v>
      </c>
      <c r="S384" s="225"/>
      <c r="T384" s="225">
        <v>-0.89500000000000002</v>
      </c>
      <c r="U384" s="225"/>
      <c r="V384" s="225"/>
      <c r="W384" s="225"/>
      <c r="X384" s="225"/>
      <c r="Y384" s="225"/>
      <c r="Z384" s="225"/>
      <c r="AA384" s="225"/>
      <c r="AB384" s="225"/>
      <c r="AC384" s="225"/>
      <c r="AD384" s="225"/>
      <c r="AE384" s="7"/>
    </row>
    <row r="385" spans="1:31" ht="15" hidden="1" customHeight="1" outlineLevel="1">
      <c r="D385" s="70" t="s">
        <v>142</v>
      </c>
      <c r="G385" s="225"/>
      <c r="H385" s="225"/>
      <c r="I385" s="225"/>
      <c r="J385" s="225">
        <v>8.8659999999999997</v>
      </c>
      <c r="K385" s="225"/>
      <c r="L385" s="225"/>
      <c r="M385" s="225"/>
      <c r="N385" s="225">
        <v>11.022</v>
      </c>
      <c r="O385" s="225"/>
      <c r="P385" s="225"/>
      <c r="Q385" s="225"/>
      <c r="R385" s="225">
        <v>3.177</v>
      </c>
      <c r="S385" s="225"/>
      <c r="T385" s="225">
        <v>30.190999999999999</v>
      </c>
      <c r="U385" s="225"/>
      <c r="V385" s="225"/>
      <c r="W385" s="225"/>
      <c r="X385" s="225"/>
      <c r="Y385" s="225"/>
      <c r="Z385" s="225"/>
      <c r="AA385" s="225"/>
      <c r="AB385" s="225"/>
      <c r="AC385" s="225"/>
      <c r="AD385" s="225"/>
      <c r="AE385" s="7"/>
    </row>
    <row r="386" spans="1:31" s="3" customFormat="1" hidden="1" outlineLevel="1">
      <c r="A386" s="110"/>
      <c r="B386" s="143"/>
      <c r="D386" s="150" t="s">
        <v>317</v>
      </c>
      <c r="E386" s="2"/>
      <c r="F386" s="2"/>
      <c r="G386" s="207">
        <f t="shared" ref="G386:AD386" si="361">SUM(G378:G385)</f>
        <v>0</v>
      </c>
      <c r="H386" s="207">
        <f t="shared" si="361"/>
        <v>0</v>
      </c>
      <c r="I386" s="207">
        <f t="shared" si="361"/>
        <v>0</v>
      </c>
      <c r="J386" s="207">
        <f t="shared" si="361"/>
        <v>23.079000000000001</v>
      </c>
      <c r="K386" s="207">
        <f t="shared" si="361"/>
        <v>0</v>
      </c>
      <c r="L386" s="207">
        <f t="shared" si="361"/>
        <v>0</v>
      </c>
      <c r="M386" s="207">
        <f t="shared" si="361"/>
        <v>0</v>
      </c>
      <c r="N386" s="207">
        <f t="shared" si="361"/>
        <v>27.758000000000003</v>
      </c>
      <c r="O386" s="207">
        <f t="shared" si="361"/>
        <v>0</v>
      </c>
      <c r="P386" s="163">
        <f t="shared" si="361"/>
        <v>0</v>
      </c>
      <c r="Q386" s="163">
        <f t="shared" si="361"/>
        <v>0</v>
      </c>
      <c r="R386" s="163">
        <f t="shared" si="361"/>
        <v>6.4249999999999998</v>
      </c>
      <c r="S386" s="163">
        <f t="shared" si="361"/>
        <v>0</v>
      </c>
      <c r="T386" s="207">
        <f t="shared" si="361"/>
        <v>43.108000000000004</v>
      </c>
      <c r="U386" s="173">
        <f t="shared" si="361"/>
        <v>0</v>
      </c>
      <c r="V386" s="173">
        <f t="shared" si="361"/>
        <v>0</v>
      </c>
      <c r="W386" s="173">
        <f t="shared" si="361"/>
        <v>0</v>
      </c>
      <c r="X386" s="173">
        <f t="shared" si="361"/>
        <v>0</v>
      </c>
      <c r="Y386" s="173">
        <f t="shared" si="361"/>
        <v>0</v>
      </c>
      <c r="Z386" s="173">
        <f t="shared" si="361"/>
        <v>0</v>
      </c>
      <c r="AA386" s="173">
        <f t="shared" si="361"/>
        <v>0</v>
      </c>
      <c r="AB386" s="173">
        <f t="shared" si="361"/>
        <v>0</v>
      </c>
      <c r="AC386" s="173">
        <f t="shared" si="361"/>
        <v>0</v>
      </c>
      <c r="AD386" s="173">
        <f t="shared" si="361"/>
        <v>0</v>
      </c>
      <c r="AE386"/>
    </row>
    <row r="387" spans="1:31" s="63" customFormat="1" ht="15" hidden="1" customHeight="1" outlineLevel="1">
      <c r="A387" s="199"/>
      <c r="B387" s="142"/>
      <c r="D387" s="84" t="s">
        <v>120</v>
      </c>
      <c r="G387" s="99" t="b">
        <f t="shared" ref="G387:AD387" si="362">G386=G376</f>
        <v>1</v>
      </c>
      <c r="H387" s="99" t="b">
        <f t="shared" si="362"/>
        <v>1</v>
      </c>
      <c r="I387" s="99" t="b">
        <f t="shared" si="362"/>
        <v>1</v>
      </c>
      <c r="J387" s="99" t="b">
        <f t="shared" si="362"/>
        <v>1</v>
      </c>
      <c r="K387" s="99" t="b">
        <f t="shared" si="362"/>
        <v>1</v>
      </c>
      <c r="L387" s="99" t="b">
        <f t="shared" si="362"/>
        <v>1</v>
      </c>
      <c r="M387" s="99" t="b">
        <f t="shared" si="362"/>
        <v>1</v>
      </c>
      <c r="N387" s="99" t="b">
        <f t="shared" si="362"/>
        <v>1</v>
      </c>
      <c r="O387" s="99" t="b">
        <f t="shared" si="362"/>
        <v>1</v>
      </c>
      <c r="P387" s="99" t="b">
        <f t="shared" si="362"/>
        <v>1</v>
      </c>
      <c r="Q387" s="99" t="b">
        <f t="shared" si="362"/>
        <v>1</v>
      </c>
      <c r="R387" s="99" t="b">
        <f t="shared" si="362"/>
        <v>1</v>
      </c>
      <c r="S387" s="99" t="b">
        <f t="shared" si="362"/>
        <v>1</v>
      </c>
      <c r="T387" s="99" t="b">
        <f t="shared" si="362"/>
        <v>1</v>
      </c>
      <c r="U387" s="99" t="b">
        <f t="shared" si="362"/>
        <v>1</v>
      </c>
      <c r="V387" s="99" t="b">
        <f t="shared" si="362"/>
        <v>1</v>
      </c>
      <c r="W387" s="99" t="b">
        <f t="shared" si="362"/>
        <v>1</v>
      </c>
      <c r="X387" s="99" t="b">
        <f t="shared" si="362"/>
        <v>1</v>
      </c>
      <c r="Y387" s="99" t="b">
        <f t="shared" si="362"/>
        <v>1</v>
      </c>
      <c r="Z387" s="99" t="b">
        <f t="shared" si="362"/>
        <v>1</v>
      </c>
      <c r="AA387" s="99" t="b">
        <f t="shared" si="362"/>
        <v>1</v>
      </c>
      <c r="AB387" s="99" t="b">
        <f t="shared" si="362"/>
        <v>1</v>
      </c>
      <c r="AC387" s="99" t="b">
        <f t="shared" si="362"/>
        <v>1</v>
      </c>
      <c r="AD387" s="99" t="b">
        <f t="shared" si="362"/>
        <v>1</v>
      </c>
      <c r="AE387" s="204"/>
    </row>
    <row r="388" spans="1:31" ht="15" hidden="1" customHeight="1" outlineLevel="1"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6"/>
      <c r="V388" s="76"/>
      <c r="W388" s="76"/>
      <c r="X388" s="76"/>
      <c r="Y388" s="76"/>
      <c r="Z388" s="76"/>
      <c r="AA388" s="76"/>
      <c r="AB388" s="76"/>
      <c r="AC388" s="76"/>
      <c r="AD388" s="76"/>
      <c r="AE388" s="7"/>
    </row>
    <row r="389" spans="1:31" s="27" customFormat="1" ht="15" hidden="1" customHeight="1" outlineLevel="1">
      <c r="A389" s="200"/>
      <c r="B389" s="201"/>
      <c r="D389" s="247" t="s">
        <v>258</v>
      </c>
      <c r="G389" s="202" t="str">
        <f t="shared" ref="G389:R389" si="363">IF(G376-G378=0,"",G376-G378)</f>
        <v/>
      </c>
      <c r="H389" s="202" t="str">
        <f t="shared" si="363"/>
        <v/>
      </c>
      <c r="I389" s="202" t="str">
        <f t="shared" si="363"/>
        <v/>
      </c>
      <c r="J389" s="202">
        <f t="shared" si="363"/>
        <v>17.541</v>
      </c>
      <c r="K389" s="202" t="str">
        <f t="shared" si="363"/>
        <v/>
      </c>
      <c r="L389" s="202" t="str">
        <f t="shared" si="363"/>
        <v/>
      </c>
      <c r="M389" s="202" t="str">
        <f t="shared" si="363"/>
        <v/>
      </c>
      <c r="N389" s="202">
        <f t="shared" si="363"/>
        <v>27.561</v>
      </c>
      <c r="O389" s="202" t="str">
        <f t="shared" si="363"/>
        <v/>
      </c>
      <c r="P389" s="202" t="str">
        <f t="shared" si="363"/>
        <v/>
      </c>
      <c r="Q389" s="202" t="str">
        <f t="shared" si="363"/>
        <v/>
      </c>
      <c r="R389" s="202">
        <f t="shared" si="363"/>
        <v>4.9429999999999996</v>
      </c>
      <c r="S389" s="202" t="str">
        <f>IF(S376-S378=0,"",S376-S378)</f>
        <v/>
      </c>
      <c r="T389" s="202">
        <f t="shared" ref="T389:AD389" si="364">IF(T376-T378=0,"",T376-T378)</f>
        <v>39.712999999999994</v>
      </c>
      <c r="U389" s="246" t="str">
        <f t="shared" si="364"/>
        <v/>
      </c>
      <c r="V389" s="246" t="str">
        <f t="shared" si="364"/>
        <v/>
      </c>
      <c r="W389" s="246" t="str">
        <f t="shared" si="364"/>
        <v/>
      </c>
      <c r="X389" s="246" t="str">
        <f t="shared" si="364"/>
        <v/>
      </c>
      <c r="Y389" s="246" t="str">
        <f t="shared" si="364"/>
        <v/>
      </c>
      <c r="Z389" s="246" t="str">
        <f t="shared" si="364"/>
        <v/>
      </c>
      <c r="AA389" s="246" t="str">
        <f t="shared" si="364"/>
        <v/>
      </c>
      <c r="AB389" s="246" t="str">
        <f t="shared" si="364"/>
        <v/>
      </c>
      <c r="AC389" s="246" t="str">
        <f t="shared" si="364"/>
        <v/>
      </c>
      <c r="AD389" s="246" t="str">
        <f t="shared" si="364"/>
        <v/>
      </c>
      <c r="AE389" s="202"/>
    </row>
    <row r="390" spans="1:31" ht="15" hidden="1" customHeight="1" outlineLevel="1">
      <c r="D390" s="70" t="s">
        <v>192</v>
      </c>
      <c r="G390" s="225"/>
      <c r="H390" s="225"/>
      <c r="I390" s="225"/>
      <c r="J390" s="225">
        <f>75.722/4/1.01</f>
        <v>18.743069306930693</v>
      </c>
      <c r="K390" s="225"/>
      <c r="L390" s="225"/>
      <c r="M390" s="225"/>
      <c r="N390" s="225">
        <f>116.002/4/1.01</f>
        <v>28.713366336633662</v>
      </c>
      <c r="O390" s="225"/>
      <c r="P390" s="225"/>
      <c r="Q390" s="225"/>
      <c r="R390" s="225">
        <f>5.076/4/1.01</f>
        <v>1.2564356435643564</v>
      </c>
      <c r="S390" s="225"/>
      <c r="T390" s="225">
        <f>11.448/3/1.03</f>
        <v>3.7048543689320392</v>
      </c>
      <c r="U390" s="225"/>
      <c r="V390" s="225"/>
      <c r="W390" s="225"/>
      <c r="X390" s="225"/>
      <c r="Y390" s="225"/>
      <c r="Z390" s="225"/>
      <c r="AA390" s="225"/>
      <c r="AB390" s="225"/>
      <c r="AC390" s="225"/>
      <c r="AD390" s="225"/>
      <c r="AE390" s="7"/>
    </row>
    <row r="391" spans="1:31" ht="15" hidden="1" customHeight="1" outlineLevel="1">
      <c r="D391" s="70" t="s">
        <v>282</v>
      </c>
      <c r="G391" s="225"/>
      <c r="H391" s="225"/>
      <c r="I391" s="225"/>
      <c r="J391" s="225">
        <f>0.158/4</f>
        <v>3.95E-2</v>
      </c>
      <c r="K391" s="225"/>
      <c r="L391" s="225"/>
      <c r="M391" s="225"/>
      <c r="N391" s="225">
        <f>1.221/4</f>
        <v>0.30525000000000002</v>
      </c>
      <c r="O391" s="225"/>
      <c r="P391" s="225"/>
      <c r="Q391" s="225"/>
      <c r="R391" s="225">
        <f>0.666/4</f>
        <v>0.16650000000000001</v>
      </c>
      <c r="S391" s="225"/>
      <c r="T391" s="225">
        <f>AVERAGE(-1.323,-2.022/3)</f>
        <v>-0.99849999999999994</v>
      </c>
      <c r="U391" s="225"/>
      <c r="V391" s="225"/>
      <c r="W391" s="225"/>
      <c r="X391" s="225"/>
      <c r="Y391" s="225"/>
      <c r="Z391" s="225"/>
      <c r="AA391" s="225"/>
      <c r="AB391" s="225"/>
      <c r="AC391" s="225"/>
      <c r="AD391" s="225"/>
      <c r="AE391" s="7"/>
    </row>
    <row r="392" spans="1:31" ht="15" hidden="1" customHeight="1" outlineLevel="1">
      <c r="D392" s="245" t="s">
        <v>284</v>
      </c>
      <c r="G392" s="149" t="str">
        <f t="shared" ref="G392:AD392" si="365">IF(G376=0,"",IFERROR((G376-G378)/(SUM(G390)*4),""))</f>
        <v/>
      </c>
      <c r="H392" s="149" t="str">
        <f t="shared" si="365"/>
        <v/>
      </c>
      <c r="I392" s="149" t="str">
        <f t="shared" si="365"/>
        <v/>
      </c>
      <c r="J392" s="149">
        <f t="shared" si="365"/>
        <v>0.23396648266025727</v>
      </c>
      <c r="K392" s="149" t="str">
        <f t="shared" si="365"/>
        <v/>
      </c>
      <c r="L392" s="149" t="str">
        <f t="shared" si="365"/>
        <v/>
      </c>
      <c r="M392" s="149" t="str">
        <f t="shared" si="365"/>
        <v/>
      </c>
      <c r="N392" s="149">
        <f t="shared" si="365"/>
        <v>0.23996663850623265</v>
      </c>
      <c r="O392" s="149" t="str">
        <f t="shared" si="365"/>
        <v/>
      </c>
      <c r="P392" s="149" t="str">
        <f t="shared" si="365"/>
        <v/>
      </c>
      <c r="Q392" s="149" t="str">
        <f t="shared" si="365"/>
        <v/>
      </c>
      <c r="R392" s="149">
        <f t="shared" si="365"/>
        <v>0.98353624901497239</v>
      </c>
      <c r="S392" s="149" t="str">
        <f t="shared" si="365"/>
        <v/>
      </c>
      <c r="T392" s="149">
        <f t="shared" si="365"/>
        <v>2.6797949423480079</v>
      </c>
      <c r="U392" s="149" t="str">
        <f t="shared" si="365"/>
        <v/>
      </c>
      <c r="V392" s="149" t="str">
        <f t="shared" si="365"/>
        <v/>
      </c>
      <c r="W392" s="149" t="str">
        <f t="shared" si="365"/>
        <v/>
      </c>
      <c r="X392" s="149" t="str">
        <f t="shared" si="365"/>
        <v/>
      </c>
      <c r="Y392" s="149" t="str">
        <f t="shared" si="365"/>
        <v/>
      </c>
      <c r="Z392" s="149" t="str">
        <f t="shared" si="365"/>
        <v/>
      </c>
      <c r="AA392" s="149" t="str">
        <f t="shared" si="365"/>
        <v/>
      </c>
      <c r="AB392" s="149" t="str">
        <f t="shared" si="365"/>
        <v/>
      </c>
      <c r="AC392" s="149" t="str">
        <f t="shared" si="365"/>
        <v/>
      </c>
      <c r="AD392" s="149" t="str">
        <f t="shared" si="365"/>
        <v/>
      </c>
      <c r="AE392" s="7"/>
    </row>
    <row r="393" spans="1:31" ht="15" hidden="1" customHeight="1" outlineLevel="1">
      <c r="D393" s="245" t="s">
        <v>283</v>
      </c>
      <c r="G393" s="149" t="str">
        <f t="shared" ref="G393:AD393" si="366">IF(G376=0,"",IFERROR(IF(OR((G376-G378)/(G391*4)&lt;0,(G376-G378)/(G391*4)&gt;40),"na",(G376-G378)/(G391*4)),""))</f>
        <v/>
      </c>
      <c r="H393" s="149" t="str">
        <f t="shared" si="366"/>
        <v/>
      </c>
      <c r="I393" s="149" t="str">
        <f t="shared" si="366"/>
        <v/>
      </c>
      <c r="J393" s="149" t="str">
        <f t="shared" si="366"/>
        <v>na</v>
      </c>
      <c r="K393" s="149" t="str">
        <f t="shared" si="366"/>
        <v/>
      </c>
      <c r="L393" s="149" t="str">
        <f t="shared" si="366"/>
        <v/>
      </c>
      <c r="M393" s="149" t="str">
        <f t="shared" si="366"/>
        <v/>
      </c>
      <c r="N393" s="149">
        <f t="shared" si="366"/>
        <v>22.572481572481571</v>
      </c>
      <c r="O393" s="149" t="str">
        <f t="shared" si="366"/>
        <v/>
      </c>
      <c r="P393" s="149" t="str">
        <f t="shared" si="366"/>
        <v/>
      </c>
      <c r="Q393" s="149" t="str">
        <f t="shared" si="366"/>
        <v/>
      </c>
      <c r="R393" s="149">
        <f t="shared" si="366"/>
        <v>7.4219219219219212</v>
      </c>
      <c r="S393" s="149" t="str">
        <f t="shared" si="366"/>
        <v/>
      </c>
      <c r="T393" s="149" t="str">
        <f t="shared" si="366"/>
        <v>na</v>
      </c>
      <c r="U393" s="149" t="str">
        <f t="shared" si="366"/>
        <v/>
      </c>
      <c r="V393" s="149" t="str">
        <f t="shared" si="366"/>
        <v/>
      </c>
      <c r="W393" s="149" t="str">
        <f t="shared" si="366"/>
        <v/>
      </c>
      <c r="X393" s="149" t="str">
        <f t="shared" si="366"/>
        <v/>
      </c>
      <c r="Y393" s="149" t="str">
        <f t="shared" si="366"/>
        <v/>
      </c>
      <c r="Z393" s="149" t="str">
        <f t="shared" si="366"/>
        <v/>
      </c>
      <c r="AA393" s="149" t="str">
        <f t="shared" si="366"/>
        <v/>
      </c>
      <c r="AB393" s="149" t="str">
        <f t="shared" si="366"/>
        <v/>
      </c>
      <c r="AC393" s="149" t="str">
        <f t="shared" si="366"/>
        <v/>
      </c>
      <c r="AD393" s="149" t="str">
        <f t="shared" si="366"/>
        <v/>
      </c>
      <c r="AE393" s="7"/>
    </row>
    <row r="394" spans="1:31" ht="15" customHeight="1" collapsed="1"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"/>
    </row>
    <row r="395" spans="1:31" ht="15" customHeight="1">
      <c r="A395" s="110" t="s">
        <v>294</v>
      </c>
      <c r="D395" s="241" t="s">
        <v>305</v>
      </c>
      <c r="G395" s="64"/>
      <c r="H395" s="64"/>
      <c r="I395" s="64"/>
      <c r="J395" s="64"/>
      <c r="K395" s="332"/>
      <c r="L395" s="332"/>
      <c r="M395" s="332"/>
      <c r="N395" s="332" t="s">
        <v>313</v>
      </c>
      <c r="O395" s="332"/>
      <c r="P395" s="332"/>
      <c r="Q395" s="332"/>
      <c r="R395" s="332" t="s">
        <v>299</v>
      </c>
      <c r="S395" s="332"/>
      <c r="T395" s="332"/>
      <c r="U395" s="332" t="s">
        <v>489</v>
      </c>
      <c r="V395" s="64"/>
      <c r="W395" s="64"/>
      <c r="X395" s="64"/>
      <c r="Y395" s="64"/>
      <c r="Z395" s="64"/>
      <c r="AA395" s="64"/>
      <c r="AB395" s="64"/>
      <c r="AC395" s="64"/>
      <c r="AD395" s="64"/>
      <c r="AE395" s="7"/>
    </row>
    <row r="396" spans="1:31" ht="15" hidden="1" customHeight="1" outlineLevel="1">
      <c r="D396" s="70" t="s">
        <v>276</v>
      </c>
      <c r="G396" s="225"/>
      <c r="H396" s="225"/>
      <c r="I396" s="225"/>
      <c r="J396" s="225"/>
      <c r="K396" s="225"/>
      <c r="L396" s="225"/>
      <c r="M396" s="225"/>
      <c r="N396" s="225">
        <v>20.986000000000001</v>
      </c>
      <c r="O396" s="225"/>
      <c r="P396" s="225"/>
      <c r="Q396" s="225"/>
      <c r="R396" s="225">
        <v>41.883000000000003</v>
      </c>
      <c r="S396" s="225"/>
      <c r="T396" s="225"/>
      <c r="U396" s="225">
        <v>18.367999999999999</v>
      </c>
      <c r="V396" s="225"/>
      <c r="W396" s="225"/>
      <c r="X396" s="225"/>
      <c r="Y396" s="225"/>
      <c r="Z396" s="225"/>
      <c r="AA396" s="225"/>
      <c r="AB396" s="225"/>
      <c r="AC396" s="225"/>
      <c r="AD396" s="225"/>
      <c r="AE396" s="7"/>
    </row>
    <row r="397" spans="1:31" ht="15" hidden="1" customHeight="1" outlineLevel="1">
      <c r="D397" s="70" t="s">
        <v>277</v>
      </c>
      <c r="G397" s="225"/>
      <c r="H397" s="225"/>
      <c r="I397" s="225"/>
      <c r="J397" s="225"/>
      <c r="K397" s="225"/>
      <c r="L397" s="225"/>
      <c r="M397" s="225"/>
      <c r="N397" s="225">
        <v>2.613</v>
      </c>
      <c r="O397" s="225"/>
      <c r="P397" s="225"/>
      <c r="Q397" s="225"/>
      <c r="R397" s="225"/>
      <c r="S397" s="225"/>
      <c r="T397" s="225"/>
      <c r="U397" s="225"/>
      <c r="V397" s="225"/>
      <c r="W397" s="225"/>
      <c r="X397" s="225"/>
      <c r="Y397" s="225"/>
      <c r="Z397" s="225"/>
      <c r="AA397" s="225"/>
      <c r="AB397" s="225"/>
      <c r="AC397" s="225"/>
      <c r="AD397" s="225"/>
      <c r="AE397" s="7"/>
    </row>
    <row r="398" spans="1:31" ht="15" hidden="1" customHeight="1" outlineLevel="1">
      <c r="D398" s="70" t="s">
        <v>275</v>
      </c>
      <c r="G398" s="225"/>
      <c r="H398" s="225"/>
      <c r="I398" s="225"/>
      <c r="J398" s="225"/>
      <c r="K398" s="225"/>
      <c r="L398" s="225"/>
      <c r="M398" s="225"/>
      <c r="N398" s="225">
        <f>5.396+4.982</f>
        <v>10.378</v>
      </c>
      <c r="O398" s="225"/>
      <c r="P398" s="225"/>
      <c r="Q398" s="225"/>
      <c r="R398" s="225"/>
      <c r="S398" s="225"/>
      <c r="T398" s="225"/>
      <c r="U398" s="225"/>
      <c r="V398" s="225"/>
      <c r="W398" s="225"/>
      <c r="X398" s="225"/>
      <c r="Y398" s="225"/>
      <c r="Z398" s="225"/>
      <c r="AA398" s="225"/>
      <c r="AB398" s="225"/>
      <c r="AC398" s="225"/>
      <c r="AD398" s="225"/>
      <c r="AE398" s="7"/>
    </row>
    <row r="399" spans="1:31" ht="15" hidden="1" customHeight="1" outlineLevel="1">
      <c r="D399" s="70" t="s">
        <v>127</v>
      </c>
      <c r="G399" s="225"/>
      <c r="H399" s="225"/>
      <c r="I399" s="225"/>
      <c r="J399" s="225"/>
      <c r="K399" s="225"/>
      <c r="L399" s="225"/>
      <c r="M399" s="225"/>
      <c r="N399" s="225"/>
      <c r="O399" s="225"/>
      <c r="P399" s="225"/>
      <c r="Q399" s="225"/>
      <c r="R399" s="225"/>
      <c r="S399" s="225"/>
      <c r="T399" s="225"/>
      <c r="U399" s="225"/>
      <c r="V399" s="225"/>
      <c r="W399" s="225"/>
      <c r="X399" s="225"/>
      <c r="Y399" s="225"/>
      <c r="Z399" s="225"/>
      <c r="AA399" s="225"/>
      <c r="AB399" s="225"/>
      <c r="AC399" s="225"/>
      <c r="AD399" s="225"/>
      <c r="AE399" s="7"/>
    </row>
    <row r="400" spans="1:31" s="3" customFormat="1" hidden="1" outlineLevel="1">
      <c r="A400" s="110"/>
      <c r="B400" s="143"/>
      <c r="D400" s="150" t="s">
        <v>317</v>
      </c>
      <c r="E400" s="2"/>
      <c r="F400" s="2"/>
      <c r="G400" s="173">
        <f t="shared" ref="G400:AD400" si="367">SUM(G396:G399)</f>
        <v>0</v>
      </c>
      <c r="H400" s="173">
        <f t="shared" si="367"/>
        <v>0</v>
      </c>
      <c r="I400" s="173">
        <f t="shared" si="367"/>
        <v>0</v>
      </c>
      <c r="J400" s="173">
        <f t="shared" si="367"/>
        <v>0</v>
      </c>
      <c r="K400" s="173">
        <f t="shared" si="367"/>
        <v>0</v>
      </c>
      <c r="L400" s="173">
        <f t="shared" si="367"/>
        <v>0</v>
      </c>
      <c r="M400" s="173">
        <f t="shared" si="367"/>
        <v>0</v>
      </c>
      <c r="N400" s="173">
        <f t="shared" si="367"/>
        <v>33.977000000000004</v>
      </c>
      <c r="O400" s="173">
        <f t="shared" si="367"/>
        <v>0</v>
      </c>
      <c r="P400" s="173">
        <f t="shared" si="367"/>
        <v>0</v>
      </c>
      <c r="Q400" s="173">
        <f t="shared" si="367"/>
        <v>0</v>
      </c>
      <c r="R400" s="173">
        <f t="shared" si="367"/>
        <v>41.883000000000003</v>
      </c>
      <c r="S400" s="173">
        <f t="shared" si="367"/>
        <v>0</v>
      </c>
      <c r="T400" s="173">
        <f t="shared" si="367"/>
        <v>0</v>
      </c>
      <c r="U400" s="173">
        <f t="shared" si="367"/>
        <v>18.367999999999999</v>
      </c>
      <c r="V400" s="173">
        <f t="shared" si="367"/>
        <v>0</v>
      </c>
      <c r="W400" s="173">
        <f t="shared" si="367"/>
        <v>0</v>
      </c>
      <c r="X400" s="173">
        <f t="shared" si="367"/>
        <v>0</v>
      </c>
      <c r="Y400" s="173">
        <f t="shared" si="367"/>
        <v>0</v>
      </c>
      <c r="Z400" s="173">
        <f t="shared" si="367"/>
        <v>0</v>
      </c>
      <c r="AA400" s="173">
        <f t="shared" si="367"/>
        <v>0</v>
      </c>
      <c r="AB400" s="173">
        <f t="shared" si="367"/>
        <v>0</v>
      </c>
      <c r="AC400" s="173">
        <f t="shared" si="367"/>
        <v>0</v>
      </c>
      <c r="AD400" s="173">
        <f t="shared" si="367"/>
        <v>0</v>
      </c>
      <c r="AE400"/>
    </row>
    <row r="401" spans="1:31" s="3" customFormat="1" hidden="1" outlineLevel="1">
      <c r="A401" s="110"/>
      <c r="B401" s="143"/>
      <c r="D401" s="242"/>
      <c r="E401" s="167"/>
      <c r="F401" s="167"/>
      <c r="G401" s="243"/>
      <c r="H401" s="243"/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/>
    </row>
    <row r="402" spans="1:31" ht="15" hidden="1" customHeight="1" outlineLevel="1">
      <c r="D402" s="70" t="s">
        <v>236</v>
      </c>
      <c r="G402" s="225"/>
      <c r="H402" s="225"/>
      <c r="I402" s="225"/>
      <c r="J402" s="225"/>
      <c r="K402" s="225"/>
      <c r="L402" s="225"/>
      <c r="M402" s="225"/>
      <c r="N402" s="225">
        <v>0.16200000000000001</v>
      </c>
      <c r="O402" s="225"/>
      <c r="P402" s="225"/>
      <c r="Q402" s="225"/>
      <c r="R402" s="225">
        <v>10.125999999999999</v>
      </c>
      <c r="S402" s="225"/>
      <c r="T402" s="225"/>
      <c r="U402" s="225">
        <v>4.3789999999999996</v>
      </c>
      <c r="V402" s="225"/>
      <c r="W402" s="225"/>
      <c r="X402" s="225"/>
      <c r="Y402" s="225"/>
      <c r="Z402" s="225"/>
      <c r="AA402" s="225"/>
      <c r="AB402" s="225"/>
      <c r="AC402" s="225"/>
      <c r="AD402" s="225"/>
      <c r="AE402" s="7"/>
    </row>
    <row r="403" spans="1:31" ht="15" hidden="1" customHeight="1" outlineLevel="1">
      <c r="D403" s="70" t="s">
        <v>278</v>
      </c>
      <c r="G403" s="225"/>
      <c r="H403" s="225"/>
      <c r="I403" s="225"/>
      <c r="J403" s="225"/>
      <c r="K403" s="225"/>
      <c r="L403" s="225"/>
      <c r="M403" s="225"/>
      <c r="N403" s="225">
        <f>18.051+2.412-15.956-1.612-0.847</f>
        <v>2.0479999999999978</v>
      </c>
      <c r="O403" s="225"/>
      <c r="P403" s="225"/>
      <c r="Q403" s="225"/>
      <c r="R403" s="225">
        <f>23.072+3.818+0.133-23.72-0.195</f>
        <v>3.108000000000001</v>
      </c>
      <c r="S403" s="225"/>
      <c r="T403" s="225"/>
      <c r="U403" s="225">
        <f>2.68+0.073-4.215</f>
        <v>-1.4619999999999997</v>
      </c>
      <c r="V403" s="225"/>
      <c r="W403" s="225"/>
      <c r="X403" s="225"/>
      <c r="Y403" s="225"/>
      <c r="Z403" s="225"/>
      <c r="AA403" s="225"/>
      <c r="AB403" s="225"/>
      <c r="AC403" s="225"/>
      <c r="AD403" s="225"/>
      <c r="AE403" s="7"/>
    </row>
    <row r="404" spans="1:31" ht="15" hidden="1" customHeight="1" outlineLevel="1">
      <c r="D404" s="70" t="s">
        <v>141</v>
      </c>
      <c r="G404" s="225"/>
      <c r="H404" s="225"/>
      <c r="I404" s="225"/>
      <c r="J404" s="225"/>
      <c r="K404" s="225"/>
      <c r="L404" s="225"/>
      <c r="M404" s="225"/>
      <c r="N404" s="225">
        <v>2.8069999999999999</v>
      </c>
      <c r="O404" s="225"/>
      <c r="P404" s="225"/>
      <c r="Q404" s="225"/>
      <c r="R404" s="225">
        <v>0.06</v>
      </c>
      <c r="S404" s="225"/>
      <c r="T404" s="225"/>
      <c r="U404" s="225">
        <v>0.24199999999999999</v>
      </c>
      <c r="V404" s="225"/>
      <c r="W404" s="225"/>
      <c r="X404" s="225"/>
      <c r="Y404" s="225"/>
      <c r="Z404" s="225"/>
      <c r="AA404" s="225"/>
      <c r="AB404" s="225"/>
      <c r="AC404" s="225"/>
      <c r="AD404" s="225"/>
      <c r="AE404" s="7"/>
    </row>
    <row r="405" spans="1:31" ht="15" hidden="1" customHeight="1" outlineLevel="1">
      <c r="D405" s="70" t="s">
        <v>281</v>
      </c>
      <c r="G405" s="225"/>
      <c r="H405" s="225"/>
      <c r="I405" s="225"/>
      <c r="J405" s="225"/>
      <c r="K405" s="225"/>
      <c r="L405" s="225"/>
      <c r="M405" s="225"/>
      <c r="N405" s="225">
        <v>1.9990000000000001</v>
      </c>
      <c r="O405" s="225"/>
      <c r="P405" s="225"/>
      <c r="Q405" s="225"/>
      <c r="R405" s="225">
        <v>1.3660000000000001</v>
      </c>
      <c r="S405" s="225"/>
      <c r="T405" s="225"/>
      <c r="U405" s="225">
        <v>0.183</v>
      </c>
      <c r="V405" s="225"/>
      <c r="W405" s="225"/>
      <c r="X405" s="225"/>
      <c r="Y405" s="225"/>
      <c r="Z405" s="225"/>
      <c r="AA405" s="225"/>
      <c r="AB405" s="225"/>
      <c r="AC405" s="225"/>
      <c r="AD405" s="225"/>
      <c r="AE405" s="7"/>
    </row>
    <row r="406" spans="1:31" ht="15" hidden="1" customHeight="1" outlineLevel="1">
      <c r="D406" s="70" t="s">
        <v>280</v>
      </c>
      <c r="G406" s="225"/>
      <c r="H406" s="225"/>
      <c r="I406" s="225"/>
      <c r="J406" s="225"/>
      <c r="K406" s="225"/>
      <c r="L406" s="225"/>
      <c r="M406" s="225"/>
      <c r="N406" s="225">
        <v>16.981999999999999</v>
      </c>
      <c r="O406" s="225"/>
      <c r="P406" s="225"/>
      <c r="Q406" s="225"/>
      <c r="R406" s="225">
        <v>17.591999999999999</v>
      </c>
      <c r="S406" s="225"/>
      <c r="T406" s="225"/>
      <c r="U406" s="225">
        <v>8.09</v>
      </c>
      <c r="V406" s="225"/>
      <c r="W406" s="225"/>
      <c r="X406" s="225"/>
      <c r="Y406" s="225"/>
      <c r="Z406" s="225"/>
      <c r="AA406" s="225"/>
      <c r="AB406" s="225"/>
      <c r="AC406" s="225"/>
      <c r="AD406" s="225"/>
      <c r="AE406" s="7"/>
    </row>
    <row r="407" spans="1:31" ht="15" hidden="1" customHeight="1" outlineLevel="1">
      <c r="D407" s="70" t="s">
        <v>287</v>
      </c>
      <c r="G407" s="225"/>
      <c r="H407" s="225"/>
      <c r="I407" s="225"/>
      <c r="J407" s="225"/>
      <c r="K407" s="225"/>
      <c r="L407" s="225"/>
      <c r="M407" s="225"/>
      <c r="N407" s="225"/>
      <c r="O407" s="225"/>
      <c r="P407" s="225"/>
      <c r="Q407" s="225"/>
      <c r="R407" s="225">
        <v>-4.5730000000000004</v>
      </c>
      <c r="S407" s="225"/>
      <c r="T407" s="225"/>
      <c r="U407" s="225">
        <v>-2.1040000000000001</v>
      </c>
      <c r="V407" s="225"/>
      <c r="W407" s="225"/>
      <c r="X407" s="225"/>
      <c r="Y407" s="225"/>
      <c r="Z407" s="225"/>
      <c r="AA407" s="225"/>
      <c r="AB407" s="225"/>
      <c r="AC407" s="225"/>
      <c r="AD407" s="225"/>
      <c r="AE407" s="7"/>
    </row>
    <row r="408" spans="1:31" ht="15" hidden="1" customHeight="1" outlineLevel="1">
      <c r="D408" s="70" t="s">
        <v>268</v>
      </c>
      <c r="G408" s="225"/>
      <c r="H408" s="225"/>
      <c r="I408" s="225"/>
      <c r="J408" s="225"/>
      <c r="K408" s="225"/>
      <c r="L408" s="225"/>
      <c r="M408" s="225"/>
      <c r="N408" s="225">
        <v>-1.9990000000000001</v>
      </c>
      <c r="O408" s="225"/>
      <c r="P408" s="225"/>
      <c r="Q408" s="225"/>
      <c r="R408" s="225">
        <v>-1.365</v>
      </c>
      <c r="S408" s="225"/>
      <c r="T408" s="225"/>
      <c r="U408" s="225">
        <v>-0.183</v>
      </c>
      <c r="V408" s="225"/>
      <c r="W408" s="225"/>
      <c r="X408" s="225"/>
      <c r="Y408" s="225"/>
      <c r="Z408" s="225"/>
      <c r="AA408" s="225"/>
      <c r="AB408" s="225"/>
      <c r="AC408" s="225"/>
      <c r="AD408" s="225"/>
      <c r="AE408" s="7"/>
    </row>
    <row r="409" spans="1:31" ht="15" hidden="1" customHeight="1" outlineLevel="1">
      <c r="D409" s="70" t="s">
        <v>142</v>
      </c>
      <c r="G409" s="225"/>
      <c r="H409" s="225"/>
      <c r="I409" s="225"/>
      <c r="J409" s="225"/>
      <c r="K409" s="225"/>
      <c r="L409" s="225"/>
      <c r="M409" s="225"/>
      <c r="N409" s="225">
        <v>11.978</v>
      </c>
      <c r="O409" s="225"/>
      <c r="P409" s="225"/>
      <c r="Q409" s="225"/>
      <c r="R409" s="225">
        <v>15.569000000000001</v>
      </c>
      <c r="S409" s="225"/>
      <c r="T409" s="225"/>
      <c r="U409" s="225">
        <v>9.2230000000000008</v>
      </c>
      <c r="V409" s="225"/>
      <c r="W409" s="225"/>
      <c r="X409" s="225"/>
      <c r="Y409" s="225"/>
      <c r="Z409" s="225"/>
      <c r="AA409" s="225"/>
      <c r="AB409" s="225"/>
      <c r="AC409" s="225"/>
      <c r="AD409" s="225"/>
      <c r="AE409" s="7"/>
    </row>
    <row r="410" spans="1:31" s="3" customFormat="1" hidden="1" outlineLevel="1">
      <c r="A410" s="110"/>
      <c r="B410" s="143"/>
      <c r="D410" s="150" t="s">
        <v>317</v>
      </c>
      <c r="E410" s="2"/>
      <c r="F410" s="2"/>
      <c r="G410" s="207">
        <f t="shared" ref="G410:AD410" si="368">SUM(G402:G409)</f>
        <v>0</v>
      </c>
      <c r="H410" s="207">
        <f t="shared" si="368"/>
        <v>0</v>
      </c>
      <c r="I410" s="207">
        <f t="shared" si="368"/>
        <v>0</v>
      </c>
      <c r="J410" s="207">
        <f t="shared" si="368"/>
        <v>0</v>
      </c>
      <c r="K410" s="207">
        <f t="shared" si="368"/>
        <v>0</v>
      </c>
      <c r="L410" s="207">
        <f t="shared" si="368"/>
        <v>0</v>
      </c>
      <c r="M410" s="207">
        <f t="shared" si="368"/>
        <v>0</v>
      </c>
      <c r="N410" s="207">
        <f t="shared" si="368"/>
        <v>33.976999999999997</v>
      </c>
      <c r="O410" s="207">
        <f t="shared" si="368"/>
        <v>0</v>
      </c>
      <c r="P410" s="163">
        <f t="shared" si="368"/>
        <v>0</v>
      </c>
      <c r="Q410" s="163">
        <f t="shared" si="368"/>
        <v>0</v>
      </c>
      <c r="R410" s="163">
        <f t="shared" si="368"/>
        <v>41.882999999999996</v>
      </c>
      <c r="S410" s="163">
        <f t="shared" si="368"/>
        <v>0</v>
      </c>
      <c r="T410" s="207">
        <f t="shared" si="368"/>
        <v>0</v>
      </c>
      <c r="U410" s="173">
        <f t="shared" si="368"/>
        <v>18.368000000000002</v>
      </c>
      <c r="V410" s="173">
        <f t="shared" si="368"/>
        <v>0</v>
      </c>
      <c r="W410" s="173">
        <f t="shared" si="368"/>
        <v>0</v>
      </c>
      <c r="X410" s="173">
        <f t="shared" si="368"/>
        <v>0</v>
      </c>
      <c r="Y410" s="173">
        <f t="shared" si="368"/>
        <v>0</v>
      </c>
      <c r="Z410" s="173">
        <f t="shared" si="368"/>
        <v>0</v>
      </c>
      <c r="AA410" s="173">
        <f t="shared" si="368"/>
        <v>0</v>
      </c>
      <c r="AB410" s="173">
        <f t="shared" si="368"/>
        <v>0</v>
      </c>
      <c r="AC410" s="173">
        <f t="shared" si="368"/>
        <v>0</v>
      </c>
      <c r="AD410" s="173">
        <f t="shared" si="368"/>
        <v>0</v>
      </c>
      <c r="AE410"/>
    </row>
    <row r="411" spans="1:31" s="63" customFormat="1" ht="15" hidden="1" customHeight="1" outlineLevel="1">
      <c r="A411" s="199"/>
      <c r="B411" s="142"/>
      <c r="D411" s="84" t="s">
        <v>120</v>
      </c>
      <c r="G411" s="99" t="b">
        <f t="shared" ref="G411:AD411" si="369">G410=G400</f>
        <v>1</v>
      </c>
      <c r="H411" s="99" t="b">
        <f t="shared" si="369"/>
        <v>1</v>
      </c>
      <c r="I411" s="99" t="b">
        <f t="shared" si="369"/>
        <v>1</v>
      </c>
      <c r="J411" s="99" t="b">
        <f t="shared" si="369"/>
        <v>1</v>
      </c>
      <c r="K411" s="99" t="b">
        <f t="shared" si="369"/>
        <v>1</v>
      </c>
      <c r="L411" s="99" t="b">
        <f t="shared" si="369"/>
        <v>1</v>
      </c>
      <c r="M411" s="99" t="b">
        <f t="shared" si="369"/>
        <v>1</v>
      </c>
      <c r="N411" s="99" t="b">
        <f t="shared" si="369"/>
        <v>1</v>
      </c>
      <c r="O411" s="99" t="b">
        <f t="shared" si="369"/>
        <v>1</v>
      </c>
      <c r="P411" s="99" t="b">
        <f t="shared" si="369"/>
        <v>1</v>
      </c>
      <c r="Q411" s="99" t="b">
        <f t="shared" si="369"/>
        <v>1</v>
      </c>
      <c r="R411" s="99" t="b">
        <f t="shared" si="369"/>
        <v>1</v>
      </c>
      <c r="S411" s="99" t="b">
        <f t="shared" si="369"/>
        <v>1</v>
      </c>
      <c r="T411" s="99" t="b">
        <f t="shared" si="369"/>
        <v>1</v>
      </c>
      <c r="U411" s="99" t="b">
        <f t="shared" si="369"/>
        <v>1</v>
      </c>
      <c r="V411" s="99" t="b">
        <f t="shared" si="369"/>
        <v>1</v>
      </c>
      <c r="W411" s="99" t="b">
        <f t="shared" si="369"/>
        <v>1</v>
      </c>
      <c r="X411" s="99" t="b">
        <f t="shared" si="369"/>
        <v>1</v>
      </c>
      <c r="Y411" s="99" t="b">
        <f t="shared" si="369"/>
        <v>1</v>
      </c>
      <c r="Z411" s="99" t="b">
        <f t="shared" si="369"/>
        <v>1</v>
      </c>
      <c r="AA411" s="99" t="b">
        <f t="shared" si="369"/>
        <v>1</v>
      </c>
      <c r="AB411" s="99" t="b">
        <f t="shared" si="369"/>
        <v>1</v>
      </c>
      <c r="AC411" s="99" t="b">
        <f t="shared" si="369"/>
        <v>1</v>
      </c>
      <c r="AD411" s="99" t="b">
        <f t="shared" si="369"/>
        <v>1</v>
      </c>
      <c r="AE411" s="204"/>
    </row>
    <row r="412" spans="1:31" ht="15" hidden="1" customHeight="1" outlineLevel="1"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"/>
    </row>
    <row r="413" spans="1:31" s="27" customFormat="1" ht="15" hidden="1" customHeight="1" outlineLevel="1">
      <c r="A413" s="200"/>
      <c r="B413" s="201"/>
      <c r="D413" s="247" t="s">
        <v>258</v>
      </c>
      <c r="G413" s="202" t="str">
        <f t="shared" ref="G413:R413" si="370">IF(G400-G402=0,"",G400-G402)</f>
        <v/>
      </c>
      <c r="H413" s="202" t="str">
        <f t="shared" si="370"/>
        <v/>
      </c>
      <c r="I413" s="202" t="str">
        <f t="shared" si="370"/>
        <v/>
      </c>
      <c r="J413" s="202" t="str">
        <f t="shared" si="370"/>
        <v/>
      </c>
      <c r="K413" s="202" t="str">
        <f t="shared" si="370"/>
        <v/>
      </c>
      <c r="L413" s="202" t="str">
        <f t="shared" si="370"/>
        <v/>
      </c>
      <c r="M413" s="202" t="str">
        <f t="shared" si="370"/>
        <v/>
      </c>
      <c r="N413" s="202">
        <f t="shared" si="370"/>
        <v>33.815000000000005</v>
      </c>
      <c r="O413" s="202" t="str">
        <f t="shared" si="370"/>
        <v/>
      </c>
      <c r="P413" s="202" t="str">
        <f t="shared" si="370"/>
        <v/>
      </c>
      <c r="Q413" s="202" t="str">
        <f t="shared" si="370"/>
        <v/>
      </c>
      <c r="R413" s="202">
        <f t="shared" si="370"/>
        <v>31.757000000000005</v>
      </c>
      <c r="S413" s="202" t="str">
        <f>IF(S400-S402=0,"",S400-S402)</f>
        <v/>
      </c>
      <c r="T413" s="202" t="str">
        <f t="shared" ref="T413:AD413" si="371">IF(T400-T402=0,"",T400-T402)</f>
        <v/>
      </c>
      <c r="U413" s="202">
        <f t="shared" si="371"/>
        <v>13.988999999999999</v>
      </c>
      <c r="V413" s="202" t="str">
        <f t="shared" si="371"/>
        <v/>
      </c>
      <c r="W413" s="202" t="str">
        <f t="shared" si="371"/>
        <v/>
      </c>
      <c r="X413" s="202" t="str">
        <f t="shared" si="371"/>
        <v/>
      </c>
      <c r="Y413" s="202" t="str">
        <f t="shared" si="371"/>
        <v/>
      </c>
      <c r="Z413" s="202" t="str">
        <f t="shared" si="371"/>
        <v/>
      </c>
      <c r="AA413" s="202" t="str">
        <f t="shared" si="371"/>
        <v/>
      </c>
      <c r="AB413" s="202" t="str">
        <f t="shared" si="371"/>
        <v/>
      </c>
      <c r="AC413" s="202" t="str">
        <f t="shared" si="371"/>
        <v/>
      </c>
      <c r="AD413" s="202" t="str">
        <f t="shared" si="371"/>
        <v/>
      </c>
      <c r="AE413" s="202"/>
    </row>
    <row r="414" spans="1:31" ht="15" hidden="1" customHeight="1" outlineLevel="1">
      <c r="D414" s="70" t="s">
        <v>192</v>
      </c>
      <c r="G414" s="225"/>
      <c r="H414" s="225"/>
      <c r="I414" s="225"/>
      <c r="J414" s="225"/>
      <c r="K414" s="225"/>
      <c r="L414" s="225"/>
      <c r="M414" s="225"/>
      <c r="N414" s="225">
        <f>86.273/4/1.01</f>
        <v>21.35470297029703</v>
      </c>
      <c r="O414" s="225"/>
      <c r="P414" s="225"/>
      <c r="Q414" s="225"/>
      <c r="R414" s="225">
        <f>143.81/4/1.01</f>
        <v>35.596534653465348</v>
      </c>
      <c r="S414" s="225"/>
      <c r="T414" s="225"/>
      <c r="U414" s="225">
        <f>53.671/3/1.02</f>
        <v>17.539542483660131</v>
      </c>
      <c r="V414" s="225"/>
      <c r="W414" s="225"/>
      <c r="X414" s="225"/>
      <c r="Y414" s="225"/>
      <c r="Z414" s="225"/>
      <c r="AA414" s="225"/>
      <c r="AB414" s="225"/>
      <c r="AC414" s="225"/>
      <c r="AD414" s="225"/>
      <c r="AE414" s="7"/>
    </row>
    <row r="415" spans="1:31" ht="15" hidden="1" customHeight="1" outlineLevel="1">
      <c r="D415" s="70" t="s">
        <v>282</v>
      </c>
      <c r="G415" s="225"/>
      <c r="H415" s="225"/>
      <c r="I415" s="225"/>
      <c r="J415" s="225"/>
      <c r="K415" s="225"/>
      <c r="L415" s="225"/>
      <c r="M415" s="225"/>
      <c r="N415" s="225">
        <f>0.514/4</f>
        <v>0.1285</v>
      </c>
      <c r="O415" s="225"/>
      <c r="P415" s="225"/>
      <c r="Q415" s="225"/>
      <c r="R415" s="225">
        <f>4.808/4</f>
        <v>1.202</v>
      </c>
      <c r="S415" s="225"/>
      <c r="T415" s="225"/>
      <c r="U415" s="225">
        <f>AVERAGE(0.831,6.115/3)</f>
        <v>1.4346666666666668</v>
      </c>
      <c r="V415" s="225"/>
      <c r="W415" s="225"/>
      <c r="X415" s="225"/>
      <c r="Y415" s="225"/>
      <c r="Z415" s="225"/>
      <c r="AA415" s="225"/>
      <c r="AB415" s="225"/>
      <c r="AC415" s="225"/>
      <c r="AD415" s="225"/>
      <c r="AE415" s="7"/>
    </row>
    <row r="416" spans="1:31" ht="15" hidden="1" customHeight="1" outlineLevel="1">
      <c r="D416" s="245" t="s">
        <v>284</v>
      </c>
      <c r="G416" s="149" t="str">
        <f t="shared" ref="G416:AD416" si="372">IF(G400=0,"",IFERROR((G400-G402)/(SUM(G414)*4),""))</f>
        <v/>
      </c>
      <c r="H416" s="149" t="str">
        <f t="shared" si="372"/>
        <v/>
      </c>
      <c r="I416" s="149" t="str">
        <f t="shared" si="372"/>
        <v/>
      </c>
      <c r="J416" s="149" t="str">
        <f t="shared" si="372"/>
        <v/>
      </c>
      <c r="K416" s="149" t="str">
        <f t="shared" si="372"/>
        <v/>
      </c>
      <c r="L416" s="149" t="str">
        <f t="shared" si="372"/>
        <v/>
      </c>
      <c r="M416" s="149" t="str">
        <f t="shared" si="372"/>
        <v/>
      </c>
      <c r="N416" s="149">
        <f t="shared" si="372"/>
        <v>0.39587298459541231</v>
      </c>
      <c r="O416" s="149" t="str">
        <f t="shared" si="372"/>
        <v/>
      </c>
      <c r="P416" s="149" t="str">
        <f t="shared" si="372"/>
        <v/>
      </c>
      <c r="Q416" s="149" t="str">
        <f t="shared" si="372"/>
        <v/>
      </c>
      <c r="R416" s="149">
        <f t="shared" si="372"/>
        <v>0.22303435087963289</v>
      </c>
      <c r="S416" s="149" t="str">
        <f t="shared" si="372"/>
        <v/>
      </c>
      <c r="T416" s="149" t="str">
        <f t="shared" si="372"/>
        <v/>
      </c>
      <c r="U416" s="149">
        <f t="shared" si="372"/>
        <v>0.19939231614838551</v>
      </c>
      <c r="V416" s="149" t="str">
        <f t="shared" si="372"/>
        <v/>
      </c>
      <c r="W416" s="149" t="str">
        <f t="shared" si="372"/>
        <v/>
      </c>
      <c r="X416" s="149" t="str">
        <f t="shared" si="372"/>
        <v/>
      </c>
      <c r="Y416" s="149" t="str">
        <f t="shared" si="372"/>
        <v/>
      </c>
      <c r="Z416" s="149" t="str">
        <f t="shared" si="372"/>
        <v/>
      </c>
      <c r="AA416" s="149" t="str">
        <f t="shared" si="372"/>
        <v/>
      </c>
      <c r="AB416" s="149" t="str">
        <f t="shared" si="372"/>
        <v/>
      </c>
      <c r="AC416" s="149" t="str">
        <f t="shared" si="372"/>
        <v/>
      </c>
      <c r="AD416" s="149" t="str">
        <f t="shared" si="372"/>
        <v/>
      </c>
      <c r="AE416" s="7"/>
    </row>
    <row r="417" spans="4:31" ht="15" hidden="1" customHeight="1" outlineLevel="1">
      <c r="D417" s="245" t="s">
        <v>283</v>
      </c>
      <c r="G417" s="149" t="str">
        <f t="shared" ref="G417:AD417" si="373">IF(G400=0,"",IFERROR(IF(OR((G400-G402)/(G415*4)&lt;0,(G400-G402)/(G415*4)&gt;40),"na",(G400-G402)/(G415*4)),""))</f>
        <v/>
      </c>
      <c r="H417" s="149" t="str">
        <f t="shared" si="373"/>
        <v/>
      </c>
      <c r="I417" s="149" t="str">
        <f t="shared" si="373"/>
        <v/>
      </c>
      <c r="J417" s="149" t="str">
        <f t="shared" si="373"/>
        <v/>
      </c>
      <c r="K417" s="149" t="str">
        <f t="shared" si="373"/>
        <v/>
      </c>
      <c r="L417" s="149" t="str">
        <f t="shared" si="373"/>
        <v/>
      </c>
      <c r="M417" s="149" t="str">
        <f t="shared" si="373"/>
        <v/>
      </c>
      <c r="N417" s="149" t="str">
        <f t="shared" si="373"/>
        <v>na</v>
      </c>
      <c r="O417" s="149" t="str">
        <f t="shared" si="373"/>
        <v/>
      </c>
      <c r="P417" s="149" t="str">
        <f t="shared" si="373"/>
        <v/>
      </c>
      <c r="Q417" s="149" t="str">
        <f t="shared" si="373"/>
        <v/>
      </c>
      <c r="R417" s="149">
        <f t="shared" si="373"/>
        <v>6.6050332778702172</v>
      </c>
      <c r="S417" s="149" t="str">
        <f t="shared" si="373"/>
        <v/>
      </c>
      <c r="T417" s="149" t="str">
        <f t="shared" si="373"/>
        <v/>
      </c>
      <c r="U417" s="149">
        <f t="shared" si="373"/>
        <v>2.4376742565055758</v>
      </c>
      <c r="V417" s="149" t="str">
        <f t="shared" si="373"/>
        <v/>
      </c>
      <c r="W417" s="149" t="str">
        <f t="shared" si="373"/>
        <v/>
      </c>
      <c r="X417" s="149" t="str">
        <f t="shared" si="373"/>
        <v/>
      </c>
      <c r="Y417" s="149" t="str">
        <f t="shared" si="373"/>
        <v/>
      </c>
      <c r="Z417" s="149" t="str">
        <f t="shared" si="373"/>
        <v/>
      </c>
      <c r="AA417" s="149" t="str">
        <f t="shared" si="373"/>
        <v/>
      </c>
      <c r="AB417" s="149" t="str">
        <f t="shared" si="373"/>
        <v/>
      </c>
      <c r="AC417" s="149" t="str">
        <f t="shared" si="373"/>
        <v/>
      </c>
      <c r="AD417" s="149" t="str">
        <f t="shared" si="373"/>
        <v/>
      </c>
      <c r="AE417" s="7"/>
    </row>
    <row r="418" spans="4:31" ht="15" customHeight="1" collapsed="1"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"/>
    </row>
    <row r="419" spans="4:31" ht="15" customHeight="1">
      <c r="D419" s="241" t="s">
        <v>327</v>
      </c>
      <c r="F419" s="241" t="s">
        <v>322</v>
      </c>
      <c r="G419" s="241" t="s">
        <v>324</v>
      </c>
      <c r="H419" s="241" t="s">
        <v>548</v>
      </c>
      <c r="I419" s="241" t="s">
        <v>323</v>
      </c>
      <c r="K419" s="241" t="s">
        <v>326</v>
      </c>
      <c r="L419" s="241"/>
      <c r="M419" s="7"/>
      <c r="N419" s="7"/>
      <c r="O419" s="7"/>
      <c r="P419" s="7"/>
      <c r="Q419" s="7"/>
      <c r="R419" s="7"/>
      <c r="S419" s="7"/>
      <c r="T419" s="7"/>
      <c r="U419" s="76"/>
      <c r="V419" s="76"/>
      <c r="W419" s="76"/>
      <c r="X419" s="76"/>
      <c r="Y419" s="76"/>
      <c r="Z419" s="76"/>
      <c r="AA419" s="76"/>
      <c r="AB419" s="76"/>
      <c r="AC419" s="76"/>
      <c r="AD419" s="76"/>
      <c r="AE419" s="7"/>
    </row>
    <row r="420" spans="4:31" ht="15" hidden="1" customHeight="1" outlineLevel="1">
      <c r="D420" s="251" t="s">
        <v>320</v>
      </c>
      <c r="F420" s="253"/>
      <c r="G420" s="7"/>
      <c r="H420" s="7"/>
      <c r="I420" s="91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6"/>
      <c r="V420" s="76"/>
      <c r="W420" s="76"/>
      <c r="X420" s="76"/>
      <c r="Y420" s="76"/>
      <c r="Z420" s="76"/>
      <c r="AA420" s="76"/>
      <c r="AB420" s="76"/>
      <c r="AC420" s="76"/>
      <c r="AD420" s="76"/>
      <c r="AE420" s="7"/>
    </row>
    <row r="421" spans="4:31" ht="15" hidden="1" customHeight="1" outlineLevel="1">
      <c r="D421" s="251" t="s">
        <v>321</v>
      </c>
      <c r="F421" s="253"/>
      <c r="G421" s="7"/>
      <c r="H421" s="7"/>
      <c r="I421" s="91"/>
      <c r="K421" s="7"/>
      <c r="O421" s="7"/>
      <c r="P421" s="7"/>
      <c r="Q421" s="7"/>
      <c r="R421" s="7"/>
      <c r="S421" s="7"/>
      <c r="T421" s="7"/>
      <c r="U421" s="76"/>
      <c r="V421" s="76"/>
      <c r="W421" s="76"/>
      <c r="X421" s="76"/>
      <c r="Y421" s="76"/>
      <c r="Z421" s="76"/>
      <c r="AA421" s="76"/>
      <c r="AB421" s="76"/>
      <c r="AC421" s="76"/>
      <c r="AD421" s="76"/>
      <c r="AE421" s="7"/>
    </row>
    <row r="422" spans="4:31" ht="15" hidden="1" customHeight="1" outlineLevel="1">
      <c r="D422" s="251" t="str">
        <f>G299</f>
        <v>Becker-Carroll</v>
      </c>
      <c r="F422" s="253">
        <v>43133</v>
      </c>
      <c r="G422" s="7">
        <f>G317</f>
        <v>0.42700000000000005</v>
      </c>
      <c r="H422" s="7">
        <f>G318*4</f>
        <v>0.67948717948717952</v>
      </c>
      <c r="I422" s="149">
        <f>G320</f>
        <v>0.62841509433962273</v>
      </c>
      <c r="J422" s="7"/>
      <c r="K422" s="254">
        <f t="shared" ref="K422:K438" si="374">IF(OR(EOMONTH(K$5,2)-$F422&lt;0,EOMONTH(K$5,2)-$F422&gt;365+91),0,MIN((EOMONTH(K$5,2)-$F422),IF(-(EOMONTH(K$5,-13)-$F422)&gt;=0,-(EOMONTH(K$5,-13)-$F422),91),91)/365*$H422)</f>
        <v>6.1433087460484724E-2</v>
      </c>
      <c r="L422" s="254">
        <f t="shared" ref="L422:AA437" si="375">IF(OR(EOMONTH(L$5,2)-$F422&lt;0,EOMONTH(L$5,2)-$F422&gt;365+91),0,MIN((EOMONTH(L$5,2)-$F422),IF(-(EOMONTH(L$5,-13)-$F422)&gt;=0,-(EOMONTH(L$5,-13)-$F422),91),91)/365*$H422)</f>
        <v>0</v>
      </c>
      <c r="M422" s="254">
        <f t="shared" si="375"/>
        <v>0</v>
      </c>
      <c r="N422" s="254">
        <f t="shared" si="375"/>
        <v>0</v>
      </c>
      <c r="O422" s="254">
        <f t="shared" si="375"/>
        <v>0</v>
      </c>
      <c r="P422" s="254">
        <f t="shared" si="375"/>
        <v>0</v>
      </c>
      <c r="Q422" s="254">
        <f t="shared" si="375"/>
        <v>0</v>
      </c>
      <c r="R422" s="254">
        <f t="shared" si="375"/>
        <v>0</v>
      </c>
      <c r="S422" s="254">
        <f t="shared" si="375"/>
        <v>0</v>
      </c>
      <c r="T422" s="254">
        <f t="shared" si="375"/>
        <v>0</v>
      </c>
      <c r="U422" s="254">
        <f t="shared" si="375"/>
        <v>0</v>
      </c>
      <c r="V422" s="254">
        <f t="shared" si="375"/>
        <v>0</v>
      </c>
      <c r="W422" s="254">
        <f t="shared" si="375"/>
        <v>0</v>
      </c>
      <c r="X422" s="254">
        <f t="shared" si="375"/>
        <v>0</v>
      </c>
      <c r="Y422" s="254">
        <f t="shared" si="375"/>
        <v>0</v>
      </c>
      <c r="Z422" s="254">
        <f t="shared" si="375"/>
        <v>0</v>
      </c>
      <c r="AA422" s="254">
        <f t="shared" si="375"/>
        <v>0</v>
      </c>
      <c r="AB422" s="254">
        <f t="shared" ref="Y422:AD437" si="376">IF(OR(EOMONTH(AB$5,2)-$F422&lt;0,EOMONTH(AB$5,2)-$F422&gt;365+91),0,MIN((EOMONTH(AB$5,2)-$F422),IF(-(EOMONTH(AB$5,-13)-$F422)&gt;=0,-(EOMONTH(AB$5,-13)-$F422),91),91)/365*$H422)</f>
        <v>0</v>
      </c>
      <c r="AC422" s="254">
        <f t="shared" si="376"/>
        <v>0</v>
      </c>
      <c r="AD422" s="254">
        <f t="shared" si="376"/>
        <v>0</v>
      </c>
      <c r="AE422" s="7"/>
    </row>
    <row r="423" spans="4:31" ht="15" hidden="1" customHeight="1" outlineLevel="1">
      <c r="D423" s="251" t="str">
        <f>H323</f>
        <v>Key Infomration Systems</v>
      </c>
      <c r="F423" s="253">
        <v>43192</v>
      </c>
      <c r="G423" s="7">
        <f>H341</f>
        <v>11.904</v>
      </c>
      <c r="H423" s="7">
        <f>H342*4</f>
        <v>42.091150149704326</v>
      </c>
      <c r="I423" s="149">
        <f>H344</f>
        <v>0.28281479497855017</v>
      </c>
      <c r="K423" s="254">
        <f t="shared" si="374"/>
        <v>10.493957982529023</v>
      </c>
      <c r="L423" s="254">
        <f t="shared" si="375"/>
        <v>0.23063643917646207</v>
      </c>
      <c r="M423" s="254">
        <f t="shared" si="375"/>
        <v>0</v>
      </c>
      <c r="N423" s="254">
        <f t="shared" si="375"/>
        <v>0</v>
      </c>
      <c r="O423" s="254">
        <f t="shared" si="375"/>
        <v>0</v>
      </c>
      <c r="P423" s="254">
        <f t="shared" si="375"/>
        <v>0</v>
      </c>
      <c r="Q423" s="254">
        <f t="shared" si="375"/>
        <v>0</v>
      </c>
      <c r="R423" s="254">
        <f t="shared" si="375"/>
        <v>0</v>
      </c>
      <c r="S423" s="254">
        <f t="shared" si="375"/>
        <v>0</v>
      </c>
      <c r="T423" s="254">
        <f t="shared" si="375"/>
        <v>0</v>
      </c>
      <c r="U423" s="254">
        <f t="shared" si="375"/>
        <v>0</v>
      </c>
      <c r="V423" s="254">
        <f t="shared" si="375"/>
        <v>0</v>
      </c>
      <c r="W423" s="254">
        <f t="shared" si="375"/>
        <v>0</v>
      </c>
      <c r="X423" s="254">
        <f t="shared" si="375"/>
        <v>0</v>
      </c>
      <c r="Y423" s="254">
        <f t="shared" si="376"/>
        <v>0</v>
      </c>
      <c r="Z423" s="254">
        <f t="shared" si="376"/>
        <v>0</v>
      </c>
      <c r="AA423" s="254">
        <f t="shared" si="376"/>
        <v>0</v>
      </c>
      <c r="AB423" s="254">
        <f t="shared" si="376"/>
        <v>0</v>
      </c>
      <c r="AC423" s="254">
        <f t="shared" si="376"/>
        <v>0</v>
      </c>
      <c r="AD423" s="254">
        <f t="shared" si="376"/>
        <v>0</v>
      </c>
      <c r="AE423" s="7"/>
    </row>
    <row r="424" spans="4:31" ht="15" hidden="1" customHeight="1" outlineLevel="1">
      <c r="D424" s="251" t="str">
        <f>H347</f>
        <v>BlueChip Teck</v>
      </c>
      <c r="F424" s="253">
        <v>43238</v>
      </c>
      <c r="G424" s="7">
        <f>H365</f>
        <v>13.035</v>
      </c>
      <c r="H424" s="7">
        <f>H366*4</f>
        <v>43.927296452237428</v>
      </c>
      <c r="I424" s="149">
        <f>H368</f>
        <v>0.29674031986405264</v>
      </c>
      <c r="K424" s="254">
        <f t="shared" si="374"/>
        <v>10.951736923708509</v>
      </c>
      <c r="L424" s="254">
        <f t="shared" si="375"/>
        <v>5.7767403553627297</v>
      </c>
      <c r="M424" s="254">
        <f t="shared" si="375"/>
        <v>0</v>
      </c>
      <c r="N424" s="254">
        <f t="shared" si="375"/>
        <v>0</v>
      </c>
      <c r="O424" s="254">
        <f t="shared" si="375"/>
        <v>0</v>
      </c>
      <c r="P424" s="254">
        <f t="shared" si="375"/>
        <v>0</v>
      </c>
      <c r="Q424" s="254">
        <f t="shared" si="375"/>
        <v>0</v>
      </c>
      <c r="R424" s="254">
        <f t="shared" si="375"/>
        <v>0</v>
      </c>
      <c r="S424" s="254">
        <f t="shared" si="375"/>
        <v>0</v>
      </c>
      <c r="T424" s="254">
        <f t="shared" si="375"/>
        <v>0</v>
      </c>
      <c r="U424" s="254">
        <f t="shared" si="375"/>
        <v>0</v>
      </c>
      <c r="V424" s="254">
        <f t="shared" si="375"/>
        <v>0</v>
      </c>
      <c r="W424" s="254">
        <f t="shared" si="375"/>
        <v>0</v>
      </c>
      <c r="X424" s="254">
        <f t="shared" si="375"/>
        <v>0</v>
      </c>
      <c r="Y424" s="254">
        <f t="shared" si="376"/>
        <v>0</v>
      </c>
      <c r="Z424" s="254">
        <f t="shared" si="376"/>
        <v>0</v>
      </c>
      <c r="AA424" s="254">
        <f t="shared" si="376"/>
        <v>0</v>
      </c>
      <c r="AB424" s="254">
        <f t="shared" si="376"/>
        <v>0</v>
      </c>
      <c r="AC424" s="254">
        <f t="shared" si="376"/>
        <v>0</v>
      </c>
      <c r="AD424" s="254">
        <f t="shared" si="376"/>
        <v>0</v>
      </c>
      <c r="AE424" s="7"/>
    </row>
    <row r="425" spans="4:31" ht="15" hidden="1" customHeight="1" outlineLevel="1">
      <c r="D425" s="251" t="str">
        <f>J371</f>
        <v>Lighthouse</v>
      </c>
      <c r="F425" s="253">
        <v>43434</v>
      </c>
      <c r="G425" s="7">
        <f>J389</f>
        <v>17.541</v>
      </c>
      <c r="H425" s="7">
        <f>J390*4</f>
        <v>74.97227722772277</v>
      </c>
      <c r="I425" s="149">
        <f>J392</f>
        <v>0.23396648266025727</v>
      </c>
      <c r="K425" s="254">
        <f t="shared" si="374"/>
        <v>18.691718432117185</v>
      </c>
      <c r="L425" s="254">
        <f t="shared" si="375"/>
        <v>18.691718432117185</v>
      </c>
      <c r="M425" s="254">
        <f t="shared" si="375"/>
        <v>18.691718432117185</v>
      </c>
      <c r="N425" s="254">
        <f t="shared" si="375"/>
        <v>12.529613454496134</v>
      </c>
      <c r="O425" s="254">
        <f t="shared" si="375"/>
        <v>0</v>
      </c>
      <c r="P425" s="254">
        <f t="shared" si="375"/>
        <v>0</v>
      </c>
      <c r="Q425" s="254">
        <f t="shared" si="375"/>
        <v>0</v>
      </c>
      <c r="R425" s="254">
        <f t="shared" si="375"/>
        <v>0</v>
      </c>
      <c r="S425" s="254">
        <f t="shared" si="375"/>
        <v>0</v>
      </c>
      <c r="T425" s="254">
        <f t="shared" si="375"/>
        <v>0</v>
      </c>
      <c r="U425" s="254">
        <f t="shared" si="375"/>
        <v>0</v>
      </c>
      <c r="V425" s="254">
        <f t="shared" si="375"/>
        <v>0</v>
      </c>
      <c r="W425" s="254">
        <f t="shared" si="375"/>
        <v>0</v>
      </c>
      <c r="X425" s="254">
        <f t="shared" si="375"/>
        <v>0</v>
      </c>
      <c r="Y425" s="254">
        <f t="shared" si="376"/>
        <v>0</v>
      </c>
      <c r="Z425" s="254">
        <f t="shared" si="376"/>
        <v>0</v>
      </c>
      <c r="AA425" s="254">
        <f t="shared" si="376"/>
        <v>0</v>
      </c>
      <c r="AB425" s="254">
        <f t="shared" si="376"/>
        <v>0</v>
      </c>
      <c r="AC425" s="254">
        <f t="shared" si="376"/>
        <v>0</v>
      </c>
      <c r="AD425" s="254">
        <f t="shared" si="376"/>
        <v>0</v>
      </c>
      <c r="AE425" s="7"/>
    </row>
    <row r="426" spans="4:31" ht="15" hidden="1" customHeight="1" outlineLevel="1">
      <c r="D426" s="251" t="str">
        <f>K299</f>
        <v>SIS</v>
      </c>
      <c r="F426" s="253">
        <v>43483</v>
      </c>
      <c r="G426" s="7">
        <f>K317</f>
        <v>21.929000000000002</v>
      </c>
      <c r="H426" s="7">
        <f>K318*4</f>
        <v>98.031730769230762</v>
      </c>
      <c r="I426" s="149">
        <f>K320</f>
        <v>0.22369287809088506</v>
      </c>
      <c r="K426" s="254">
        <f t="shared" si="374"/>
        <v>19.337766069546891</v>
      </c>
      <c r="L426" s="254">
        <f t="shared" si="375"/>
        <v>24.440787671232876</v>
      </c>
      <c r="M426" s="254">
        <f t="shared" si="375"/>
        <v>24.440787671232876</v>
      </c>
      <c r="N426" s="254">
        <f t="shared" si="375"/>
        <v>24.440787671232876</v>
      </c>
      <c r="O426" s="254">
        <f t="shared" si="375"/>
        <v>4.8344415173867228</v>
      </c>
      <c r="P426" s="254">
        <f t="shared" si="375"/>
        <v>0</v>
      </c>
      <c r="Q426" s="254">
        <f t="shared" si="375"/>
        <v>0</v>
      </c>
      <c r="R426" s="254">
        <f t="shared" si="375"/>
        <v>0</v>
      </c>
      <c r="S426" s="254">
        <f t="shared" si="375"/>
        <v>0</v>
      </c>
      <c r="T426" s="254">
        <f t="shared" si="375"/>
        <v>0</v>
      </c>
      <c r="U426" s="254">
        <f t="shared" si="375"/>
        <v>0</v>
      </c>
      <c r="V426" s="254">
        <f t="shared" si="375"/>
        <v>0</v>
      </c>
      <c r="W426" s="254">
        <f t="shared" si="375"/>
        <v>0</v>
      </c>
      <c r="X426" s="254">
        <f t="shared" si="375"/>
        <v>0</v>
      </c>
      <c r="Y426" s="254">
        <f t="shared" si="376"/>
        <v>0</v>
      </c>
      <c r="Z426" s="254">
        <f t="shared" si="376"/>
        <v>0</v>
      </c>
      <c r="AA426" s="254">
        <f t="shared" si="376"/>
        <v>0</v>
      </c>
      <c r="AB426" s="254">
        <f t="shared" si="376"/>
        <v>0</v>
      </c>
      <c r="AC426" s="254">
        <f t="shared" si="376"/>
        <v>0</v>
      </c>
      <c r="AD426" s="254">
        <f t="shared" si="376"/>
        <v>0</v>
      </c>
      <c r="AE426" s="7"/>
    </row>
    <row r="427" spans="4:31" ht="15" hidden="1" customHeight="1" outlineLevel="1">
      <c r="D427" s="251" t="str">
        <f>M323</f>
        <v>Nordisk</v>
      </c>
      <c r="F427" s="253">
        <v>43647</v>
      </c>
      <c r="G427" s="7">
        <f>M341</f>
        <v>6.9909999999999997</v>
      </c>
      <c r="H427" s="7">
        <f>M342*4</f>
        <v>23.140196078431373</v>
      </c>
      <c r="I427" s="149">
        <f>M344</f>
        <v>0.30211498538321396</v>
      </c>
      <c r="K427" s="254">
        <f t="shared" si="374"/>
        <v>0</v>
      </c>
      <c r="L427" s="254">
        <f t="shared" si="375"/>
        <v>0</v>
      </c>
      <c r="M427" s="254">
        <f t="shared" si="375"/>
        <v>5.7691995702390546</v>
      </c>
      <c r="N427" s="254">
        <f t="shared" si="375"/>
        <v>5.7691995702390546</v>
      </c>
      <c r="O427" s="254">
        <f t="shared" si="375"/>
        <v>5.7691995702390546</v>
      </c>
      <c r="P427" s="254">
        <f t="shared" si="375"/>
        <v>5.7691995702390546</v>
      </c>
      <c r="Q427" s="254">
        <f t="shared" si="375"/>
        <v>0</v>
      </c>
      <c r="R427" s="254">
        <f t="shared" si="375"/>
        <v>0</v>
      </c>
      <c r="S427" s="254">
        <f t="shared" si="375"/>
        <v>0</v>
      </c>
      <c r="T427" s="254">
        <f t="shared" si="375"/>
        <v>0</v>
      </c>
      <c r="U427" s="254">
        <f t="shared" si="375"/>
        <v>0</v>
      </c>
      <c r="V427" s="254">
        <f t="shared" si="375"/>
        <v>0</v>
      </c>
      <c r="W427" s="254">
        <f t="shared" si="375"/>
        <v>0</v>
      </c>
      <c r="X427" s="254">
        <f t="shared" si="375"/>
        <v>0</v>
      </c>
      <c r="Y427" s="254">
        <f t="shared" si="376"/>
        <v>0</v>
      </c>
      <c r="Z427" s="254">
        <f t="shared" si="376"/>
        <v>0</v>
      </c>
      <c r="AA427" s="254">
        <f t="shared" si="376"/>
        <v>0</v>
      </c>
      <c r="AB427" s="254">
        <f t="shared" si="376"/>
        <v>0</v>
      </c>
      <c r="AC427" s="254">
        <f t="shared" si="376"/>
        <v>0</v>
      </c>
      <c r="AD427" s="254">
        <f t="shared" si="376"/>
        <v>0</v>
      </c>
      <c r="AE427" s="7"/>
    </row>
    <row r="428" spans="4:31" ht="15" hidden="1" customHeight="1" outlineLevel="1">
      <c r="D428" s="251" t="str">
        <f>N347</f>
        <v>Essextec</v>
      </c>
      <c r="F428" s="253">
        <v>43739</v>
      </c>
      <c r="G428" s="7">
        <f>N365</f>
        <v>4.4719999999999995</v>
      </c>
      <c r="H428" s="7">
        <f>N366*4</f>
        <v>57.85049504950495</v>
      </c>
      <c r="I428" s="149">
        <f>N368</f>
        <v>7.7302709271081127E-2</v>
      </c>
      <c r="K428" s="254">
        <f t="shared" si="374"/>
        <v>0</v>
      </c>
      <c r="L428" s="254">
        <f t="shared" si="375"/>
        <v>0</v>
      </c>
      <c r="M428" s="254">
        <f t="shared" si="375"/>
        <v>0</v>
      </c>
      <c r="N428" s="254">
        <f t="shared" si="375"/>
        <v>14.423000135630001</v>
      </c>
      <c r="O428" s="254">
        <f t="shared" si="375"/>
        <v>14.423000135630001</v>
      </c>
      <c r="P428" s="254">
        <f t="shared" si="375"/>
        <v>14.423000135630001</v>
      </c>
      <c r="Q428" s="254">
        <f t="shared" si="375"/>
        <v>14.423000135630001</v>
      </c>
      <c r="R428" s="254">
        <f t="shared" si="375"/>
        <v>0</v>
      </c>
      <c r="S428" s="254">
        <f t="shared" si="375"/>
        <v>0</v>
      </c>
      <c r="T428" s="254">
        <f t="shared" si="375"/>
        <v>0</v>
      </c>
      <c r="U428" s="254">
        <f t="shared" si="375"/>
        <v>0</v>
      </c>
      <c r="V428" s="254">
        <f t="shared" si="375"/>
        <v>0</v>
      </c>
      <c r="W428" s="254">
        <f t="shared" si="375"/>
        <v>0</v>
      </c>
      <c r="X428" s="254">
        <f t="shared" si="375"/>
        <v>0</v>
      </c>
      <c r="Y428" s="254">
        <f t="shared" si="376"/>
        <v>0</v>
      </c>
      <c r="Z428" s="254">
        <f t="shared" si="376"/>
        <v>0</v>
      </c>
      <c r="AA428" s="254">
        <f t="shared" si="376"/>
        <v>0</v>
      </c>
      <c r="AB428" s="254">
        <f t="shared" si="376"/>
        <v>0</v>
      </c>
      <c r="AC428" s="254">
        <f t="shared" si="376"/>
        <v>0</v>
      </c>
      <c r="AD428" s="254">
        <f t="shared" si="376"/>
        <v>0</v>
      </c>
      <c r="AE428" s="7"/>
    </row>
    <row r="429" spans="4:31" ht="15" hidden="1" customHeight="1" outlineLevel="1">
      <c r="D429" s="251" t="str">
        <f>N371</f>
        <v>Datatrend Technologies</v>
      </c>
      <c r="F429" s="253">
        <v>43739</v>
      </c>
      <c r="G429" s="7">
        <f>N389</f>
        <v>27.561</v>
      </c>
      <c r="H429" s="7">
        <f>N390*4</f>
        <v>114.85346534653465</v>
      </c>
      <c r="I429" s="149">
        <f>N392</f>
        <v>0.23996663850623265</v>
      </c>
      <c r="K429" s="254">
        <f t="shared" si="374"/>
        <v>0</v>
      </c>
      <c r="L429" s="254">
        <f t="shared" si="375"/>
        <v>0</v>
      </c>
      <c r="M429" s="254">
        <f t="shared" si="375"/>
        <v>0</v>
      </c>
      <c r="N429" s="254">
        <f t="shared" si="375"/>
        <v>28.634699579546997</v>
      </c>
      <c r="O429" s="254">
        <f t="shared" si="375"/>
        <v>28.634699579546997</v>
      </c>
      <c r="P429" s="254">
        <f t="shared" si="375"/>
        <v>28.634699579546997</v>
      </c>
      <c r="Q429" s="254">
        <f t="shared" si="375"/>
        <v>28.634699579546997</v>
      </c>
      <c r="R429" s="254">
        <f t="shared" si="375"/>
        <v>0</v>
      </c>
      <c r="S429" s="254">
        <f t="shared" si="375"/>
        <v>0</v>
      </c>
      <c r="T429" s="254">
        <f t="shared" si="375"/>
        <v>0</v>
      </c>
      <c r="U429" s="254">
        <f t="shared" si="375"/>
        <v>0</v>
      </c>
      <c r="V429" s="254">
        <f t="shared" si="375"/>
        <v>0</v>
      </c>
      <c r="W429" s="254">
        <f t="shared" si="375"/>
        <v>0</v>
      </c>
      <c r="X429" s="254">
        <f t="shared" si="375"/>
        <v>0</v>
      </c>
      <c r="Y429" s="254">
        <f t="shared" si="376"/>
        <v>0</v>
      </c>
      <c r="Z429" s="254">
        <f t="shared" si="376"/>
        <v>0</v>
      </c>
      <c r="AA429" s="254">
        <f t="shared" si="376"/>
        <v>0</v>
      </c>
      <c r="AB429" s="254">
        <f t="shared" si="376"/>
        <v>0</v>
      </c>
      <c r="AC429" s="254">
        <f t="shared" si="376"/>
        <v>0</v>
      </c>
      <c r="AD429" s="254">
        <f t="shared" si="376"/>
        <v>0</v>
      </c>
      <c r="AE429" s="7"/>
    </row>
    <row r="430" spans="4:31" ht="15" hidden="1" customHeight="1" outlineLevel="1">
      <c r="D430" s="251" t="str">
        <f>N395</f>
        <v>VSS</v>
      </c>
      <c r="F430" s="253">
        <v>43770</v>
      </c>
      <c r="G430" s="7">
        <f>N413</f>
        <v>33.815000000000005</v>
      </c>
      <c r="H430" s="7">
        <f>N414*4</f>
        <v>85.41881188118812</v>
      </c>
      <c r="I430" s="149">
        <f>N416</f>
        <v>0.39587298459541231</v>
      </c>
      <c r="K430" s="254">
        <f t="shared" si="374"/>
        <v>0</v>
      </c>
      <c r="L430" s="254">
        <f t="shared" si="375"/>
        <v>0</v>
      </c>
      <c r="M430" s="254">
        <f t="shared" si="375"/>
        <v>0</v>
      </c>
      <c r="N430" s="254">
        <f t="shared" si="375"/>
        <v>14.041448528414485</v>
      </c>
      <c r="O430" s="254">
        <f t="shared" si="375"/>
        <v>21.296196934761969</v>
      </c>
      <c r="P430" s="254">
        <f t="shared" si="375"/>
        <v>21.296196934761969</v>
      </c>
      <c r="Q430" s="254">
        <f t="shared" si="375"/>
        <v>21.296196934761969</v>
      </c>
      <c r="R430" s="254">
        <f t="shared" si="375"/>
        <v>7.4887725484877254</v>
      </c>
      <c r="S430" s="254">
        <f t="shared" si="375"/>
        <v>0</v>
      </c>
      <c r="T430" s="254">
        <f t="shared" si="375"/>
        <v>0</v>
      </c>
      <c r="U430" s="254">
        <f t="shared" si="375"/>
        <v>0</v>
      </c>
      <c r="V430" s="254">
        <f t="shared" si="375"/>
        <v>0</v>
      </c>
      <c r="W430" s="254">
        <f t="shared" si="375"/>
        <v>0</v>
      </c>
      <c r="X430" s="254">
        <f t="shared" si="375"/>
        <v>0</v>
      </c>
      <c r="Y430" s="254">
        <f t="shared" si="376"/>
        <v>0</v>
      </c>
      <c r="Z430" s="254">
        <f t="shared" si="376"/>
        <v>0</v>
      </c>
      <c r="AA430" s="254">
        <f t="shared" si="376"/>
        <v>0</v>
      </c>
      <c r="AB430" s="254">
        <f t="shared" si="376"/>
        <v>0</v>
      </c>
      <c r="AC430" s="254">
        <f t="shared" si="376"/>
        <v>0</v>
      </c>
      <c r="AD430" s="254">
        <f t="shared" si="376"/>
        <v>0</v>
      </c>
      <c r="AE430" s="7"/>
    </row>
    <row r="431" spans="4:31" ht="15" hidden="1" customHeight="1" outlineLevel="1">
      <c r="D431" s="251" t="str">
        <f>O299</f>
        <v>PCD</v>
      </c>
      <c r="F431" s="253">
        <v>43862</v>
      </c>
      <c r="G431" s="7">
        <f>O317</f>
        <v>13.859</v>
      </c>
      <c r="H431" s="7">
        <f>O318*4</f>
        <v>6.7769230769230768</v>
      </c>
      <c r="I431" s="149">
        <f>O320</f>
        <v>2.045028376844495</v>
      </c>
      <c r="K431" s="254">
        <f t="shared" si="374"/>
        <v>0</v>
      </c>
      <c r="L431" s="254">
        <f t="shared" si="375"/>
        <v>0</v>
      </c>
      <c r="M431" s="254">
        <f t="shared" si="375"/>
        <v>0</v>
      </c>
      <c r="N431" s="254">
        <f t="shared" si="375"/>
        <v>0</v>
      </c>
      <c r="O431" s="254">
        <f t="shared" si="375"/>
        <v>1.0954478398314014</v>
      </c>
      <c r="P431" s="254">
        <f t="shared" si="375"/>
        <v>1.6895890410958905</v>
      </c>
      <c r="Q431" s="254">
        <f t="shared" si="375"/>
        <v>1.6895890410958905</v>
      </c>
      <c r="R431" s="254">
        <f t="shared" si="375"/>
        <v>1.6895890410958905</v>
      </c>
      <c r="S431" s="254">
        <f t="shared" si="375"/>
        <v>0.59414120126448888</v>
      </c>
      <c r="T431" s="254">
        <f t="shared" si="375"/>
        <v>0</v>
      </c>
      <c r="U431" s="254">
        <f t="shared" si="375"/>
        <v>0</v>
      </c>
      <c r="V431" s="254">
        <f t="shared" si="375"/>
        <v>0</v>
      </c>
      <c r="W431" s="254">
        <f t="shared" si="375"/>
        <v>0</v>
      </c>
      <c r="X431" s="254">
        <f t="shared" si="375"/>
        <v>0</v>
      </c>
      <c r="Y431" s="254">
        <f t="shared" si="376"/>
        <v>0</v>
      </c>
      <c r="Z431" s="254">
        <f t="shared" si="376"/>
        <v>0</v>
      </c>
      <c r="AA431" s="254">
        <f t="shared" si="376"/>
        <v>0</v>
      </c>
      <c r="AB431" s="254">
        <f t="shared" si="376"/>
        <v>0</v>
      </c>
      <c r="AC431" s="254">
        <f t="shared" si="376"/>
        <v>0</v>
      </c>
      <c r="AD431" s="254">
        <f t="shared" si="376"/>
        <v>0</v>
      </c>
      <c r="AE431" s="7"/>
    </row>
    <row r="432" spans="4:31" ht="15" hidden="1" customHeight="1" outlineLevel="1">
      <c r="D432" s="251" t="str">
        <f>R323</f>
        <v>Unique Digital</v>
      </c>
      <c r="F432" s="253">
        <v>44105</v>
      </c>
      <c r="G432" s="7">
        <f>R341</f>
        <v>10.276</v>
      </c>
      <c r="H432" s="7">
        <f>R342*4</f>
        <v>47.735643564356437</v>
      </c>
      <c r="I432" s="149">
        <f>R344</f>
        <v>0.21526891087466035</v>
      </c>
      <c r="K432" s="254">
        <f t="shared" si="374"/>
        <v>0</v>
      </c>
      <c r="L432" s="254">
        <f t="shared" si="375"/>
        <v>0</v>
      </c>
      <c r="M432" s="254">
        <f t="shared" si="375"/>
        <v>0</v>
      </c>
      <c r="N432" s="254">
        <f t="shared" si="375"/>
        <v>0</v>
      </c>
      <c r="O432" s="254">
        <f t="shared" si="375"/>
        <v>0</v>
      </c>
      <c r="P432" s="254">
        <f t="shared" si="375"/>
        <v>0</v>
      </c>
      <c r="Q432" s="254">
        <f t="shared" si="375"/>
        <v>0</v>
      </c>
      <c r="R432" s="254">
        <f t="shared" si="375"/>
        <v>11.901215244812153</v>
      </c>
      <c r="S432" s="254">
        <f t="shared" si="375"/>
        <v>11.901215244812153</v>
      </c>
      <c r="T432" s="254">
        <f t="shared" si="375"/>
        <v>11.901215244812153</v>
      </c>
      <c r="U432" s="254">
        <f t="shared" si="375"/>
        <v>11.901215244812153</v>
      </c>
      <c r="V432" s="254">
        <f t="shared" si="375"/>
        <v>0.13078258510782587</v>
      </c>
      <c r="W432" s="254">
        <f t="shared" si="375"/>
        <v>0</v>
      </c>
      <c r="X432" s="254">
        <f t="shared" si="375"/>
        <v>0</v>
      </c>
      <c r="Y432" s="254">
        <f t="shared" si="376"/>
        <v>0</v>
      </c>
      <c r="Z432" s="254">
        <f t="shared" si="376"/>
        <v>0</v>
      </c>
      <c r="AA432" s="254">
        <f t="shared" si="376"/>
        <v>0</v>
      </c>
      <c r="AB432" s="254">
        <f t="shared" si="376"/>
        <v>0</v>
      </c>
      <c r="AC432" s="254">
        <f t="shared" si="376"/>
        <v>0</v>
      </c>
      <c r="AD432" s="254">
        <f t="shared" si="376"/>
        <v>0</v>
      </c>
      <c r="AE432" s="7"/>
    </row>
    <row r="433" spans="4:31" ht="15" hidden="1" customHeight="1" outlineLevel="1">
      <c r="D433" s="251" t="str">
        <f>R347</f>
        <v>Workgroup</v>
      </c>
      <c r="F433" s="253">
        <v>44166</v>
      </c>
      <c r="G433" s="7">
        <f>R365</f>
        <v>1.4590000000000001</v>
      </c>
      <c r="H433" s="7">
        <f>R366*4</f>
        <v>11.972277227722772</v>
      </c>
      <c r="I433" s="149">
        <f>R368</f>
        <v>0.12186486933509759</v>
      </c>
      <c r="K433" s="254">
        <f t="shared" si="374"/>
        <v>0</v>
      </c>
      <c r="L433" s="254">
        <f t="shared" si="375"/>
        <v>0</v>
      </c>
      <c r="M433" s="254">
        <f t="shared" si="375"/>
        <v>0</v>
      </c>
      <c r="N433" s="254">
        <f t="shared" si="375"/>
        <v>0</v>
      </c>
      <c r="O433" s="254">
        <f t="shared" si="375"/>
        <v>0</v>
      </c>
      <c r="P433" s="254">
        <f t="shared" si="375"/>
        <v>0</v>
      </c>
      <c r="Q433" s="254">
        <f t="shared" si="375"/>
        <v>0</v>
      </c>
      <c r="R433" s="254">
        <f t="shared" si="375"/>
        <v>0.98402278584022784</v>
      </c>
      <c r="S433" s="254">
        <f t="shared" si="375"/>
        <v>2.9848691170486914</v>
      </c>
      <c r="T433" s="254">
        <f t="shared" si="375"/>
        <v>2.9848691170486914</v>
      </c>
      <c r="U433" s="254">
        <f t="shared" si="375"/>
        <v>2.9848691170486914</v>
      </c>
      <c r="V433" s="254">
        <f t="shared" si="375"/>
        <v>2.033647090736471</v>
      </c>
      <c r="W433" s="254">
        <f t="shared" si="375"/>
        <v>0</v>
      </c>
      <c r="X433" s="254">
        <f t="shared" si="375"/>
        <v>0</v>
      </c>
      <c r="Y433" s="254">
        <f t="shared" si="376"/>
        <v>0</v>
      </c>
      <c r="Z433" s="254">
        <f t="shared" si="376"/>
        <v>0</v>
      </c>
      <c r="AA433" s="254">
        <f t="shared" si="376"/>
        <v>0</v>
      </c>
      <c r="AB433" s="254">
        <f t="shared" si="376"/>
        <v>0</v>
      </c>
      <c r="AC433" s="254">
        <f t="shared" si="376"/>
        <v>0</v>
      </c>
      <c r="AD433" s="254">
        <f t="shared" si="376"/>
        <v>0</v>
      </c>
      <c r="AE433" s="7"/>
    </row>
    <row r="434" spans="4:31" ht="15" hidden="1" customHeight="1" outlineLevel="1">
      <c r="D434" s="251" t="str">
        <f>R371</f>
        <v>Vivvo</v>
      </c>
      <c r="F434" s="253">
        <v>44187</v>
      </c>
      <c r="G434" s="7">
        <f>R389</f>
        <v>4.9429999999999996</v>
      </c>
      <c r="H434" s="7">
        <f>R390*4</f>
        <v>5.0257425742574258</v>
      </c>
      <c r="I434" s="149">
        <f>R392</f>
        <v>0.98353624901497239</v>
      </c>
      <c r="K434" s="254">
        <f t="shared" si="374"/>
        <v>0</v>
      </c>
      <c r="L434" s="254">
        <f t="shared" si="375"/>
        <v>0</v>
      </c>
      <c r="M434" s="254">
        <f t="shared" si="375"/>
        <v>0</v>
      </c>
      <c r="N434" s="254">
        <f t="shared" si="375"/>
        <v>0</v>
      </c>
      <c r="O434" s="254">
        <f t="shared" si="375"/>
        <v>0</v>
      </c>
      <c r="P434" s="254">
        <f t="shared" si="375"/>
        <v>0</v>
      </c>
      <c r="Q434" s="254">
        <f t="shared" si="375"/>
        <v>0</v>
      </c>
      <c r="R434" s="254">
        <f t="shared" si="375"/>
        <v>0.12392241963922419</v>
      </c>
      <c r="S434" s="254">
        <f t="shared" si="375"/>
        <v>1.2529933541299336</v>
      </c>
      <c r="T434" s="254">
        <f t="shared" si="375"/>
        <v>1.2529933541299336</v>
      </c>
      <c r="U434" s="254">
        <f t="shared" si="375"/>
        <v>1.2529933541299336</v>
      </c>
      <c r="V434" s="254">
        <f t="shared" si="375"/>
        <v>1.142840092228401</v>
      </c>
      <c r="W434" s="254">
        <f t="shared" si="375"/>
        <v>0</v>
      </c>
      <c r="X434" s="254">
        <f t="shared" si="375"/>
        <v>0</v>
      </c>
      <c r="Y434" s="254">
        <f t="shared" si="376"/>
        <v>0</v>
      </c>
      <c r="Z434" s="254">
        <f t="shared" si="376"/>
        <v>0</v>
      </c>
      <c r="AA434" s="254">
        <f t="shared" si="376"/>
        <v>0</v>
      </c>
      <c r="AB434" s="254">
        <f t="shared" si="376"/>
        <v>0</v>
      </c>
      <c r="AC434" s="254">
        <f t="shared" si="376"/>
        <v>0</v>
      </c>
      <c r="AD434" s="254">
        <f t="shared" si="376"/>
        <v>0</v>
      </c>
      <c r="AE434" s="7"/>
    </row>
    <row r="435" spans="4:31" ht="15" hidden="1" customHeight="1" outlineLevel="1">
      <c r="D435" s="251" t="str">
        <f>R395</f>
        <v>Vicom</v>
      </c>
      <c r="F435" s="253">
        <v>44196</v>
      </c>
      <c r="G435" s="7">
        <f>R413</f>
        <v>31.757000000000005</v>
      </c>
      <c r="H435" s="7">
        <f>R414*4</f>
        <v>142.38613861386139</v>
      </c>
      <c r="I435" s="149">
        <f>R416</f>
        <v>0.22303435087963289</v>
      </c>
      <c r="K435" s="254">
        <f t="shared" si="374"/>
        <v>0</v>
      </c>
      <c r="L435" s="254">
        <f t="shared" si="375"/>
        <v>0</v>
      </c>
      <c r="M435" s="254">
        <f t="shared" si="375"/>
        <v>0</v>
      </c>
      <c r="N435" s="254">
        <f t="shared" si="375"/>
        <v>0</v>
      </c>
      <c r="O435" s="254">
        <f t="shared" si="375"/>
        <v>0</v>
      </c>
      <c r="P435" s="254">
        <f t="shared" si="375"/>
        <v>0</v>
      </c>
      <c r="Q435" s="254">
        <f t="shared" si="375"/>
        <v>0</v>
      </c>
      <c r="R435" s="254">
        <f t="shared" si="375"/>
        <v>0</v>
      </c>
      <c r="S435" s="254">
        <f t="shared" si="375"/>
        <v>35.10891089108911</v>
      </c>
      <c r="T435" s="254">
        <f t="shared" si="375"/>
        <v>35.499009900990103</v>
      </c>
      <c r="U435" s="254">
        <f t="shared" si="375"/>
        <v>35.499009900990103</v>
      </c>
      <c r="V435" s="254">
        <f t="shared" si="375"/>
        <v>35.499009900990103</v>
      </c>
      <c r="W435" s="254">
        <f t="shared" si="375"/>
        <v>0</v>
      </c>
      <c r="X435" s="254">
        <f t="shared" si="375"/>
        <v>0</v>
      </c>
      <c r="Y435" s="254">
        <f t="shared" si="376"/>
        <v>0</v>
      </c>
      <c r="Z435" s="254">
        <f t="shared" si="376"/>
        <v>0</v>
      </c>
      <c r="AA435" s="254">
        <f t="shared" si="376"/>
        <v>0</v>
      </c>
      <c r="AB435" s="254">
        <f t="shared" si="376"/>
        <v>0</v>
      </c>
      <c r="AC435" s="254">
        <f t="shared" si="376"/>
        <v>0</v>
      </c>
      <c r="AD435" s="254">
        <f t="shared" si="376"/>
        <v>0</v>
      </c>
      <c r="AE435" s="7"/>
    </row>
    <row r="436" spans="4:31" ht="15" hidden="1" customHeight="1" outlineLevel="1">
      <c r="D436" s="251" t="str">
        <f>S299</f>
        <v>CarpeDatum</v>
      </c>
      <c r="F436" s="253">
        <v>44202</v>
      </c>
      <c r="G436" s="7">
        <f>S317</f>
        <v>5.2560000000000002</v>
      </c>
      <c r="H436" s="7">
        <f>S318*4</f>
        <v>3.6628205128205127</v>
      </c>
      <c r="I436" s="149">
        <f>S320</f>
        <v>1.4349597479873994</v>
      </c>
      <c r="K436" s="254">
        <f t="shared" si="374"/>
        <v>0</v>
      </c>
      <c r="L436" s="254">
        <f t="shared" si="375"/>
        <v>0</v>
      </c>
      <c r="M436" s="254">
        <f t="shared" si="375"/>
        <v>0</v>
      </c>
      <c r="N436" s="254">
        <f t="shared" si="375"/>
        <v>0</v>
      </c>
      <c r="O436" s="254">
        <f t="shared" si="375"/>
        <v>0</v>
      </c>
      <c r="P436" s="254">
        <f t="shared" si="375"/>
        <v>0</v>
      </c>
      <c r="Q436" s="254">
        <f t="shared" si="375"/>
        <v>0</v>
      </c>
      <c r="R436" s="254">
        <f t="shared" si="375"/>
        <v>0</v>
      </c>
      <c r="S436" s="254">
        <f t="shared" si="375"/>
        <v>0.8429504741833509</v>
      </c>
      <c r="T436" s="254">
        <f t="shared" si="375"/>
        <v>0.9131963470319634</v>
      </c>
      <c r="U436" s="254">
        <f t="shared" si="375"/>
        <v>0.9131963470319634</v>
      </c>
      <c r="V436" s="254">
        <f t="shared" si="375"/>
        <v>0.9131963470319634</v>
      </c>
      <c r="W436" s="254">
        <f t="shared" si="375"/>
        <v>6.0210748155953626E-2</v>
      </c>
      <c r="X436" s="254">
        <f t="shared" si="375"/>
        <v>0</v>
      </c>
      <c r="Y436" s="254">
        <f t="shared" si="376"/>
        <v>0</v>
      </c>
      <c r="Z436" s="254">
        <f t="shared" si="376"/>
        <v>0</v>
      </c>
      <c r="AA436" s="254">
        <f t="shared" si="376"/>
        <v>0</v>
      </c>
      <c r="AB436" s="254">
        <f t="shared" si="376"/>
        <v>0</v>
      </c>
      <c r="AC436" s="254">
        <f t="shared" si="376"/>
        <v>0</v>
      </c>
      <c r="AD436" s="254">
        <f t="shared" si="376"/>
        <v>0</v>
      </c>
      <c r="AE436" s="7"/>
    </row>
    <row r="437" spans="4:31" ht="15" hidden="1" customHeight="1" outlineLevel="1">
      <c r="D437" s="251" t="str">
        <f>S323</f>
        <v>Accudata</v>
      </c>
      <c r="F437" s="253">
        <v>44239</v>
      </c>
      <c r="G437" s="7">
        <f>S341</f>
        <v>15.126999999999999</v>
      </c>
      <c r="H437" s="7">
        <f>S342*4</f>
        <v>40.80641025641026</v>
      </c>
      <c r="I437" s="149">
        <f>S344</f>
        <v>0.37070156146910044</v>
      </c>
      <c r="K437" s="254">
        <f t="shared" si="374"/>
        <v>0</v>
      </c>
      <c r="L437" s="254">
        <f t="shared" si="375"/>
        <v>0</v>
      </c>
      <c r="M437" s="254">
        <f t="shared" si="375"/>
        <v>0</v>
      </c>
      <c r="N437" s="254">
        <f t="shared" si="375"/>
        <v>0</v>
      </c>
      <c r="O437" s="254">
        <f t="shared" si="375"/>
        <v>0</v>
      </c>
      <c r="P437" s="254">
        <f t="shared" si="375"/>
        <v>0</v>
      </c>
      <c r="Q437" s="254">
        <f t="shared" si="375"/>
        <v>0</v>
      </c>
      <c r="R437" s="254">
        <f t="shared" si="375"/>
        <v>0</v>
      </c>
      <c r="S437" s="254">
        <f t="shared" si="375"/>
        <v>5.2545240604144716</v>
      </c>
      <c r="T437" s="254">
        <f t="shared" si="375"/>
        <v>10.173652968036532</v>
      </c>
      <c r="U437" s="254">
        <f t="shared" si="375"/>
        <v>10.173652968036532</v>
      </c>
      <c r="V437" s="254">
        <f t="shared" si="375"/>
        <v>10.173652968036532</v>
      </c>
      <c r="W437" s="254">
        <f t="shared" si="375"/>
        <v>4.8073305233579209</v>
      </c>
      <c r="X437" s="254">
        <f t="shared" si="375"/>
        <v>0</v>
      </c>
      <c r="Y437" s="254">
        <f t="shared" si="376"/>
        <v>0</v>
      </c>
      <c r="Z437" s="254">
        <f t="shared" si="376"/>
        <v>0</v>
      </c>
      <c r="AA437" s="254">
        <f t="shared" si="376"/>
        <v>0</v>
      </c>
      <c r="AB437" s="254">
        <f t="shared" si="376"/>
        <v>0</v>
      </c>
      <c r="AC437" s="254">
        <f t="shared" si="376"/>
        <v>0</v>
      </c>
      <c r="AD437" s="254">
        <f t="shared" si="376"/>
        <v>0</v>
      </c>
      <c r="AE437" s="7"/>
    </row>
    <row r="438" spans="4:31" ht="15" hidden="1" customHeight="1" outlineLevel="1">
      <c r="D438" s="251" t="str">
        <f>T347</f>
        <v>Dasher</v>
      </c>
      <c r="F438" s="253">
        <v>44287</v>
      </c>
      <c r="G438" s="7">
        <f>T365</f>
        <v>66.597999999999999</v>
      </c>
      <c r="H438" s="7">
        <f>T366*4</f>
        <v>195.01618122977345</v>
      </c>
      <c r="I438" s="149">
        <f>T368</f>
        <v>0.34149986724195158</v>
      </c>
      <c r="K438" s="254">
        <f t="shared" si="374"/>
        <v>0</v>
      </c>
      <c r="L438" s="254">
        <f t="shared" ref="L438:AD438" si="377">IF(OR(EOMONTH(L$5,2)-$F438&lt;0,EOMONTH(L$5,2)-$F438&gt;365+91),0,MIN((EOMONTH(L$5,2)-$F438),IF(-(EOMONTH(L$5,-13)-$F438)&gt;=0,-(EOMONTH(L$5,-13)-$F438),91),91)/365*$H438)</f>
        <v>0</v>
      </c>
      <c r="M438" s="254">
        <f t="shared" si="377"/>
        <v>0</v>
      </c>
      <c r="N438" s="254">
        <f t="shared" si="377"/>
        <v>0</v>
      </c>
      <c r="O438" s="254">
        <f t="shared" si="377"/>
        <v>0</v>
      </c>
      <c r="P438" s="254">
        <f t="shared" si="377"/>
        <v>0</v>
      </c>
      <c r="Q438" s="254">
        <f t="shared" si="377"/>
        <v>0</v>
      </c>
      <c r="R438" s="254">
        <f t="shared" si="377"/>
        <v>0</v>
      </c>
      <c r="S438" s="254">
        <f t="shared" si="377"/>
        <v>0</v>
      </c>
      <c r="T438" s="254">
        <f t="shared" si="377"/>
        <v>48.086181673094821</v>
      </c>
      <c r="U438" s="254">
        <f t="shared" si="377"/>
        <v>48.620472580573654</v>
      </c>
      <c r="V438" s="254">
        <f t="shared" si="377"/>
        <v>48.620472580573654</v>
      </c>
      <c r="W438" s="254">
        <f t="shared" si="377"/>
        <v>48.620472580573654</v>
      </c>
      <c r="X438" s="254">
        <f t="shared" si="377"/>
        <v>0.53429090747883135</v>
      </c>
      <c r="Y438" s="254">
        <f t="shared" si="377"/>
        <v>0</v>
      </c>
      <c r="Z438" s="254">
        <f t="shared" si="377"/>
        <v>0</v>
      </c>
      <c r="AA438" s="254">
        <f t="shared" si="377"/>
        <v>0</v>
      </c>
      <c r="AB438" s="254">
        <f t="shared" si="377"/>
        <v>0</v>
      </c>
      <c r="AC438" s="254">
        <f t="shared" si="377"/>
        <v>0</v>
      </c>
      <c r="AD438" s="254">
        <f t="shared" si="377"/>
        <v>0</v>
      </c>
      <c r="AE438" s="7"/>
    </row>
    <row r="439" spans="4:31" ht="15" hidden="1" customHeight="1" outlineLevel="1">
      <c r="D439" s="251" t="str">
        <f>T371</f>
        <v>ExactlyIT</v>
      </c>
      <c r="F439" s="253">
        <v>44369</v>
      </c>
      <c r="G439" s="7">
        <f>T389</f>
        <v>39.712999999999994</v>
      </c>
      <c r="H439" s="7">
        <f>T390*4</f>
        <v>14.819417475728157</v>
      </c>
      <c r="I439" s="149">
        <f>T392</f>
        <v>2.6797949423480079</v>
      </c>
      <c r="K439" s="254">
        <f t="shared" ref="K439:AD452" si="378">IF(OR(EOMONTH(K$5,2)-$F439&lt;0,EOMONTH(K$5,2)-$F439&gt;365+91),0,MIN((EOMONTH(K$5,2)-$F439),IF(-(EOMONTH(K$5,-13)-$F439)&gt;=0,-(EOMONTH(K$5,-13)-$F439),91),91)/365*$H439)</f>
        <v>0</v>
      </c>
      <c r="L439" s="254">
        <f t="shared" si="378"/>
        <v>0</v>
      </c>
      <c r="M439" s="254">
        <f t="shared" si="378"/>
        <v>0</v>
      </c>
      <c r="N439" s="254">
        <f t="shared" si="378"/>
        <v>0</v>
      </c>
      <c r="O439" s="254">
        <f t="shared" si="378"/>
        <v>0</v>
      </c>
      <c r="P439" s="254">
        <f t="shared" si="378"/>
        <v>0</v>
      </c>
      <c r="Q439" s="254">
        <f t="shared" si="378"/>
        <v>0</v>
      </c>
      <c r="R439" s="254">
        <f t="shared" si="378"/>
        <v>0</v>
      </c>
      <c r="S439" s="254">
        <f t="shared" si="378"/>
        <v>0</v>
      </c>
      <c r="T439" s="254">
        <f t="shared" si="378"/>
        <v>0.32480915015294592</v>
      </c>
      <c r="U439" s="254">
        <f t="shared" si="378"/>
        <v>3.6947040829897597</v>
      </c>
      <c r="V439" s="254">
        <f t="shared" si="378"/>
        <v>3.6947040829897597</v>
      </c>
      <c r="W439" s="254">
        <f t="shared" si="378"/>
        <v>3.6947040829897597</v>
      </c>
      <c r="X439" s="254">
        <f t="shared" si="378"/>
        <v>3.369894932836814</v>
      </c>
      <c r="Y439" s="254">
        <f t="shared" si="378"/>
        <v>0</v>
      </c>
      <c r="Z439" s="254">
        <f t="shared" si="378"/>
        <v>0</v>
      </c>
      <c r="AA439" s="254">
        <f t="shared" si="378"/>
        <v>0</v>
      </c>
      <c r="AB439" s="254">
        <f t="shared" si="378"/>
        <v>0</v>
      </c>
      <c r="AC439" s="254">
        <f t="shared" si="378"/>
        <v>0</v>
      </c>
      <c r="AD439" s="254">
        <f t="shared" si="378"/>
        <v>0</v>
      </c>
      <c r="AE439" s="7"/>
    </row>
    <row r="440" spans="4:31" ht="15" hidden="1" customHeight="1" outlineLevel="1">
      <c r="D440" s="251" t="str">
        <f>U395</f>
        <v>Vicom Infinity Sys</v>
      </c>
      <c r="F440" s="253">
        <v>44438</v>
      </c>
      <c r="G440" s="7">
        <f>U413</f>
        <v>13.988999999999999</v>
      </c>
      <c r="H440" s="7">
        <f>U414*4</f>
        <v>70.158169934640526</v>
      </c>
      <c r="I440" s="149">
        <f>U416</f>
        <v>0.19939231614838551</v>
      </c>
      <c r="K440" s="254">
        <f t="shared" si="378"/>
        <v>0</v>
      </c>
      <c r="L440" s="254">
        <f t="shared" si="378"/>
        <v>0</v>
      </c>
      <c r="M440" s="254">
        <f t="shared" si="378"/>
        <v>0</v>
      </c>
      <c r="N440" s="254">
        <f t="shared" si="378"/>
        <v>0</v>
      </c>
      <c r="O440" s="254">
        <f t="shared" si="378"/>
        <v>0</v>
      </c>
      <c r="P440" s="254">
        <f t="shared" si="378"/>
        <v>0</v>
      </c>
      <c r="Q440" s="254">
        <f t="shared" si="378"/>
        <v>0</v>
      </c>
      <c r="R440" s="254">
        <f t="shared" si="378"/>
        <v>0</v>
      </c>
      <c r="S440" s="254">
        <f t="shared" si="378"/>
        <v>0</v>
      </c>
      <c r="T440" s="254">
        <f t="shared" si="378"/>
        <v>0</v>
      </c>
      <c r="U440" s="254">
        <f t="shared" si="378"/>
        <v>5.9586390903393323</v>
      </c>
      <c r="V440" s="254">
        <f t="shared" si="378"/>
        <v>17.491488942609006</v>
      </c>
      <c r="W440" s="254">
        <f t="shared" si="378"/>
        <v>17.491488942609006</v>
      </c>
      <c r="X440" s="254">
        <f t="shared" si="378"/>
        <v>17.491488942609006</v>
      </c>
      <c r="Y440" s="254">
        <f t="shared" si="378"/>
        <v>11.725064016474171</v>
      </c>
      <c r="Z440" s="254">
        <f t="shared" si="378"/>
        <v>0</v>
      </c>
      <c r="AA440" s="254">
        <f t="shared" si="378"/>
        <v>0</v>
      </c>
      <c r="AB440" s="254">
        <f t="shared" si="378"/>
        <v>0</v>
      </c>
      <c r="AC440" s="254">
        <f t="shared" si="378"/>
        <v>0</v>
      </c>
      <c r="AD440" s="254">
        <f t="shared" si="378"/>
        <v>0</v>
      </c>
      <c r="AE440" s="7"/>
    </row>
    <row r="441" spans="4:31" ht="15" hidden="1" customHeight="1" outlineLevel="1">
      <c r="D441" s="251" t="str">
        <f>U299</f>
        <v>Infinity Sys Solutions</v>
      </c>
      <c r="F441" s="253">
        <v>44438</v>
      </c>
      <c r="G441" s="7">
        <f>U317</f>
        <v>3.6030000000000002</v>
      </c>
      <c r="H441" s="7">
        <f>U318*4</f>
        <v>7.9437908496732019</v>
      </c>
      <c r="I441" s="149">
        <f>U320</f>
        <v>0.45356179035708416</v>
      </c>
      <c r="K441" s="254">
        <f t="shared" si="378"/>
        <v>0</v>
      </c>
      <c r="L441" s="254">
        <f t="shared" si="378"/>
        <v>0</v>
      </c>
      <c r="M441" s="254">
        <f t="shared" si="378"/>
        <v>0</v>
      </c>
      <c r="N441" s="254">
        <f t="shared" si="378"/>
        <v>0</v>
      </c>
      <c r="O441" s="254">
        <f t="shared" si="378"/>
        <v>0</v>
      </c>
      <c r="P441" s="254">
        <f t="shared" si="378"/>
        <v>0</v>
      </c>
      <c r="Q441" s="254">
        <f t="shared" si="378"/>
        <v>0</v>
      </c>
      <c r="R441" s="254">
        <f t="shared" si="378"/>
        <v>0</v>
      </c>
      <c r="S441" s="254">
        <f t="shared" si="378"/>
        <v>0</v>
      </c>
      <c r="T441" s="254">
        <f t="shared" si="378"/>
        <v>0</v>
      </c>
      <c r="U441" s="254">
        <f t="shared" si="378"/>
        <v>0.6746781269585459</v>
      </c>
      <c r="V441" s="254">
        <f t="shared" si="378"/>
        <v>1.980506759781538</v>
      </c>
      <c r="W441" s="254">
        <f t="shared" si="378"/>
        <v>1.980506759781538</v>
      </c>
      <c r="X441" s="254">
        <f t="shared" si="378"/>
        <v>1.980506759781538</v>
      </c>
      <c r="Y441" s="254">
        <f t="shared" si="378"/>
        <v>1.3275924433700421</v>
      </c>
      <c r="Z441" s="254">
        <f>IF(OR(EOMONTH(Z$5,2)-$F441&lt;0,EOMONTH(Z$5,2)-$F441&gt;365+91),0,MIN((EOMONTH(Z$5,2)-$F441),IF(-(EOMONTH(Z$5,-13)-$F441)&gt;=0,-(EOMONTH(Z$5,-13)-$F441),91),91)/365*$H441)</f>
        <v>0</v>
      </c>
      <c r="AA441" s="254">
        <f>IF(OR(EOMONTH(AA$5,2)-$F441&lt;0,EOMONTH(AA$5,2)-$F441&gt;365+91),0,MIN((EOMONTH(AA$5,2)-$F441),IF(-(EOMONTH(AA$5,-13)-$F441)&gt;=0,-(EOMONTH(AA$5,-13)-$F441),91),91)/365*$H441)</f>
        <v>0</v>
      </c>
      <c r="AB441" s="254">
        <f>IF(OR(EOMONTH(AB$5,2)-$F441&lt;0,EOMONTH(AB$5,2)-$F441&gt;365+91),0,MIN((EOMONTH(AB$5,2)-$F441),IF(-(EOMONTH(AB$5,-13)-$F441)&gt;=0,-(EOMONTH(AB$5,-13)-$F441),91),91)/365*$H441)</f>
        <v>0</v>
      </c>
      <c r="AC441" s="254">
        <f>IF(OR(EOMONTH(AC$5,2)-$F441&lt;0,EOMONTH(AC$5,2)-$F441&gt;365+91),0,MIN((EOMONTH(AC$5,2)-$F441),IF(-(EOMONTH(AC$5,-13)-$F441)&gt;=0,-(EOMONTH(AC$5,-13)-$F441),91),91)/365*$H441)</f>
        <v>0</v>
      </c>
      <c r="AD441" s="254">
        <f>IF(OR(EOMONTH(AD$5,2)-$F441&lt;0,EOMONTH(AD$5,2)-$F441&gt;365+91),0,MIN((EOMONTH(AD$5,2)-$F441),IF(-(EOMONTH(AD$5,-13)-$F441)&gt;=0,-(EOMONTH(AD$5,-13)-$F441),91),91)/365*$H441)</f>
        <v>0</v>
      </c>
      <c r="AE441" s="7"/>
    </row>
    <row r="442" spans="4:31" ht="15" hidden="1" customHeight="1" outlineLevel="1">
      <c r="D442" s="251" t="str">
        <f>U323</f>
        <v>Rednet</v>
      </c>
      <c r="F442" s="253">
        <v>44412</v>
      </c>
      <c r="G442" s="7">
        <f>U341</f>
        <v>186.51599999999999</v>
      </c>
      <c r="H442" s="7">
        <f>U342*4</f>
        <v>244.96071428571426</v>
      </c>
      <c r="I442" s="149">
        <f>U344</f>
        <v>0.7614118882036478</v>
      </c>
      <c r="K442" s="254">
        <f t="shared" ref="K442:AD442" si="379">IF(OR(EOMONTH(K$5,2)-$F442&lt;0,EOMONTH(K$5,2)-$F442&gt;365+91),0,MIN((EOMONTH(K$5,2)-$F442),IF(-(EOMONTH(K$5,-13)-$F442)&gt;=0,-(EOMONTH(K$5,-13)-$F442),91),91)/365*$H442)</f>
        <v>0</v>
      </c>
      <c r="L442" s="254">
        <f t="shared" si="379"/>
        <v>0</v>
      </c>
      <c r="M442" s="254">
        <f t="shared" si="379"/>
        <v>0</v>
      </c>
      <c r="N442" s="254">
        <f t="shared" si="379"/>
        <v>0</v>
      </c>
      <c r="O442" s="254">
        <f t="shared" si="379"/>
        <v>0</v>
      </c>
      <c r="P442" s="254">
        <f t="shared" si="379"/>
        <v>0</v>
      </c>
      <c r="Q442" s="254">
        <f t="shared" si="379"/>
        <v>0</v>
      </c>
      <c r="R442" s="254">
        <f t="shared" si="379"/>
        <v>0</v>
      </c>
      <c r="S442" s="254">
        <f t="shared" si="379"/>
        <v>0</v>
      </c>
      <c r="T442" s="254">
        <f t="shared" si="379"/>
        <v>0</v>
      </c>
      <c r="U442" s="254">
        <f t="shared" si="379"/>
        <v>38.254138943248527</v>
      </c>
      <c r="V442" s="254">
        <f t="shared" si="379"/>
        <v>61.072397260273966</v>
      </c>
      <c r="W442" s="254">
        <f t="shared" si="379"/>
        <v>61.072397260273966</v>
      </c>
      <c r="X442" s="254">
        <f t="shared" si="379"/>
        <v>61.072397260273966</v>
      </c>
      <c r="Y442" s="254">
        <f t="shared" si="379"/>
        <v>23.48938356164383</v>
      </c>
      <c r="Z442" s="254">
        <f t="shared" si="379"/>
        <v>0</v>
      </c>
      <c r="AA442" s="254">
        <f t="shared" si="379"/>
        <v>0</v>
      </c>
      <c r="AB442" s="254">
        <f t="shared" si="379"/>
        <v>0</v>
      </c>
      <c r="AC442" s="254">
        <f t="shared" si="379"/>
        <v>0</v>
      </c>
      <c r="AD442" s="254">
        <f t="shared" si="379"/>
        <v>0</v>
      </c>
      <c r="AE442" s="7"/>
    </row>
    <row r="443" spans="4:31" ht="15" hidden="1" customHeight="1" outlineLevel="1">
      <c r="D443" s="251"/>
      <c r="G443" s="253"/>
      <c r="H443" s="7"/>
      <c r="I443" s="7"/>
      <c r="J443" s="149"/>
      <c r="K443" s="254"/>
      <c r="L443" s="254"/>
      <c r="M443" s="254"/>
      <c r="N443" s="254"/>
      <c r="O443" s="254"/>
      <c r="P443" s="254"/>
      <c r="Q443" s="254"/>
      <c r="R443" s="254"/>
      <c r="S443" s="254"/>
      <c r="T443" s="254"/>
      <c r="U443" s="254"/>
      <c r="V443" s="254"/>
      <c r="W443" s="254"/>
      <c r="X443" s="254"/>
      <c r="Y443" s="254"/>
      <c r="Z443" s="254"/>
      <c r="AA443" s="254"/>
      <c r="AB443" s="254"/>
      <c r="AC443" s="254"/>
      <c r="AD443" s="254"/>
      <c r="AE443" s="7"/>
    </row>
    <row r="444" spans="4:31" ht="15" hidden="1" customHeight="1" outlineLevel="1">
      <c r="D444" s="251" t="str">
        <f>V3</f>
        <v>Q4/21</v>
      </c>
      <c r="F444" s="252">
        <f>AVERAGE(V5, EOMONTH(V5,2)+1)</f>
        <v>44516</v>
      </c>
      <c r="G444" s="7">
        <f t="shared" ref="G444:G452" si="380">INDEX($G$274:$AD$274,1,MATCH($D444,$G$3:$AD$3,0))</f>
        <v>12.013324171316841</v>
      </c>
      <c r="H444" s="7">
        <f t="shared" ref="H444:H452" si="381">INDEX($G$282:$AD$282,1,MATCH($D444,$G$3:$AD$3,0))*4</f>
        <v>30</v>
      </c>
      <c r="I444" s="149">
        <f t="shared" ref="I444:I452" si="382">INDEX($G$283:$AD$283,1,MATCH($D444,$G$3:$AD$3,0))</f>
        <v>0.5</v>
      </c>
      <c r="J444" s="149"/>
      <c r="K444" s="254">
        <f t="shared" si="378"/>
        <v>0</v>
      </c>
      <c r="L444" s="254">
        <f t="shared" si="378"/>
        <v>0</v>
      </c>
      <c r="M444" s="254">
        <f t="shared" si="378"/>
        <v>0</v>
      </c>
      <c r="N444" s="254">
        <f t="shared" si="378"/>
        <v>0</v>
      </c>
      <c r="O444" s="254">
        <f t="shared" si="378"/>
        <v>0</v>
      </c>
      <c r="P444" s="254">
        <f t="shared" si="378"/>
        <v>0</v>
      </c>
      <c r="Q444" s="254">
        <f t="shared" si="378"/>
        <v>0</v>
      </c>
      <c r="R444" s="254">
        <f t="shared" si="378"/>
        <v>0</v>
      </c>
      <c r="S444" s="254">
        <f t="shared" si="378"/>
        <v>0</v>
      </c>
      <c r="T444" s="254">
        <f t="shared" si="378"/>
        <v>0</v>
      </c>
      <c r="U444" s="254">
        <f t="shared" si="378"/>
        <v>0</v>
      </c>
      <c r="V444" s="254">
        <f>IF(OR(EOMONTH(V$5,2)-$F444&lt;0,EOMONTH(V$5,2)-$F444&gt;365+91),0,MIN((EOMONTH(V$5,2)-$F444),IF(-(EOMONTH(V$5,-13)-$F444)&gt;=0,-(EOMONTH(V$5,-13)-$F444),91),91)/365*$H444)</f>
        <v>3.6986301369863011</v>
      </c>
      <c r="W444" s="254">
        <f t="shared" si="378"/>
        <v>7.4794520547945202</v>
      </c>
      <c r="X444" s="254">
        <f t="shared" si="378"/>
        <v>7.4794520547945202</v>
      </c>
      <c r="Y444" s="254">
        <f t="shared" si="378"/>
        <v>7.4794520547945202</v>
      </c>
      <c r="Z444" s="254">
        <f t="shared" si="378"/>
        <v>3.8630136986301369</v>
      </c>
      <c r="AA444" s="254">
        <f t="shared" si="378"/>
        <v>0</v>
      </c>
      <c r="AB444" s="254">
        <f t="shared" si="378"/>
        <v>0</v>
      </c>
      <c r="AC444" s="254">
        <f t="shared" si="378"/>
        <v>0</v>
      </c>
      <c r="AD444" s="254">
        <f t="shared" si="378"/>
        <v>0</v>
      </c>
      <c r="AE444" s="7"/>
    </row>
    <row r="445" spans="4:31" ht="15" hidden="1" customHeight="1" outlineLevel="1">
      <c r="D445" s="251" t="str">
        <f>W3</f>
        <v>Q1/22</v>
      </c>
      <c r="F445" s="252">
        <f>AVERAGE(W5, EOMONTH(W5,2)+1)</f>
        <v>44607</v>
      </c>
      <c r="G445" s="7">
        <f t="shared" si="380"/>
        <v>36.440416652994422</v>
      </c>
      <c r="H445" s="7">
        <f t="shared" si="381"/>
        <v>130</v>
      </c>
      <c r="I445" s="149">
        <f t="shared" si="382"/>
        <v>0.35</v>
      </c>
      <c r="J445" s="149"/>
      <c r="K445" s="254">
        <f t="shared" si="378"/>
        <v>0</v>
      </c>
      <c r="L445" s="254">
        <f t="shared" si="378"/>
        <v>0</v>
      </c>
      <c r="M445" s="254">
        <f t="shared" si="378"/>
        <v>0</v>
      </c>
      <c r="N445" s="254">
        <f t="shared" si="378"/>
        <v>0</v>
      </c>
      <c r="O445" s="254">
        <f t="shared" si="378"/>
        <v>0</v>
      </c>
      <c r="P445" s="254">
        <f t="shared" si="378"/>
        <v>0</v>
      </c>
      <c r="Q445" s="254">
        <f t="shared" si="378"/>
        <v>0</v>
      </c>
      <c r="R445" s="254">
        <f t="shared" si="378"/>
        <v>0</v>
      </c>
      <c r="S445" s="254">
        <f t="shared" si="378"/>
        <v>0</v>
      </c>
      <c r="T445" s="254">
        <f t="shared" si="378"/>
        <v>0</v>
      </c>
      <c r="U445" s="254">
        <f t="shared" si="378"/>
        <v>0</v>
      </c>
      <c r="V445" s="254">
        <f t="shared" si="378"/>
        <v>0</v>
      </c>
      <c r="W445" s="254">
        <f t="shared" si="378"/>
        <v>15.671232876712329</v>
      </c>
      <c r="X445" s="254">
        <f t="shared" si="378"/>
        <v>32.410958904109592</v>
      </c>
      <c r="Y445" s="254">
        <f t="shared" si="378"/>
        <v>32.410958904109592</v>
      </c>
      <c r="Z445" s="254">
        <f t="shared" si="378"/>
        <v>32.410958904109592</v>
      </c>
      <c r="AA445" s="254">
        <f t="shared" si="378"/>
        <v>16.383561643835616</v>
      </c>
      <c r="AB445" s="254">
        <f t="shared" si="378"/>
        <v>0</v>
      </c>
      <c r="AC445" s="254">
        <f t="shared" si="378"/>
        <v>0</v>
      </c>
      <c r="AD445" s="254">
        <f t="shared" si="378"/>
        <v>0</v>
      </c>
      <c r="AE445" s="7"/>
    </row>
    <row r="446" spans="4:31" ht="15" hidden="1" customHeight="1" outlineLevel="1">
      <c r="D446" s="251" t="str">
        <f>X3</f>
        <v>Q2/22</v>
      </c>
      <c r="F446" s="252">
        <f>AVERAGE(X5, EOMONTH(X5,2)+1)</f>
        <v>44697.5</v>
      </c>
      <c r="G446" s="7">
        <f t="shared" si="380"/>
        <v>36.960994033751483</v>
      </c>
      <c r="H446" s="7">
        <f t="shared" si="381"/>
        <v>130</v>
      </c>
      <c r="I446" s="149">
        <f t="shared" si="382"/>
        <v>0.35499999999999998</v>
      </c>
      <c r="J446" s="149"/>
      <c r="K446" s="254">
        <f t="shared" si="378"/>
        <v>0</v>
      </c>
      <c r="L446" s="254">
        <f t="shared" si="378"/>
        <v>0</v>
      </c>
      <c r="M446" s="254">
        <f t="shared" si="378"/>
        <v>0</v>
      </c>
      <c r="N446" s="254">
        <f t="shared" si="378"/>
        <v>0</v>
      </c>
      <c r="O446" s="254">
        <f t="shared" si="378"/>
        <v>0</v>
      </c>
      <c r="P446" s="254">
        <f t="shared" si="378"/>
        <v>0</v>
      </c>
      <c r="Q446" s="254">
        <f t="shared" si="378"/>
        <v>0</v>
      </c>
      <c r="R446" s="254">
        <f t="shared" si="378"/>
        <v>0</v>
      </c>
      <c r="S446" s="254">
        <f t="shared" si="378"/>
        <v>0</v>
      </c>
      <c r="T446" s="254">
        <f t="shared" si="378"/>
        <v>0</v>
      </c>
      <c r="U446" s="254">
        <f t="shared" si="378"/>
        <v>0</v>
      </c>
      <c r="V446" s="254">
        <f t="shared" si="378"/>
        <v>0</v>
      </c>
      <c r="W446" s="254">
        <f t="shared" si="378"/>
        <v>0</v>
      </c>
      <c r="X446" s="254">
        <f t="shared" si="378"/>
        <v>15.849315068493151</v>
      </c>
      <c r="Y446" s="254">
        <f t="shared" si="378"/>
        <v>32.410958904109592</v>
      </c>
      <c r="Z446" s="254">
        <f t="shared" si="378"/>
        <v>32.410958904109592</v>
      </c>
      <c r="AA446" s="254">
        <f t="shared" si="378"/>
        <v>32.410958904109592</v>
      </c>
      <c r="AB446" s="254">
        <f t="shared" si="378"/>
        <v>16.56164383561644</v>
      </c>
      <c r="AC446" s="254">
        <f t="shared" si="378"/>
        <v>0</v>
      </c>
      <c r="AD446" s="254">
        <f t="shared" si="378"/>
        <v>0</v>
      </c>
      <c r="AE446" s="7"/>
    </row>
    <row r="447" spans="4:31" ht="15" hidden="1" customHeight="1" outlineLevel="1">
      <c r="D447" s="251" t="str">
        <f>Y3</f>
        <v>Q3/22</v>
      </c>
      <c r="F447" s="252">
        <f>AVERAGE(Y5, EOMONTH(Y5,2)+1)</f>
        <v>44789</v>
      </c>
      <c r="G447" s="7">
        <f t="shared" si="380"/>
        <v>37.481571414508544</v>
      </c>
      <c r="H447" s="7">
        <f t="shared" si="381"/>
        <v>130</v>
      </c>
      <c r="I447" s="149">
        <f t="shared" si="382"/>
        <v>0.36</v>
      </c>
      <c r="J447" s="149"/>
      <c r="K447" s="254">
        <f t="shared" si="378"/>
        <v>0</v>
      </c>
      <c r="L447" s="254">
        <f t="shared" si="378"/>
        <v>0</v>
      </c>
      <c r="M447" s="254">
        <f t="shared" si="378"/>
        <v>0</v>
      </c>
      <c r="N447" s="254">
        <f t="shared" si="378"/>
        <v>0</v>
      </c>
      <c r="O447" s="254">
        <f t="shared" si="378"/>
        <v>0</v>
      </c>
      <c r="P447" s="254">
        <f t="shared" si="378"/>
        <v>0</v>
      </c>
      <c r="Q447" s="254">
        <f t="shared" si="378"/>
        <v>0</v>
      </c>
      <c r="R447" s="254">
        <f t="shared" si="378"/>
        <v>0</v>
      </c>
      <c r="S447" s="254">
        <f t="shared" si="378"/>
        <v>0</v>
      </c>
      <c r="T447" s="254">
        <f t="shared" si="378"/>
        <v>0</v>
      </c>
      <c r="U447" s="254">
        <f t="shared" si="378"/>
        <v>0</v>
      </c>
      <c r="V447" s="254">
        <f t="shared" si="378"/>
        <v>0</v>
      </c>
      <c r="W447" s="254">
        <f t="shared" si="378"/>
        <v>0</v>
      </c>
      <c r="X447" s="254">
        <f t="shared" si="378"/>
        <v>0</v>
      </c>
      <c r="Y447" s="254">
        <f t="shared" si="378"/>
        <v>16.027397260273972</v>
      </c>
      <c r="Z447" s="254">
        <f t="shared" si="378"/>
        <v>32.410958904109592</v>
      </c>
      <c r="AA447" s="254">
        <f t="shared" si="378"/>
        <v>32.410958904109592</v>
      </c>
      <c r="AB447" s="254">
        <f t="shared" si="378"/>
        <v>32.410958904109592</v>
      </c>
      <c r="AC447" s="254">
        <f t="shared" si="378"/>
        <v>16.739726027397261</v>
      </c>
      <c r="AD447" s="254">
        <f t="shared" si="378"/>
        <v>0</v>
      </c>
      <c r="AE447" s="7"/>
    </row>
    <row r="448" spans="4:31" ht="15" hidden="1" customHeight="1" outlineLevel="1">
      <c r="D448" s="251" t="str">
        <f>Z3</f>
        <v>Q4/22</v>
      </c>
      <c r="F448" s="252">
        <f>AVERAGE(Z5, EOMONTH(Z5,2)+1)</f>
        <v>44881</v>
      </c>
      <c r="G448" s="7">
        <f t="shared" si="380"/>
        <v>38.002148795265605</v>
      </c>
      <c r="H448" s="7">
        <f t="shared" si="381"/>
        <v>130</v>
      </c>
      <c r="I448" s="149">
        <f t="shared" si="382"/>
        <v>0.36499999999999999</v>
      </c>
      <c r="J448" s="149"/>
      <c r="K448" s="254">
        <f t="shared" si="378"/>
        <v>0</v>
      </c>
      <c r="L448" s="254">
        <f t="shared" si="378"/>
        <v>0</v>
      </c>
      <c r="M448" s="254">
        <f t="shared" si="378"/>
        <v>0</v>
      </c>
      <c r="N448" s="254">
        <f t="shared" si="378"/>
        <v>0</v>
      </c>
      <c r="O448" s="254">
        <f t="shared" si="378"/>
        <v>0</v>
      </c>
      <c r="P448" s="254">
        <f t="shared" si="378"/>
        <v>0</v>
      </c>
      <c r="Q448" s="254">
        <f t="shared" si="378"/>
        <v>0</v>
      </c>
      <c r="R448" s="254">
        <f t="shared" si="378"/>
        <v>0</v>
      </c>
      <c r="S448" s="254">
        <f t="shared" si="378"/>
        <v>0</v>
      </c>
      <c r="T448" s="254">
        <f t="shared" si="378"/>
        <v>0</v>
      </c>
      <c r="U448" s="254">
        <f t="shared" si="378"/>
        <v>0</v>
      </c>
      <c r="V448" s="254">
        <f t="shared" si="378"/>
        <v>0</v>
      </c>
      <c r="W448" s="254">
        <f t="shared" si="378"/>
        <v>0</v>
      </c>
      <c r="X448" s="254">
        <f t="shared" si="378"/>
        <v>0</v>
      </c>
      <c r="Y448" s="254">
        <f t="shared" si="378"/>
        <v>0</v>
      </c>
      <c r="Z448" s="254">
        <f t="shared" si="378"/>
        <v>16.027397260273972</v>
      </c>
      <c r="AA448" s="254">
        <f t="shared" si="378"/>
        <v>32.410958904109592</v>
      </c>
      <c r="AB448" s="254">
        <f t="shared" si="378"/>
        <v>32.410958904109592</v>
      </c>
      <c r="AC448" s="254">
        <f t="shared" si="378"/>
        <v>32.410958904109592</v>
      </c>
      <c r="AD448" s="254">
        <f t="shared" si="378"/>
        <v>16.739726027397261</v>
      </c>
      <c r="AE448" s="7"/>
    </row>
    <row r="449" spans="1:31" ht="15" hidden="1" customHeight="1" outlineLevel="1">
      <c r="D449" s="251" t="str">
        <f>AA3</f>
        <v>Q1/23</v>
      </c>
      <c r="F449" s="252">
        <f>AVERAGE(AA5, EOMONTH(AA5,2)+1)</f>
        <v>44972</v>
      </c>
      <c r="G449" s="7">
        <f t="shared" si="380"/>
        <v>51.857516006184362</v>
      </c>
      <c r="H449" s="7">
        <f t="shared" si="381"/>
        <v>175</v>
      </c>
      <c r="I449" s="149">
        <f t="shared" si="382"/>
        <v>0.37</v>
      </c>
      <c r="J449" s="149"/>
      <c r="K449" s="254">
        <f t="shared" si="378"/>
        <v>0</v>
      </c>
      <c r="L449" s="254">
        <f t="shared" si="378"/>
        <v>0</v>
      </c>
      <c r="M449" s="254">
        <f t="shared" si="378"/>
        <v>0</v>
      </c>
      <c r="N449" s="254">
        <f t="shared" si="378"/>
        <v>0</v>
      </c>
      <c r="O449" s="254">
        <f t="shared" si="378"/>
        <v>0</v>
      </c>
      <c r="P449" s="254">
        <f t="shared" si="378"/>
        <v>0</v>
      </c>
      <c r="Q449" s="254">
        <f t="shared" si="378"/>
        <v>0</v>
      </c>
      <c r="R449" s="254">
        <f t="shared" si="378"/>
        <v>0</v>
      </c>
      <c r="S449" s="254">
        <f t="shared" si="378"/>
        <v>0</v>
      </c>
      <c r="T449" s="254">
        <f t="shared" si="378"/>
        <v>0</v>
      </c>
      <c r="U449" s="254">
        <f t="shared" si="378"/>
        <v>0</v>
      </c>
      <c r="V449" s="254">
        <f t="shared" si="378"/>
        <v>0</v>
      </c>
      <c r="W449" s="254">
        <f t="shared" si="378"/>
        <v>0</v>
      </c>
      <c r="X449" s="254">
        <f t="shared" si="378"/>
        <v>0</v>
      </c>
      <c r="Y449" s="254">
        <f t="shared" si="378"/>
        <v>0</v>
      </c>
      <c r="Z449" s="254">
        <f t="shared" si="378"/>
        <v>0</v>
      </c>
      <c r="AA449" s="254">
        <f t="shared" si="378"/>
        <v>21.095890410958905</v>
      </c>
      <c r="AB449" s="254">
        <f t="shared" si="378"/>
        <v>43.630136986301373</v>
      </c>
      <c r="AC449" s="254">
        <f t="shared" si="378"/>
        <v>43.630136986301373</v>
      </c>
      <c r="AD449" s="254">
        <f t="shared" si="378"/>
        <v>43.630136986301373</v>
      </c>
      <c r="AE449" s="7"/>
    </row>
    <row r="450" spans="1:31" ht="15" hidden="1" customHeight="1" outlineLevel="1">
      <c r="D450" s="251" t="str">
        <f>AB3</f>
        <v>Q2/23</v>
      </c>
      <c r="F450" s="252">
        <f>AVERAGE(AB5, EOMONTH(AB5,2)+1)</f>
        <v>45062.5</v>
      </c>
      <c r="G450" s="7">
        <f t="shared" si="380"/>
        <v>52.558293249511181</v>
      </c>
      <c r="H450" s="7">
        <f t="shared" si="381"/>
        <v>175</v>
      </c>
      <c r="I450" s="149">
        <f t="shared" si="382"/>
        <v>0.375</v>
      </c>
      <c r="J450" s="149"/>
      <c r="K450" s="254">
        <f t="shared" si="378"/>
        <v>0</v>
      </c>
      <c r="L450" s="254">
        <f t="shared" si="378"/>
        <v>0</v>
      </c>
      <c r="M450" s="254">
        <f t="shared" si="378"/>
        <v>0</v>
      </c>
      <c r="N450" s="254">
        <f t="shared" si="378"/>
        <v>0</v>
      </c>
      <c r="O450" s="254">
        <f t="shared" si="378"/>
        <v>0</v>
      </c>
      <c r="P450" s="254">
        <f t="shared" si="378"/>
        <v>0</v>
      </c>
      <c r="Q450" s="254">
        <f t="shared" si="378"/>
        <v>0</v>
      </c>
      <c r="R450" s="254">
        <f t="shared" si="378"/>
        <v>0</v>
      </c>
      <c r="S450" s="254">
        <f t="shared" si="378"/>
        <v>0</v>
      </c>
      <c r="T450" s="254">
        <f t="shared" si="378"/>
        <v>0</v>
      </c>
      <c r="U450" s="254">
        <f t="shared" si="378"/>
        <v>0</v>
      </c>
      <c r="V450" s="254">
        <f t="shared" si="378"/>
        <v>0</v>
      </c>
      <c r="W450" s="254">
        <f t="shared" si="378"/>
        <v>0</v>
      </c>
      <c r="X450" s="254">
        <f t="shared" si="378"/>
        <v>0</v>
      </c>
      <c r="Y450" s="254">
        <f t="shared" si="378"/>
        <v>0</v>
      </c>
      <c r="Z450" s="254">
        <f t="shared" si="378"/>
        <v>0</v>
      </c>
      <c r="AA450" s="254">
        <f t="shared" si="378"/>
        <v>0</v>
      </c>
      <c r="AB450" s="254">
        <f t="shared" si="378"/>
        <v>21.335616438356166</v>
      </c>
      <c r="AC450" s="254">
        <f t="shared" si="378"/>
        <v>43.630136986301373</v>
      </c>
      <c r="AD450" s="254">
        <f t="shared" si="378"/>
        <v>43.630136986301373</v>
      </c>
      <c r="AE450" s="7"/>
    </row>
    <row r="451" spans="1:31" ht="15" hidden="1" customHeight="1" outlineLevel="1">
      <c r="D451" s="251" t="str">
        <f>AC3</f>
        <v>Q3/23</v>
      </c>
      <c r="F451" s="252">
        <f>AVERAGE(AC5, EOMONTH(AC5,2)+1)</f>
        <v>45154</v>
      </c>
      <c r="G451" s="7">
        <f t="shared" si="380"/>
        <v>53.259070492837999</v>
      </c>
      <c r="H451" s="7">
        <f t="shared" si="381"/>
        <v>175</v>
      </c>
      <c r="I451" s="149">
        <f t="shared" si="382"/>
        <v>0.38</v>
      </c>
      <c r="J451" s="149"/>
      <c r="K451" s="254">
        <f t="shared" si="378"/>
        <v>0</v>
      </c>
      <c r="L451" s="254">
        <f t="shared" si="378"/>
        <v>0</v>
      </c>
      <c r="M451" s="254">
        <f t="shared" si="378"/>
        <v>0</v>
      </c>
      <c r="N451" s="254">
        <f t="shared" si="378"/>
        <v>0</v>
      </c>
      <c r="O451" s="254">
        <f t="shared" si="378"/>
        <v>0</v>
      </c>
      <c r="P451" s="254">
        <f t="shared" si="378"/>
        <v>0</v>
      </c>
      <c r="Q451" s="254">
        <f t="shared" si="378"/>
        <v>0</v>
      </c>
      <c r="R451" s="254">
        <f t="shared" si="378"/>
        <v>0</v>
      </c>
      <c r="S451" s="254">
        <f t="shared" si="378"/>
        <v>0</v>
      </c>
      <c r="T451" s="254">
        <f t="shared" si="378"/>
        <v>0</v>
      </c>
      <c r="U451" s="254">
        <f t="shared" si="378"/>
        <v>0</v>
      </c>
      <c r="V451" s="254">
        <f t="shared" si="378"/>
        <v>0</v>
      </c>
      <c r="W451" s="254">
        <f t="shared" si="378"/>
        <v>0</v>
      </c>
      <c r="X451" s="254">
        <f t="shared" si="378"/>
        <v>0</v>
      </c>
      <c r="Y451" s="254">
        <f t="shared" si="378"/>
        <v>0</v>
      </c>
      <c r="Z451" s="254">
        <f t="shared" si="378"/>
        <v>0</v>
      </c>
      <c r="AA451" s="254">
        <f t="shared" si="378"/>
        <v>0</v>
      </c>
      <c r="AB451" s="254">
        <f t="shared" si="378"/>
        <v>0</v>
      </c>
      <c r="AC451" s="254">
        <f t="shared" si="378"/>
        <v>21.575342465753423</v>
      </c>
      <c r="AD451" s="254">
        <f t="shared" si="378"/>
        <v>43.630136986301373</v>
      </c>
      <c r="AE451" s="7"/>
    </row>
    <row r="452" spans="1:31" ht="15" hidden="1" customHeight="1" outlineLevel="1">
      <c r="D452" s="251" t="str">
        <f>AD3</f>
        <v>Q4/23</v>
      </c>
      <c r="F452" s="252">
        <f>AVERAGE(AD5, EOMONTH(AD5,2)+1)</f>
        <v>45246</v>
      </c>
      <c r="G452" s="7">
        <f t="shared" si="380"/>
        <v>53.959847736164811</v>
      </c>
      <c r="H452" s="7">
        <f t="shared" si="381"/>
        <v>175</v>
      </c>
      <c r="I452" s="149">
        <f t="shared" si="382"/>
        <v>0.38500000000000001</v>
      </c>
      <c r="J452" s="149"/>
      <c r="K452" s="254">
        <f t="shared" si="378"/>
        <v>0</v>
      </c>
      <c r="L452" s="254">
        <f t="shared" si="378"/>
        <v>0</v>
      </c>
      <c r="M452" s="254">
        <f t="shared" si="378"/>
        <v>0</v>
      </c>
      <c r="N452" s="254">
        <f t="shared" si="378"/>
        <v>0</v>
      </c>
      <c r="O452" s="254">
        <f t="shared" si="378"/>
        <v>0</v>
      </c>
      <c r="P452" s="254">
        <f t="shared" si="378"/>
        <v>0</v>
      </c>
      <c r="Q452" s="254">
        <f t="shared" si="378"/>
        <v>0</v>
      </c>
      <c r="R452" s="254">
        <f t="shared" si="378"/>
        <v>0</v>
      </c>
      <c r="S452" s="254">
        <f t="shared" si="378"/>
        <v>0</v>
      </c>
      <c r="T452" s="254">
        <f t="shared" si="378"/>
        <v>0</v>
      </c>
      <c r="U452" s="254">
        <f t="shared" si="378"/>
        <v>0</v>
      </c>
      <c r="V452" s="254">
        <f t="shared" si="378"/>
        <v>0</v>
      </c>
      <c r="W452" s="254">
        <f t="shared" si="378"/>
        <v>0</v>
      </c>
      <c r="X452" s="254">
        <f t="shared" si="378"/>
        <v>0</v>
      </c>
      <c r="Y452" s="254">
        <f t="shared" si="378"/>
        <v>0</v>
      </c>
      <c r="Z452" s="254">
        <f t="shared" si="378"/>
        <v>0</v>
      </c>
      <c r="AA452" s="254">
        <f t="shared" si="378"/>
        <v>0</v>
      </c>
      <c r="AB452" s="254">
        <f t="shared" si="378"/>
        <v>0</v>
      </c>
      <c r="AC452" s="254">
        <f t="shared" si="378"/>
        <v>0</v>
      </c>
      <c r="AD452" s="254">
        <f t="shared" si="378"/>
        <v>21.575342465753423</v>
      </c>
      <c r="AE452" s="7"/>
    </row>
    <row r="453" spans="1:31" ht="15" hidden="1" customHeight="1" outlineLevel="1">
      <c r="D453" s="251"/>
      <c r="G453" s="253"/>
      <c r="H453" s="7"/>
      <c r="I453" s="7"/>
      <c r="J453" s="149"/>
      <c r="K453" s="254"/>
      <c r="L453" s="254"/>
      <c r="M453" s="254"/>
      <c r="N453" s="254"/>
      <c r="O453" s="254"/>
      <c r="P453" s="254"/>
      <c r="Q453" s="254"/>
      <c r="R453" s="254"/>
      <c r="S453" s="254"/>
      <c r="T453" s="254"/>
      <c r="U453" s="254"/>
      <c r="V453" s="254"/>
      <c r="W453" s="254"/>
      <c r="X453" s="254"/>
      <c r="Y453" s="254"/>
      <c r="Z453" s="254"/>
      <c r="AA453" s="254"/>
      <c r="AB453" s="254"/>
      <c r="AC453" s="254"/>
      <c r="AD453" s="254"/>
      <c r="AE453" s="7"/>
    </row>
    <row r="454" spans="1:31" s="3" customFormat="1" hidden="1" outlineLevel="1">
      <c r="A454" s="110" t="s">
        <v>326</v>
      </c>
      <c r="B454" s="143"/>
      <c r="D454" s="150" t="s">
        <v>326</v>
      </c>
      <c r="E454" s="2"/>
      <c r="F454" s="2"/>
      <c r="G454" s="207"/>
      <c r="H454" s="207"/>
      <c r="I454" s="207"/>
      <c r="J454" s="207"/>
      <c r="K454" s="207">
        <f t="shared" ref="K454:AD454" si="383">SUM(K422:K453)</f>
        <v>59.536612495362093</v>
      </c>
      <c r="L454" s="207">
        <f t="shared" si="383"/>
        <v>49.139882897889251</v>
      </c>
      <c r="M454" s="207">
        <f t="shared" si="383"/>
        <v>48.901705673589113</v>
      </c>
      <c r="N454" s="207">
        <f>SUM(N422:N453)</f>
        <v>99.838748939559565</v>
      </c>
      <c r="O454" s="207">
        <f t="shared" si="383"/>
        <v>76.052985577396157</v>
      </c>
      <c r="P454" s="163">
        <f t="shared" si="383"/>
        <v>71.812685261273913</v>
      </c>
      <c r="Q454" s="163">
        <f t="shared" si="383"/>
        <v>66.043485691034846</v>
      </c>
      <c r="R454" s="163">
        <f t="shared" si="383"/>
        <v>22.187522039875223</v>
      </c>
      <c r="S454" s="163">
        <f t="shared" si="383"/>
        <v>57.939604342942204</v>
      </c>
      <c r="T454" s="207">
        <f t="shared" si="383"/>
        <v>111.13592775529715</v>
      </c>
      <c r="U454" s="173">
        <f t="shared" si="383"/>
        <v>159.92756975615919</v>
      </c>
      <c r="V454" s="173">
        <f t="shared" si="383"/>
        <v>186.45132874734551</v>
      </c>
      <c r="W454" s="173">
        <f t="shared" si="383"/>
        <v>160.87779582924864</v>
      </c>
      <c r="X454" s="173">
        <f t="shared" si="383"/>
        <v>140.1883048303774</v>
      </c>
      <c r="Y454" s="173">
        <f t="shared" si="383"/>
        <v>124.87080714477572</v>
      </c>
      <c r="Z454" s="173">
        <f t="shared" si="383"/>
        <v>117.12328767123289</v>
      </c>
      <c r="AA454" s="173">
        <f t="shared" si="383"/>
        <v>134.7123287671233</v>
      </c>
      <c r="AB454" s="173">
        <f t="shared" si="383"/>
        <v>146.34931506849315</v>
      </c>
      <c r="AC454" s="173">
        <f t="shared" si="383"/>
        <v>157.98630136986304</v>
      </c>
      <c r="AD454" s="173">
        <f t="shared" si="383"/>
        <v>169.20547945205482</v>
      </c>
      <c r="AE454"/>
    </row>
    <row r="455" spans="1:31" s="3" customFormat="1" hidden="1" outlineLevel="1">
      <c r="A455" s="110"/>
      <c r="B455" s="143"/>
      <c r="D455" s="242"/>
      <c r="E455" s="167"/>
      <c r="F455" s="167"/>
      <c r="G455" s="168"/>
      <c r="H455" s="168"/>
      <c r="I455" s="168"/>
      <c r="J455" s="168"/>
      <c r="K455" s="168"/>
      <c r="L455" s="168"/>
      <c r="M455" s="168"/>
      <c r="N455" s="168"/>
      <c r="O455" s="168"/>
      <c r="P455" s="168"/>
      <c r="Q455" s="168"/>
      <c r="R455" s="168"/>
      <c r="S455" s="168"/>
      <c r="T455" s="168"/>
      <c r="U455" s="255"/>
      <c r="V455" s="255"/>
      <c r="W455" s="255"/>
      <c r="X455" s="255"/>
      <c r="Y455" s="255"/>
      <c r="Z455" s="255"/>
      <c r="AA455" s="255"/>
      <c r="AB455" s="255"/>
      <c r="AC455" s="255"/>
      <c r="AD455" s="255"/>
      <c r="AE455"/>
    </row>
    <row r="456" spans="1:31" ht="15" customHeight="1" collapsed="1">
      <c r="D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"/>
    </row>
    <row r="457" spans="1:31">
      <c r="B457" s="141" t="s">
        <v>164</v>
      </c>
      <c r="C457" s="52" t="s">
        <v>164</v>
      </c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</row>
    <row r="458" spans="1:31">
      <c r="C458" s="104"/>
      <c r="D458" s="105" t="s">
        <v>190</v>
      </c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</row>
    <row r="459" spans="1:31" ht="5.0999999999999996" customHeight="1">
      <c r="B459" s="142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63"/>
      <c r="AE459" s="7"/>
    </row>
    <row r="460" spans="1:31" outlineLevel="1">
      <c r="D460" s="36" t="s">
        <v>165</v>
      </c>
      <c r="G460" s="7">
        <f t="shared" ref="G460:N460" si="384">+SUM(G165:G168)</f>
        <v>0</v>
      </c>
      <c r="H460" s="7">
        <f t="shared" si="384"/>
        <v>0</v>
      </c>
      <c r="I460" s="7">
        <f t="shared" si="384"/>
        <v>-7.4720000000000013</v>
      </c>
      <c r="J460" s="7">
        <f t="shared" si="384"/>
        <v>-4.5040000000000013</v>
      </c>
      <c r="K460" s="7">
        <f t="shared" si="384"/>
        <v>-1.9649999999999999</v>
      </c>
      <c r="L460" s="7">
        <f t="shared" si="384"/>
        <v>-3.9209999999999994</v>
      </c>
      <c r="M460" s="7">
        <f t="shared" si="384"/>
        <v>-9.9609999999999985</v>
      </c>
      <c r="N460" s="7">
        <f t="shared" si="384"/>
        <v>-9.877000000000006</v>
      </c>
      <c r="O460" s="7">
        <f>+SUM(O165:O168)</f>
        <v>-3.3719999999999999</v>
      </c>
      <c r="P460" s="7">
        <f t="shared" ref="P460:AD460" si="385">+SUM(P165:P168)</f>
        <v>-3.4789999999999992</v>
      </c>
      <c r="Q460" s="7">
        <f t="shared" si="385"/>
        <v>48.309999999999995</v>
      </c>
      <c r="R460" s="7">
        <f t="shared" si="385"/>
        <v>101.74700000000003</v>
      </c>
      <c r="S460" s="7">
        <f t="shared" si="385"/>
        <v>188.02500000000003</v>
      </c>
      <c r="T460" s="7">
        <f t="shared" si="385"/>
        <v>354.35200000000003</v>
      </c>
      <c r="U460" s="7">
        <f t="shared" si="385"/>
        <v>607.88199999999995</v>
      </c>
      <c r="V460" s="7">
        <f t="shared" si="385"/>
        <v>607.9060382877966</v>
      </c>
      <c r="W460" s="7">
        <f t="shared" si="385"/>
        <v>608.25294169020492</v>
      </c>
      <c r="X460" s="7">
        <f t="shared" si="385"/>
        <v>611.057766737051</v>
      </c>
      <c r="Y460" s="7">
        <f t="shared" si="385"/>
        <v>618.27468893806599</v>
      </c>
      <c r="Z460" s="7">
        <f t="shared" si="385"/>
        <v>629.91845380210725</v>
      </c>
      <c r="AA460" s="7">
        <f t="shared" si="385"/>
        <v>641.01056737389661</v>
      </c>
      <c r="AB460" s="7">
        <f t="shared" si="385"/>
        <v>652.44000856720743</v>
      </c>
      <c r="AC460" s="7">
        <f t="shared" si="385"/>
        <v>663.67228165448591</v>
      </c>
      <c r="AD460" s="7">
        <f t="shared" si="385"/>
        <v>680.52402717320319</v>
      </c>
    </row>
    <row r="461" spans="1:31" outlineLevel="1">
      <c r="D461" s="36" t="s">
        <v>166</v>
      </c>
      <c r="G461" s="4">
        <f t="shared" ref="G461:AD461" si="386">+G460/G106</f>
        <v>0</v>
      </c>
      <c r="H461" s="4">
        <f t="shared" si="386"/>
        <v>0</v>
      </c>
      <c r="I461" s="4">
        <f t="shared" si="386"/>
        <v>-0.12192415638665886</v>
      </c>
      <c r="J461" s="4">
        <f t="shared" si="386"/>
        <v>-6.1638788583491859E-2</v>
      </c>
      <c r="K461" s="4">
        <f t="shared" si="386"/>
        <v>-2.5947102243467007E-2</v>
      </c>
      <c r="L461" s="4">
        <f t="shared" si="386"/>
        <v>-5.1679143821172495E-2</v>
      </c>
      <c r="M461" s="4">
        <f t="shared" si="386"/>
        <v>-0.12799557971293832</v>
      </c>
      <c r="N461" s="4">
        <f t="shared" si="386"/>
        <v>-0.12312697898227336</v>
      </c>
      <c r="O461" s="4">
        <f t="shared" si="386"/>
        <v>-3.8577263210882173E-2</v>
      </c>
      <c r="P461" s="4">
        <f t="shared" si="386"/>
        <v>-3.7880272642146287E-2</v>
      </c>
      <c r="Q461" s="4">
        <f t="shared" si="386"/>
        <v>0.45116222602004125</v>
      </c>
      <c r="R461" s="4">
        <f t="shared" si="386"/>
        <v>0.81092691480035073</v>
      </c>
      <c r="S461" s="4">
        <f t="shared" si="386"/>
        <v>1.1444701442571066</v>
      </c>
      <c r="T461" s="4">
        <f t="shared" si="386"/>
        <v>2.0307286741740453</v>
      </c>
      <c r="U461" s="4">
        <f t="shared" si="386"/>
        <v>3.0368438669324416</v>
      </c>
      <c r="V461" s="4">
        <f t="shared" si="386"/>
        <v>3.0369639568954061</v>
      </c>
      <c r="W461" s="4">
        <f t="shared" si="386"/>
        <v>3.0386970094780157</v>
      </c>
      <c r="X461" s="4">
        <f t="shared" si="386"/>
        <v>3.0527092943315446</v>
      </c>
      <c r="Y461" s="4">
        <f t="shared" si="386"/>
        <v>3.0887634395838814</v>
      </c>
      <c r="Z461" s="4">
        <f t="shared" si="386"/>
        <v>3.1469331105321365</v>
      </c>
      <c r="AA461" s="4">
        <f t="shared" si="386"/>
        <v>3.2023468537780406</v>
      </c>
      <c r="AB461" s="4">
        <f t="shared" si="386"/>
        <v>3.2594458111256359</v>
      </c>
      <c r="AC461" s="4">
        <f t="shared" si="386"/>
        <v>3.3155597602749971</v>
      </c>
      <c r="AD461" s="4">
        <f t="shared" si="386"/>
        <v>3.3997473493558101</v>
      </c>
    </row>
    <row r="462" spans="1:31" outlineLevel="1">
      <c r="D462" s="36" t="s">
        <v>203</v>
      </c>
      <c r="G462" s="4">
        <f t="shared" ref="G462:N462" si="387">(G460-G144)/G106</f>
        <v>0</v>
      </c>
      <c r="H462" s="4">
        <f t="shared" si="387"/>
        <v>0</v>
      </c>
      <c r="I462" s="4">
        <f t="shared" si="387"/>
        <v>-0.46509692578813394</v>
      </c>
      <c r="J462" s="4">
        <f t="shared" si="387"/>
        <v>-0.26311442036105998</v>
      </c>
      <c r="K462" s="4">
        <f t="shared" si="387"/>
        <v>-0.21818013759226737</v>
      </c>
      <c r="L462" s="4">
        <f t="shared" si="387"/>
        <v>-0.29250579924082665</v>
      </c>
      <c r="M462" s="4">
        <f t="shared" si="387"/>
        <v>-0.40060136463513357</v>
      </c>
      <c r="N462" s="4">
        <f t="shared" si="387"/>
        <v>-0.47763594205789217</v>
      </c>
      <c r="O462" s="4">
        <f>(O460-O144)/O106</f>
        <v>-0.43778100653250807</v>
      </c>
      <c r="P462" s="4">
        <f t="shared" ref="P462:AD462" si="388">(P460-P144)/P106</f>
        <v>-0.52208140066636177</v>
      </c>
      <c r="Q462" s="4">
        <f t="shared" si="388"/>
        <v>-0.17551527376983353</v>
      </c>
      <c r="R462" s="4">
        <f t="shared" si="388"/>
        <v>0.29473180840041463</v>
      </c>
      <c r="S462" s="4">
        <f t="shared" si="388"/>
        <v>0.42560107127640168</v>
      </c>
      <c r="T462" s="4">
        <f t="shared" si="388"/>
        <v>1.3148170434682944</v>
      </c>
      <c r="U462" s="4">
        <f t="shared" si="388"/>
        <v>1.9287252271830297</v>
      </c>
      <c r="V462" s="4">
        <f t="shared" si="388"/>
        <v>1.9976422770273994</v>
      </c>
      <c r="W462" s="4">
        <f t="shared" si="388"/>
        <v>2.1239934399429168</v>
      </c>
      <c r="X462" s="4">
        <f t="shared" si="388"/>
        <v>2.2510832329042127</v>
      </c>
      <c r="Y462" s="4">
        <f t="shared" si="388"/>
        <v>2.3670959567240701</v>
      </c>
      <c r="Z462" s="4">
        <f t="shared" si="388"/>
        <v>2.3471884411757253</v>
      </c>
      <c r="AA462" s="4">
        <f t="shared" si="388"/>
        <v>2.4952572057995623</v>
      </c>
      <c r="AB462" s="4">
        <f t="shared" si="388"/>
        <v>2.6125598549897227</v>
      </c>
      <c r="AC462" s="4">
        <f t="shared" si="388"/>
        <v>2.7337615632485632</v>
      </c>
      <c r="AD462" s="4">
        <f t="shared" si="388"/>
        <v>2.6443974984949166</v>
      </c>
    </row>
    <row r="463" spans="1:31" outlineLevel="1">
      <c r="D463" s="36" t="s">
        <v>25</v>
      </c>
      <c r="G463" s="4">
        <f t="shared" ref="G463:N463" si="389">+G109</f>
        <v>-2.6093602801329628E-2</v>
      </c>
      <c r="H463" s="4">
        <f t="shared" si="389"/>
        <v>-9.9370788828501283E-2</v>
      </c>
      <c r="I463" s="4">
        <f t="shared" si="389"/>
        <v>-0.11056719535278359</v>
      </c>
      <c r="J463" s="4">
        <f t="shared" si="389"/>
        <v>-5.7423702685687056E-2</v>
      </c>
      <c r="K463" s="4">
        <f t="shared" si="389"/>
        <v>-3.8227410175489668E-2</v>
      </c>
      <c r="L463" s="4">
        <f t="shared" si="389"/>
        <v>-3.107865879375768E-2</v>
      </c>
      <c r="M463" s="4">
        <f t="shared" si="389"/>
        <v>-9.0937126556416531E-2</v>
      </c>
      <c r="N463" s="4">
        <f t="shared" si="389"/>
        <v>1.8574384801417314E-2</v>
      </c>
      <c r="O463" s="4">
        <f>+O109</f>
        <v>-1.6199704835886539E-2</v>
      </c>
      <c r="P463" s="4">
        <f t="shared" ref="P463:AD463" si="390">+P109</f>
        <v>-4.7919252629515866E-2</v>
      </c>
      <c r="Q463" s="4">
        <f t="shared" si="390"/>
        <v>6.4811961262247145E-3</v>
      </c>
      <c r="R463" s="4">
        <f t="shared" si="390"/>
        <v>7.5555909779225867E-3</v>
      </c>
      <c r="S463" s="4">
        <f t="shared" si="390"/>
        <v>2.23142004991175E-2</v>
      </c>
      <c r="T463" s="4">
        <f t="shared" si="390"/>
        <v>5.8740938135759552E-3</v>
      </c>
      <c r="U463" s="4">
        <f t="shared" si="390"/>
        <v>2.296059829444146E-2</v>
      </c>
      <c r="V463" s="4">
        <f t="shared" si="390"/>
        <v>1.2008996296434869E-4</v>
      </c>
      <c r="W463" s="4">
        <f t="shared" si="390"/>
        <v>1.7330525826093678E-3</v>
      </c>
      <c r="X463" s="4">
        <f t="shared" si="390"/>
        <v>1.4012284853529129E-2</v>
      </c>
      <c r="Y463" s="4">
        <f t="shared" si="390"/>
        <v>3.6054145252336911E-2</v>
      </c>
      <c r="Z463" s="4">
        <f t="shared" si="390"/>
        <v>5.8169670948255085E-2</v>
      </c>
      <c r="AA463" s="4">
        <f t="shared" si="390"/>
        <v>5.5413743245903924E-2</v>
      </c>
      <c r="AB463" s="4">
        <f t="shared" si="390"/>
        <v>5.7098957347595063E-2</v>
      </c>
      <c r="AC463" s="4">
        <f t="shared" si="390"/>
        <v>5.6113949149361395E-2</v>
      </c>
      <c r="AD463" s="4">
        <f t="shared" si="390"/>
        <v>8.4187589080813405E-2</v>
      </c>
    </row>
    <row r="464" spans="1:31" outlineLevel="1">
      <c r="D464" s="36" t="s">
        <v>1</v>
      </c>
      <c r="G464" s="264" t="str">
        <f>IFERROR(IF(AVERAGE(F461:G461)&lt;0,"na",+G463*4/AVERAGE(F461:G461)),"na")</f>
        <v>na</v>
      </c>
      <c r="H464" s="264" t="str">
        <f t="shared" ref="H464:AD464" si="391">IFERROR(IF(AVERAGE(G461:H461)&lt;0,"na",+H463*4/AVERAGE(G461:H461)),"na")</f>
        <v>na</v>
      </c>
      <c r="I464" s="264" t="str">
        <f t="shared" si="391"/>
        <v>na</v>
      </c>
      <c r="J464" s="264" t="str">
        <f t="shared" si="391"/>
        <v>na</v>
      </c>
      <c r="K464" s="264" t="str">
        <f t="shared" si="391"/>
        <v>na</v>
      </c>
      <c r="L464" s="264" t="str">
        <f t="shared" si="391"/>
        <v>na</v>
      </c>
      <c r="M464" s="264" t="str">
        <f t="shared" si="391"/>
        <v>na</v>
      </c>
      <c r="N464" s="264" t="str">
        <f t="shared" si="391"/>
        <v>na</v>
      </c>
      <c r="O464" s="264" t="str">
        <f t="shared" si="391"/>
        <v>na</v>
      </c>
      <c r="P464" s="264" t="str">
        <f t="shared" si="391"/>
        <v>na</v>
      </c>
      <c r="Q464" s="264">
        <f t="shared" si="391"/>
        <v>0.12545810090668955</v>
      </c>
      <c r="R464" s="264">
        <f t="shared" si="391"/>
        <v>4.7892597969815341E-2</v>
      </c>
      <c r="S464" s="264">
        <f t="shared" si="391"/>
        <v>9.1292764897062562E-2</v>
      </c>
      <c r="T464" s="264">
        <f t="shared" si="391"/>
        <v>1.4799939530031224E-2</v>
      </c>
      <c r="U464" s="264">
        <f t="shared" si="391"/>
        <v>3.6247095599627022E-2</v>
      </c>
      <c r="V464" s="264">
        <f t="shared" si="391"/>
        <v>1.5817420168380022E-4</v>
      </c>
      <c r="W464" s="264">
        <f t="shared" si="391"/>
        <v>2.2819608825458628E-3</v>
      </c>
      <c r="X464" s="264">
        <f t="shared" si="391"/>
        <v>1.8402692783459032E-2</v>
      </c>
      <c r="Y464" s="264">
        <f t="shared" si="391"/>
        <v>4.6964820087185825E-2</v>
      </c>
      <c r="Z464" s="264">
        <f t="shared" si="391"/>
        <v>7.4627968799633543E-2</v>
      </c>
      <c r="AA464" s="264">
        <f t="shared" si="391"/>
        <v>6.9820506964429485E-2</v>
      </c>
      <c r="AB464" s="264">
        <f t="shared" si="391"/>
        <v>7.0691166131306035E-2</v>
      </c>
      <c r="AC464" s="264">
        <f t="shared" si="391"/>
        <v>6.8275469628121144E-2</v>
      </c>
      <c r="AD464" s="264">
        <f t="shared" si="391"/>
        <v>0.10029335987934211</v>
      </c>
    </row>
    <row r="465" spans="4:31" outlineLevel="1">
      <c r="D465" s="36" t="s">
        <v>204</v>
      </c>
      <c r="G465" s="264" t="str">
        <f>IFERROR(IF(AVERAGE(F462:G462)&lt;0,"na",+G463*4/AVERAGE(F462:G462)),"na")</f>
        <v>na</v>
      </c>
      <c r="H465" s="264" t="str">
        <f>IFERROR(IF(AVERAGE(G462:H462)&lt;0,"na",+H463*4/AVERAGE(G462:H462)),"na")</f>
        <v>na</v>
      </c>
      <c r="I465" s="264" t="str">
        <f>IFERROR(IF(AVERAGE(H462:I462)&lt;0,"na",+I463*4/AVERAGE(H462:I462)),"na")</f>
        <v>na</v>
      </c>
      <c r="J465" s="264" t="str">
        <f t="shared" ref="J465:AD465" si="392">IFERROR(IF(AVERAGE(I462:J462)&lt;0,"na",+J463*4/AVERAGE(I462:J462)),"na")</f>
        <v>na</v>
      </c>
      <c r="K465" s="264" t="str">
        <f t="shared" si="392"/>
        <v>na</v>
      </c>
      <c r="L465" s="264" t="str">
        <f t="shared" si="392"/>
        <v>na</v>
      </c>
      <c r="M465" s="264" t="str">
        <f t="shared" si="392"/>
        <v>na</v>
      </c>
      <c r="N465" s="264" t="str">
        <f t="shared" si="392"/>
        <v>na</v>
      </c>
      <c r="O465" s="264" t="str">
        <f t="shared" si="392"/>
        <v>na</v>
      </c>
      <c r="P465" s="264" t="str">
        <f t="shared" si="392"/>
        <v>na</v>
      </c>
      <c r="Q465" s="264" t="str">
        <f t="shared" si="392"/>
        <v>na</v>
      </c>
      <c r="R465" s="264">
        <f t="shared" si="392"/>
        <v>0.50701631288547433</v>
      </c>
      <c r="S465" s="264">
        <f t="shared" si="392"/>
        <v>0.24782098531033558</v>
      </c>
      <c r="T465" s="264">
        <f t="shared" si="392"/>
        <v>2.7000839689318601E-2</v>
      </c>
      <c r="U465" s="264">
        <f t="shared" si="392"/>
        <v>5.6630921082044844E-2</v>
      </c>
      <c r="V465" s="264">
        <f t="shared" si="392"/>
        <v>2.4468410119138481E-4</v>
      </c>
      <c r="W465" s="264">
        <f t="shared" si="392"/>
        <v>3.3638151483863397E-3</v>
      </c>
      <c r="X465" s="264">
        <f t="shared" si="392"/>
        <v>2.5622014700666686E-2</v>
      </c>
      <c r="Y465" s="264">
        <f t="shared" si="392"/>
        <v>6.2456035198129957E-2</v>
      </c>
      <c r="Z465" s="264">
        <f t="shared" si="392"/>
        <v>9.8712196445627343E-2</v>
      </c>
      <c r="AA465" s="264">
        <f t="shared" si="392"/>
        <v>9.1546705587523508E-2</v>
      </c>
      <c r="AB465" s="264">
        <f t="shared" si="392"/>
        <v>8.9429917584044172E-2</v>
      </c>
      <c r="AC465" s="264">
        <f t="shared" si="392"/>
        <v>8.3966443106747585E-2</v>
      </c>
      <c r="AD465" s="264">
        <f t="shared" si="392"/>
        <v>0.12522885710787685</v>
      </c>
    </row>
    <row r="466" spans="4:31" outlineLevel="1">
      <c r="D466" s="36" t="s">
        <v>167</v>
      </c>
      <c r="G466" s="7">
        <f t="shared" ref="G466:N466" si="393">AVERAGE(SUM(G165,G166,G167,G168,G199,G162,G155),SUM(F165,F166,F167,F168,F199,F162,F155))</f>
        <v>0</v>
      </c>
      <c r="H466" s="7">
        <f t="shared" si="393"/>
        <v>0</v>
      </c>
      <c r="I466" s="7">
        <f t="shared" si="393"/>
        <v>26.9315</v>
      </c>
      <c r="J466" s="7">
        <f t="shared" si="393"/>
        <v>69.62</v>
      </c>
      <c r="K466" s="7">
        <f t="shared" si="393"/>
        <v>108.08850000000001</v>
      </c>
      <c r="L466" s="7">
        <f t="shared" si="393"/>
        <v>126.69850000000001</v>
      </c>
      <c r="M466" s="7">
        <f t="shared" si="393"/>
        <v>125.83900000000001</v>
      </c>
      <c r="N466" s="7">
        <f t="shared" si="393"/>
        <v>152.1215</v>
      </c>
      <c r="O466" s="7">
        <f>AVERAGE(SUM(O165,O166,O167,O168,O199,O162,O155),SUM(N165,N166,N167,N168,N199,N162,N155))</f>
        <v>178.63149999999999</v>
      </c>
      <c r="P466" s="7">
        <f t="shared" ref="P466:AD466" si="394">AVERAGE(SUM(P165,P166,P167,P168,P199,P162,P155),SUM(O165,O166,O167,O168,O199,O162,O155))</f>
        <v>174.10550000000001</v>
      </c>
      <c r="Q466" s="7">
        <f t="shared" si="394"/>
        <v>173.03100000000001</v>
      </c>
      <c r="R466" s="7">
        <f t="shared" si="394"/>
        <v>218.23600000000002</v>
      </c>
      <c r="S466" s="7">
        <f t="shared" si="394"/>
        <v>301.40600000000006</v>
      </c>
      <c r="T466" s="7">
        <f t="shared" si="394"/>
        <v>384.25850000000003</v>
      </c>
      <c r="U466" s="7">
        <f t="shared" si="394"/>
        <v>524.45399999999995</v>
      </c>
      <c r="V466" s="7">
        <f t="shared" si="394"/>
        <v>642.3541742434262</v>
      </c>
      <c r="W466" s="7">
        <f t="shared" si="394"/>
        <v>663.42135169348194</v>
      </c>
      <c r="X466" s="7">
        <f t="shared" si="394"/>
        <v>675.73089977444465</v>
      </c>
      <c r="Y466" s="7">
        <f t="shared" si="394"/>
        <v>693.2952135819861</v>
      </c>
      <c r="Z466" s="7">
        <f t="shared" si="394"/>
        <v>728.34322600710686</v>
      </c>
      <c r="AA466" s="7">
        <f t="shared" si="394"/>
        <v>769.04569232088352</v>
      </c>
      <c r="AB466" s="7">
        <f t="shared" si="394"/>
        <v>804.5773935993343</v>
      </c>
      <c r="AC466" s="7">
        <f t="shared" si="394"/>
        <v>842.80003242642908</v>
      </c>
      <c r="AD466" s="7">
        <f t="shared" si="394"/>
        <v>902.50256897640031</v>
      </c>
    </row>
    <row r="467" spans="4:31" outlineLevel="1">
      <c r="D467" s="36" t="s">
        <v>205</v>
      </c>
      <c r="G467" s="90" t="str">
        <f>IFERROR(G466-AVERAGE(G144,F144),"na")</f>
        <v>na</v>
      </c>
      <c r="H467" s="90" t="str">
        <f>IFERROR(H466-AVERAGE(H144,G144),"na")</f>
        <v>na</v>
      </c>
      <c r="I467" s="90">
        <f t="shared" ref="I467:AD467" si="395">IFERROR(I466-AVERAGE(I144,H144),"na")</f>
        <v>5.900500000000001</v>
      </c>
      <c r="J467" s="90">
        <f t="shared" si="395"/>
        <v>51.743500000000004</v>
      </c>
      <c r="K467" s="90">
        <f t="shared" si="395"/>
        <v>93.44850000000001</v>
      </c>
      <c r="L467" s="90">
        <f t="shared" si="395"/>
        <v>110.2835</v>
      </c>
      <c r="M467" s="90">
        <f t="shared" si="395"/>
        <v>106.09550000000002</v>
      </c>
      <c r="N467" s="90">
        <f t="shared" si="395"/>
        <v>127.295</v>
      </c>
      <c r="O467" s="90">
        <f t="shared" si="395"/>
        <v>146.96549999999999</v>
      </c>
      <c r="P467" s="90">
        <f t="shared" si="395"/>
        <v>134.42349999999999</v>
      </c>
      <c r="Q467" s="90">
        <f t="shared" si="395"/>
        <v>117.244</v>
      </c>
      <c r="R467" s="90">
        <f t="shared" si="395"/>
        <v>152.30050000000003</v>
      </c>
      <c r="S467" s="90">
        <f t="shared" si="395"/>
        <v>209.97100000000006</v>
      </c>
      <c r="T467" s="90">
        <f t="shared" si="395"/>
        <v>262.74549999999999</v>
      </c>
      <c r="U467" s="90">
        <f t="shared" si="395"/>
        <v>351.08699999999993</v>
      </c>
      <c r="V467" s="90">
        <f t="shared" si="395"/>
        <v>427.42868357467665</v>
      </c>
      <c r="W467" s="90">
        <f t="shared" si="395"/>
        <v>467.85371161959682</v>
      </c>
      <c r="X467" s="90">
        <f t="shared" si="395"/>
        <v>503.95290682438525</v>
      </c>
      <c r="Y467" s="90">
        <f t="shared" si="395"/>
        <v>540.83714084877943</v>
      </c>
      <c r="Z467" s="90">
        <f t="shared" si="395"/>
        <v>576.07345145862234</v>
      </c>
      <c r="AA467" s="90">
        <f t="shared" si="395"/>
        <v>618.23493308757975</v>
      </c>
      <c r="AB467" s="90">
        <f t="shared" si="395"/>
        <v>669.06542224934742</v>
      </c>
      <c r="AC467" s="90">
        <f t="shared" si="395"/>
        <v>719.82779329925211</v>
      </c>
      <c r="AD467" s="90">
        <f t="shared" si="395"/>
        <v>768.67477517762109</v>
      </c>
    </row>
    <row r="468" spans="4:31" outlineLevel="1">
      <c r="D468" s="36" t="s">
        <v>510</v>
      </c>
      <c r="G468" s="73">
        <f>DCF!$C$31</f>
        <v>0.24</v>
      </c>
      <c r="H468" s="73">
        <f>DCF!$C$31</f>
        <v>0.24</v>
      </c>
      <c r="I468" s="73">
        <f>DCF!$C$31</f>
        <v>0.24</v>
      </c>
      <c r="J468" s="73">
        <f>DCF!$C$31</f>
        <v>0.24</v>
      </c>
      <c r="K468" s="73">
        <f>DCF!$C$31</f>
        <v>0.24</v>
      </c>
      <c r="L468" s="73">
        <f>DCF!$C$31</f>
        <v>0.24</v>
      </c>
      <c r="M468" s="73">
        <f>DCF!$C$31</f>
        <v>0.24</v>
      </c>
      <c r="N468" s="73">
        <f>DCF!$C$31</f>
        <v>0.24</v>
      </c>
      <c r="O468" s="73">
        <f>DCF!$C$31</f>
        <v>0.24</v>
      </c>
      <c r="P468" s="73">
        <f>DCF!$C$31</f>
        <v>0.24</v>
      </c>
      <c r="Q468" s="73">
        <f>DCF!$C$31</f>
        <v>0.24</v>
      </c>
      <c r="R468" s="73">
        <f>DCF!$C$31</f>
        <v>0.24</v>
      </c>
      <c r="S468" s="73">
        <f>DCF!$C$31</f>
        <v>0.24</v>
      </c>
      <c r="T468" s="73">
        <f>DCF!$C$31</f>
        <v>0.24</v>
      </c>
      <c r="U468" s="73">
        <f>DCF!$C$31</f>
        <v>0.24</v>
      </c>
      <c r="V468" s="73">
        <f>DCF!$C$31</f>
        <v>0.24</v>
      </c>
      <c r="W468" s="73">
        <f>DCF!$C$31</f>
        <v>0.24</v>
      </c>
      <c r="X468" s="73">
        <f>DCF!$C$31</f>
        <v>0.24</v>
      </c>
      <c r="Y468" s="73">
        <f>DCF!$C$31</f>
        <v>0.24</v>
      </c>
      <c r="Z468" s="73">
        <f>DCF!$C$31</f>
        <v>0.24</v>
      </c>
      <c r="AA468" s="73">
        <f>DCF!$C$31</f>
        <v>0.24</v>
      </c>
      <c r="AB468" s="73">
        <f>DCF!$C$31</f>
        <v>0.24</v>
      </c>
      <c r="AC468" s="73">
        <f>DCF!$C$31</f>
        <v>0.24</v>
      </c>
      <c r="AD468" s="73">
        <f>DCF!$C$31</f>
        <v>0.24</v>
      </c>
    </row>
    <row r="469" spans="4:31" outlineLevel="1">
      <c r="D469" s="36" t="s">
        <v>55</v>
      </c>
      <c r="G469" s="73"/>
      <c r="H469" s="73"/>
      <c r="I469" s="73">
        <f>IFERROR(+(I91*(1-I468))*4/AVERAGE(H466:I466),"na")</f>
        <v>-1.1256290960399504</v>
      </c>
      <c r="J469" s="73">
        <f>IFERROR(+(J91*(1-J468))*4/AVERAGE(I466:J466),"na")</f>
        <v>-5.3588810116883309E-2</v>
      </c>
      <c r="K469" s="73">
        <f t="shared" ref="K469:AD469" si="396">IFERROR(+(K91*(1-K468))*4/AVERAGE(J466:K466),"na")</f>
        <v>5.2722745394845789E-2</v>
      </c>
      <c r="L469" s="73">
        <f t="shared" si="396"/>
        <v>3.2706410491211632E-2</v>
      </c>
      <c r="M469" s="73">
        <f t="shared" si="396"/>
        <v>-7.5284502301638426E-2</v>
      </c>
      <c r="N469" s="73">
        <f t="shared" si="396"/>
        <v>7.8570012645683737E-2</v>
      </c>
      <c r="O469" s="73">
        <f t="shared" si="396"/>
        <v>7.1874782692825032E-2</v>
      </c>
      <c r="P469" s="73">
        <f t="shared" si="396"/>
        <v>-4.3781060676934252E-3</v>
      </c>
      <c r="Q469" s="73">
        <f t="shared" si="396"/>
        <v>0.10337190125498212</v>
      </c>
      <c r="R469" s="73">
        <f t="shared" si="396"/>
        <v>0.11830039333754107</v>
      </c>
      <c r="S469" s="73">
        <f t="shared" si="396"/>
        <v>8.8010130051073776E-2</v>
      </c>
      <c r="T469" s="73">
        <f t="shared" si="396"/>
        <v>4.8317974752958057E-2</v>
      </c>
      <c r="U469" s="73">
        <f t="shared" si="396"/>
        <v>4.0900768945073739E-2</v>
      </c>
      <c r="V469" s="73">
        <f t="shared" si="396"/>
        <v>9.1860768575476072E-3</v>
      </c>
      <c r="W469" s="73">
        <f t="shared" si="396"/>
        <v>1.1108150858891434E-2</v>
      </c>
      <c r="X469" s="73">
        <f t="shared" si="396"/>
        <v>2.5986713377791269E-2</v>
      </c>
      <c r="Y469" s="73">
        <f t="shared" si="396"/>
        <v>5.1646898470181134E-2</v>
      </c>
      <c r="Z469" s="73">
        <f t="shared" si="396"/>
        <v>7.5889763429492399E-2</v>
      </c>
      <c r="AA469" s="73">
        <f t="shared" si="396"/>
        <v>7.0400929898509212E-2</v>
      </c>
      <c r="AB469" s="73">
        <f t="shared" si="396"/>
        <v>6.9844318790399373E-2</v>
      </c>
      <c r="AC469" s="73">
        <f t="shared" si="396"/>
        <v>6.6946373246857871E-2</v>
      </c>
      <c r="AD469" s="73">
        <f t="shared" si="396"/>
        <v>9.0926198172212716E-2</v>
      </c>
    </row>
    <row r="470" spans="4:31" outlineLevel="1">
      <c r="D470" s="36" t="s">
        <v>199</v>
      </c>
      <c r="E470" s="95"/>
      <c r="F470" s="95"/>
      <c r="G470" s="214"/>
      <c r="H470" s="214"/>
      <c r="I470" s="214">
        <f>IFERROR(+(I91*(1-I468))*4/AVERAGE(H467:I467),"na")</f>
        <v>-2.5688399288195849</v>
      </c>
      <c r="J470" s="214">
        <f>IFERROR(+(J91*(1-J468))*4/AVERAGE(I467:J467),"na")</f>
        <v>-8.9759211713279066E-2</v>
      </c>
      <c r="K470" s="214">
        <f t="shared" ref="K470:AD470" si="397">IFERROR(+(K91*(1-K468))*4/AVERAGE(J467:K467),"na")</f>
        <v>6.4530277150255888E-2</v>
      </c>
      <c r="L470" s="214">
        <f t="shared" si="397"/>
        <v>3.7691869711189728E-2</v>
      </c>
      <c r="M470" s="214">
        <f t="shared" si="397"/>
        <v>-8.7865088571441846E-2</v>
      </c>
      <c r="N470" s="214">
        <f t="shared" si="397"/>
        <v>9.357433143165883E-2</v>
      </c>
      <c r="O470" s="214">
        <f t="shared" si="397"/>
        <v>8.6679634872684763E-2</v>
      </c>
      <c r="P470" s="214">
        <f t="shared" si="397"/>
        <v>-5.4882031635919513E-3</v>
      </c>
      <c r="Q470" s="214">
        <f t="shared" si="397"/>
        <v>0.14258559408743721</v>
      </c>
      <c r="R470" s="214">
        <f t="shared" si="397"/>
        <v>0.17172318485444771</v>
      </c>
      <c r="S470" s="214">
        <f t="shared" si="397"/>
        <v>0.12624167233690775</v>
      </c>
      <c r="T470" s="214">
        <f t="shared" si="397"/>
        <v>7.0084120186199569E-2</v>
      </c>
      <c r="U470" s="214">
        <f t="shared" si="397"/>
        <v>6.0549156325219539E-2</v>
      </c>
      <c r="V470" s="214">
        <f t="shared" si="397"/>
        <v>1.37677246492964E-2</v>
      </c>
      <c r="W470" s="214">
        <f t="shared" si="397"/>
        <v>1.6201314364958551E-2</v>
      </c>
      <c r="X470" s="214">
        <f t="shared" si="397"/>
        <v>3.5809764069976699E-2</v>
      </c>
      <c r="Y470" s="214">
        <f t="shared" si="397"/>
        <v>6.7674795368710072E-2</v>
      </c>
      <c r="Z470" s="214">
        <f t="shared" si="397"/>
        <v>9.6594844391085857E-2</v>
      </c>
      <c r="AA470" s="214">
        <f t="shared" si="397"/>
        <v>8.8266626638536586E-2</v>
      </c>
      <c r="AB470" s="214">
        <f t="shared" si="397"/>
        <v>8.5379167350712923E-2</v>
      </c>
      <c r="AC470" s="214">
        <f t="shared" si="397"/>
        <v>7.9405632345613306E-2</v>
      </c>
      <c r="AD470" s="214">
        <f t="shared" si="397"/>
        <v>0.10661300394531208</v>
      </c>
    </row>
    <row r="471" spans="4:31" outlineLevel="1">
      <c r="D471" s="36" t="s">
        <v>511</v>
      </c>
      <c r="G471" s="214"/>
      <c r="H471" s="214"/>
      <c r="I471" s="214">
        <f>IFERROR(+((I91-I89)*(1-I468))*4/AVERAGE(H466:I466),"na")</f>
        <v>-0.50885840001484994</v>
      </c>
      <c r="J471" s="214">
        <f t="shared" ref="J471:AD471" si="398">IFERROR(+((J91-J89)*(1-J468))*4/AVERAGE(I466:J466),"na")</f>
        <v>0.22739035644189629</v>
      </c>
      <c r="K471" s="214">
        <f t="shared" si="398"/>
        <v>0.16145271610530701</v>
      </c>
      <c r="L471" s="214">
        <f t="shared" si="398"/>
        <v>4.4048776124743297E-2</v>
      </c>
      <c r="M471" s="214">
        <f t="shared" si="398"/>
        <v>3.3320675147255299E-2</v>
      </c>
      <c r="N471" s="214">
        <f t="shared" si="398"/>
        <v>0.13353839844150725</v>
      </c>
      <c r="O471" s="214">
        <f t="shared" si="398"/>
        <v>0.10751805728141531</v>
      </c>
      <c r="P471" s="214">
        <f t="shared" si="398"/>
        <v>6.9860094064416345E-2</v>
      </c>
      <c r="Q471" s="214">
        <f t="shared" si="398"/>
        <v>0.13603686158038725</v>
      </c>
      <c r="R471" s="214">
        <f t="shared" si="398"/>
        <v>0.22632933521099319</v>
      </c>
      <c r="S471" s="214">
        <f t="shared" si="398"/>
        <v>0.1237079373876632</v>
      </c>
      <c r="T471" s="214">
        <f t="shared" si="398"/>
        <v>9.5793555011233072E-2</v>
      </c>
      <c r="U471" s="214">
        <f t="shared" si="398"/>
        <v>9.912398035682389E-2</v>
      </c>
      <c r="V471" s="214">
        <f t="shared" si="398"/>
        <v>7.5820003722598769E-2</v>
      </c>
      <c r="W471" s="214">
        <f t="shared" si="398"/>
        <v>7.6781749044200098E-2</v>
      </c>
      <c r="X471" s="214">
        <f t="shared" si="398"/>
        <v>7.8910917716142073E-2</v>
      </c>
      <c r="Y471" s="214">
        <f t="shared" si="398"/>
        <v>7.8936719126169411E-2</v>
      </c>
      <c r="Z471" s="214">
        <f t="shared" si="398"/>
        <v>0.10772702846969789</v>
      </c>
      <c r="AA471" s="214">
        <f t="shared" si="398"/>
        <v>0.10375757985400942</v>
      </c>
      <c r="AB471" s="214">
        <f t="shared" si="398"/>
        <v>0.10459816642191253</v>
      </c>
      <c r="AC471" s="214">
        <f t="shared" si="398"/>
        <v>0.10305577704075487</v>
      </c>
      <c r="AD471" s="214">
        <f t="shared" si="398"/>
        <v>0.12778912217383623</v>
      </c>
    </row>
    <row r="472" spans="4:31" outlineLevel="1">
      <c r="D472" s="36" t="s">
        <v>512</v>
      </c>
      <c r="G472" s="214"/>
      <c r="H472" s="214"/>
      <c r="I472" s="214"/>
      <c r="J472" s="214"/>
      <c r="K472" s="214">
        <f>IFERROR(+((K91-K89)*(1-K468))*4/AVERAGE(J467:K467),"na")</f>
        <v>0.19761088765221191</v>
      </c>
      <c r="L472" s="214">
        <f t="shared" ref="L472:AD472" si="399">IFERROR(+((L91-L89)*(1-L468))*4/AVERAGE(K467:L467),"na")</f>
        <v>5.0763159444761279E-2</v>
      </c>
      <c r="M472" s="214">
        <f t="shared" si="399"/>
        <v>3.8888801593500229E-2</v>
      </c>
      <c r="N472" s="214">
        <f t="shared" si="399"/>
        <v>0.15903989236922914</v>
      </c>
      <c r="O472" s="214">
        <f t="shared" si="399"/>
        <v>0.12966475303589092</v>
      </c>
      <c r="P472" s="214">
        <f t="shared" si="399"/>
        <v>8.7573572527710836E-2</v>
      </c>
      <c r="Q472" s="214">
        <f t="shared" si="399"/>
        <v>0.1876418687355344</v>
      </c>
      <c r="R472" s="214">
        <f t="shared" si="399"/>
        <v>0.32853647542427938</v>
      </c>
      <c r="S472" s="214">
        <f t="shared" si="399"/>
        <v>0.17744658357060952</v>
      </c>
      <c r="T472" s="214">
        <f t="shared" si="399"/>
        <v>0.13894636637392521</v>
      </c>
      <c r="U472" s="214">
        <f t="shared" si="399"/>
        <v>0.14674231162409992</v>
      </c>
      <c r="V472" s="214">
        <f t="shared" si="399"/>
        <v>0.11363598959045157</v>
      </c>
      <c r="W472" s="214">
        <f t="shared" si="399"/>
        <v>0.1119867086393339</v>
      </c>
      <c r="X472" s="214">
        <f t="shared" si="399"/>
        <v>0.10873946639113501</v>
      </c>
      <c r="Y472" s="214">
        <f t="shared" si="399"/>
        <v>0.10343363245762244</v>
      </c>
      <c r="Z472" s="214">
        <f t="shared" si="399"/>
        <v>0.13711830267348804</v>
      </c>
      <c r="AA472" s="214">
        <f t="shared" si="399"/>
        <v>0.13008821865129835</v>
      </c>
      <c r="AB472" s="214">
        <f t="shared" si="399"/>
        <v>0.1278630031787461</v>
      </c>
      <c r="AC472" s="214">
        <f t="shared" si="399"/>
        <v>0.12223528693055462</v>
      </c>
      <c r="AD472" s="214">
        <f t="shared" si="399"/>
        <v>0.14983560800247661</v>
      </c>
    </row>
    <row r="473" spans="4:31">
      <c r="U473" s="65"/>
      <c r="V473" s="65"/>
      <c r="W473" s="65"/>
      <c r="X473" s="65"/>
      <c r="Y473" s="65"/>
      <c r="Z473" s="65"/>
      <c r="AA473" s="65"/>
      <c r="AB473" s="65"/>
      <c r="AC473" s="65"/>
      <c r="AD473" s="65"/>
      <c r="AE473" s="65"/>
    </row>
    <row r="474" spans="4:31">
      <c r="U474" s="65"/>
      <c r="V474" s="65"/>
      <c r="W474" s="65"/>
      <c r="X474" s="65"/>
      <c r="Y474" s="65"/>
      <c r="Z474" s="65"/>
      <c r="AA474" s="65"/>
      <c r="AB474" s="65"/>
      <c r="AC474" s="65"/>
      <c r="AD474" s="65"/>
      <c r="AE474" s="65"/>
    </row>
    <row r="475" spans="4:31">
      <c r="U475" s="65"/>
      <c r="V475" s="65"/>
      <c r="W475" s="65"/>
      <c r="X475" s="65"/>
      <c r="Y475" s="65"/>
      <c r="Z475" s="65"/>
      <c r="AA475" s="65"/>
      <c r="AB475" s="65"/>
      <c r="AC475" s="65"/>
      <c r="AD475" s="65"/>
      <c r="AE475" s="65"/>
    </row>
  </sheetData>
  <conditionalFormatting sqref="N170:AB170">
    <cfRule type="cellIs" dxfId="18" priority="33" operator="equal">
      <formula>FALSE</formula>
    </cfRule>
  </conditionalFormatting>
  <conditionalFormatting sqref="G170:M170">
    <cfRule type="cellIs" dxfId="17" priority="31" operator="equal">
      <formula>FALSE</formula>
    </cfRule>
  </conditionalFormatting>
  <conditionalFormatting sqref="G170:L170">
    <cfRule type="cellIs" dxfId="16" priority="30" operator="equal">
      <formula>FALSE</formula>
    </cfRule>
  </conditionalFormatting>
  <conditionalFormatting sqref="AC170">
    <cfRule type="cellIs" dxfId="15" priority="29" operator="equal">
      <formula>FALSE</formula>
    </cfRule>
  </conditionalFormatting>
  <conditionalFormatting sqref="AD170">
    <cfRule type="cellIs" dxfId="14" priority="26" operator="equal">
      <formula>FALSE</formula>
    </cfRule>
  </conditionalFormatting>
  <conditionalFormatting sqref="G315:AD315">
    <cfRule type="cellIs" dxfId="13" priority="14" operator="equal">
      <formula>FALSE</formula>
    </cfRule>
  </conditionalFormatting>
  <conditionalFormatting sqref="G315:AD315">
    <cfRule type="cellIs" dxfId="12" priority="13" operator="equal">
      <formula>FALSE</formula>
    </cfRule>
  </conditionalFormatting>
  <conditionalFormatting sqref="G339:AD339">
    <cfRule type="cellIs" dxfId="11" priority="12" operator="equal">
      <formula>FALSE</formula>
    </cfRule>
  </conditionalFormatting>
  <conditionalFormatting sqref="G339:AD339">
    <cfRule type="cellIs" dxfId="10" priority="11" operator="equal">
      <formula>FALSE</formula>
    </cfRule>
  </conditionalFormatting>
  <conditionalFormatting sqref="G363:AD363">
    <cfRule type="cellIs" dxfId="9" priority="10" operator="equal">
      <formula>FALSE</formula>
    </cfRule>
  </conditionalFormatting>
  <conditionalFormatting sqref="G363:AD363">
    <cfRule type="cellIs" dxfId="8" priority="9" operator="equal">
      <formula>FALSE</formula>
    </cfRule>
  </conditionalFormatting>
  <conditionalFormatting sqref="G387:AD387">
    <cfRule type="cellIs" dxfId="7" priority="8" operator="equal">
      <formula>FALSE</formula>
    </cfRule>
  </conditionalFormatting>
  <conditionalFormatting sqref="G387:AD387">
    <cfRule type="cellIs" dxfId="6" priority="7" operator="equal">
      <formula>FALSE</formula>
    </cfRule>
  </conditionalFormatting>
  <conditionalFormatting sqref="G411:AD411">
    <cfRule type="cellIs" dxfId="5" priority="6" operator="equal">
      <formula>FALSE</formula>
    </cfRule>
  </conditionalFormatting>
  <conditionalFormatting sqref="G411:AD411">
    <cfRule type="cellIs" dxfId="4" priority="5" operator="equal">
      <formula>FALSE</formula>
    </cfRule>
  </conditionalFormatting>
  <conditionalFormatting sqref="G277:T277">
    <cfRule type="cellIs" dxfId="3" priority="4" operator="equal">
      <formula>FALSE</formula>
    </cfRule>
  </conditionalFormatting>
  <conditionalFormatting sqref="G277:T277">
    <cfRule type="cellIs" dxfId="2" priority="3" operator="equal">
      <formula>FALSE</formula>
    </cfRule>
  </conditionalFormatting>
  <conditionalFormatting sqref="U277">
    <cfRule type="cellIs" dxfId="1" priority="2" operator="equal">
      <formula>FALSE</formula>
    </cfRule>
  </conditionalFormatting>
  <conditionalFormatting sqref="U277">
    <cfRule type="cellIs" dxfId="0" priority="1" operator="equal">
      <formula>FALSE</formula>
    </cfRule>
  </conditionalFormatting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QRT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Second Man</dc:creator>
  <cp:lastModifiedBy>Second Man</cp:lastModifiedBy>
  <cp:lastPrinted>2022-01-14T06:28:23Z</cp:lastPrinted>
  <dcterms:created xsi:type="dcterms:W3CDTF">2019-08-26T13:22:05Z</dcterms:created>
  <dcterms:modified xsi:type="dcterms:W3CDTF">2022-01-19T00:25:34Z</dcterms:modified>
</cp:coreProperties>
</file>